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25" i="1" l="1"/>
  <c r="M125" i="1"/>
  <c r="K125" i="1"/>
  <c r="N140" i="1" l="1"/>
  <c r="M140" i="1"/>
  <c r="N132" i="1" l="1"/>
  <c r="M132" i="1"/>
  <c r="K132" i="1"/>
  <c r="K124" i="1"/>
  <c r="M144" i="1" l="1"/>
  <c r="K144" i="1"/>
  <c r="N141" i="1"/>
  <c r="M141" i="1"/>
  <c r="K141" i="1"/>
  <c r="N127" i="1"/>
  <c r="M127" i="1"/>
  <c r="K127" i="1"/>
  <c r="N138" i="1" l="1"/>
  <c r="M138" i="1"/>
  <c r="K138" i="1"/>
  <c r="N120" i="1" l="1"/>
  <c r="M120" i="1"/>
  <c r="K120" i="1"/>
  <c r="K126" i="1" l="1"/>
  <c r="N139" i="1" l="1"/>
  <c r="M139" i="1"/>
  <c r="K139" i="1"/>
  <c r="K114" i="1" l="1"/>
  <c r="N147" i="1"/>
  <c r="M147" i="1"/>
  <c r="K147" i="1"/>
  <c r="N128" i="1"/>
  <c r="M128" i="1"/>
  <c r="K128" i="1"/>
  <c r="N113" i="1" l="1"/>
  <c r="M113" i="1"/>
  <c r="K113" i="1"/>
  <c r="N133" i="1"/>
  <c r="M133" i="1"/>
  <c r="K133" i="1"/>
  <c r="R15" i="1" l="1"/>
  <c r="N142" i="1"/>
  <c r="M142" i="1"/>
  <c r="K142" i="1"/>
  <c r="N119" i="1"/>
  <c r="M119" i="1"/>
  <c r="K119" i="1"/>
  <c r="N118" i="1" l="1"/>
  <c r="M118" i="1"/>
  <c r="K118" i="1"/>
  <c r="N226" i="1"/>
  <c r="M226" i="1"/>
  <c r="K226" i="1"/>
  <c r="N123" i="1"/>
  <c r="M123" i="1"/>
  <c r="K123" i="1"/>
  <c r="N122" i="1"/>
  <c r="M122" i="1"/>
  <c r="K122" i="1"/>
  <c r="V227" i="1" l="1"/>
  <c r="U227" i="1"/>
  <c r="T227" i="1"/>
  <c r="S227" i="1"/>
  <c r="R227" i="1"/>
  <c r="R233" i="1"/>
  <c r="M145" i="1"/>
  <c r="N145" i="1"/>
  <c r="K145" i="1" l="1"/>
  <c r="N129" i="1"/>
  <c r="M129" i="1"/>
  <c r="K129" i="1"/>
  <c r="N117" i="1" l="1"/>
  <c r="M117" i="1"/>
  <c r="K117" i="1"/>
  <c r="K135" i="1"/>
  <c r="N224" i="1"/>
  <c r="M224" i="1"/>
  <c r="K224" i="1"/>
  <c r="N116" i="1"/>
  <c r="M116" i="1"/>
  <c r="K116" i="1"/>
  <c r="N115" i="1"/>
  <c r="M115" i="1"/>
  <c r="K115" i="1"/>
  <c r="N148" i="1" l="1"/>
  <c r="M148" i="1"/>
  <c r="K148" i="1"/>
  <c r="G226" i="1" l="1"/>
  <c r="F226" i="1"/>
  <c r="G224" i="1"/>
  <c r="F224" i="1"/>
  <c r="D226" i="1"/>
  <c r="D224" i="1"/>
  <c r="N144" i="1" l="1"/>
  <c r="R153" i="1" l="1"/>
  <c r="S153" i="1"/>
  <c r="T153" i="1"/>
  <c r="U153" i="1"/>
  <c r="V153" i="1"/>
  <c r="R125" i="1" l="1"/>
  <c r="R124" i="1"/>
  <c r="S132" i="1"/>
  <c r="R132" i="1"/>
  <c r="S148" i="1"/>
  <c r="R148" i="1"/>
  <c r="S120" i="1"/>
  <c r="S139" i="1"/>
  <c r="R139" i="1"/>
  <c r="R126" i="1"/>
  <c r="S144" i="1"/>
  <c r="R144" i="1"/>
  <c r="S135" i="1"/>
  <c r="R135" i="1"/>
  <c r="S119" i="1"/>
  <c r="R119" i="1"/>
  <c r="K158" i="1"/>
  <c r="L155" i="1" s="1"/>
  <c r="V217" i="1"/>
  <c r="U217" i="1"/>
  <c r="T217" i="1"/>
  <c r="S217" i="1"/>
  <c r="R217" i="1"/>
  <c r="K194" i="1"/>
  <c r="L217" i="1" s="1"/>
  <c r="D194" i="1"/>
  <c r="B19" i="2" s="1"/>
  <c r="B9" i="2" s="1"/>
  <c r="V218" i="1"/>
  <c r="U218" i="1"/>
  <c r="T218" i="1"/>
  <c r="S218" i="1"/>
  <c r="R218" i="1"/>
  <c r="K220" i="1"/>
  <c r="L202" i="1" s="1"/>
  <c r="D220" i="1"/>
  <c r="S133" i="1"/>
  <c r="S147" i="1"/>
  <c r="R114" i="1"/>
  <c r="S142" i="1"/>
  <c r="R142" i="1"/>
  <c r="R127" i="1"/>
  <c r="S113" i="1"/>
  <c r="V233" i="1"/>
  <c r="M124" i="1"/>
  <c r="N124" i="1"/>
  <c r="S124" i="1" s="1"/>
  <c r="V225" i="1"/>
  <c r="U225" i="1"/>
  <c r="T225" i="1"/>
  <c r="S225" i="1"/>
  <c r="R225" i="1"/>
  <c r="K229" i="1"/>
  <c r="N126" i="1"/>
  <c r="N137" i="1"/>
  <c r="S137" i="1" s="1"/>
  <c r="M137" i="1"/>
  <c r="U141" i="1"/>
  <c r="V141" i="1"/>
  <c r="N114" i="1"/>
  <c r="S114" i="1" s="1"/>
  <c r="M114" i="1"/>
  <c r="M126" i="1"/>
  <c r="R226" i="1"/>
  <c r="S226" i="1"/>
  <c r="T226" i="1"/>
  <c r="U226" i="1"/>
  <c r="V226" i="1"/>
  <c r="V52" i="1"/>
  <c r="U52" i="1"/>
  <c r="T52" i="1"/>
  <c r="S52" i="1"/>
  <c r="R52" i="1"/>
  <c r="R147" i="1"/>
  <c r="V147" i="1"/>
  <c r="U147" i="1"/>
  <c r="T147" i="1"/>
  <c r="R166" i="1"/>
  <c r="S166" i="1"/>
  <c r="T166" i="1"/>
  <c r="U166" i="1"/>
  <c r="V166" i="1"/>
  <c r="V142" i="1"/>
  <c r="U142" i="1"/>
  <c r="T142" i="1"/>
  <c r="R58" i="1"/>
  <c r="V58" i="1"/>
  <c r="U58" i="1"/>
  <c r="S58" i="1"/>
  <c r="T58" i="1"/>
  <c r="R32" i="1"/>
  <c r="V32" i="1"/>
  <c r="U32" i="1"/>
  <c r="T32" i="1"/>
  <c r="S32" i="1"/>
  <c r="T136" i="1"/>
  <c r="V124" i="1"/>
  <c r="U124" i="1"/>
  <c r="T124" i="1"/>
  <c r="R45" i="1"/>
  <c r="S45" i="1"/>
  <c r="T45" i="1"/>
  <c r="U45" i="1"/>
  <c r="V45" i="1"/>
  <c r="O229" i="1"/>
  <c r="H229" i="1"/>
  <c r="D229" i="1"/>
  <c r="V224" i="1"/>
  <c r="U224" i="1"/>
  <c r="T224" i="1"/>
  <c r="S224" i="1"/>
  <c r="R224" i="1"/>
  <c r="V135" i="1"/>
  <c r="U135" i="1"/>
  <c r="T135" i="1"/>
  <c r="V82" i="1"/>
  <c r="U82" i="1"/>
  <c r="T82" i="1"/>
  <c r="S82" i="1"/>
  <c r="R82" i="1"/>
  <c r="R170" i="1"/>
  <c r="V23" i="1"/>
  <c r="U23" i="1"/>
  <c r="T23" i="1"/>
  <c r="S23" i="1"/>
  <c r="R23" i="1"/>
  <c r="O220" i="1"/>
  <c r="H220" i="1"/>
  <c r="V219" i="1"/>
  <c r="U219" i="1"/>
  <c r="T219" i="1"/>
  <c r="S219" i="1"/>
  <c r="R219" i="1"/>
  <c r="R31" i="1"/>
  <c r="R116" i="1"/>
  <c r="S116" i="1"/>
  <c r="T116" i="1"/>
  <c r="U116" i="1"/>
  <c r="V116" i="1"/>
  <c r="R53" i="1"/>
  <c r="R211" i="1"/>
  <c r="V203" i="1"/>
  <c r="U203" i="1"/>
  <c r="T203" i="1"/>
  <c r="S203" i="1"/>
  <c r="R203" i="1"/>
  <c r="T144" i="1"/>
  <c r="U144" i="1"/>
  <c r="V144" i="1"/>
  <c r="R6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/>
  <c r="G3" i="5"/>
  <c r="G10" i="4"/>
  <c r="H12" i="4" s="1"/>
  <c r="F10" i="4"/>
  <c r="G12" i="4" s="1"/>
  <c r="E4" i="5"/>
  <c r="E3" i="5"/>
  <c r="E10" i="4"/>
  <c r="F12" i="4" s="1"/>
  <c r="D10" i="4"/>
  <c r="E12" i="4" s="1"/>
  <c r="C10" i="4"/>
  <c r="D12" i="4" s="1"/>
  <c r="B10" i="4"/>
  <c r="I4" i="6"/>
  <c r="I3" i="6" s="1"/>
  <c r="H4" i="6"/>
  <c r="H3" i="6"/>
  <c r="G4" i="6"/>
  <c r="G3" i="6"/>
  <c r="F4" i="6"/>
  <c r="F3" i="6" s="1"/>
  <c r="E4" i="6"/>
  <c r="E3" i="6"/>
  <c r="D4" i="6"/>
  <c r="D3" i="6"/>
  <c r="C4" i="6"/>
  <c r="C3" i="6" s="1"/>
  <c r="B4" i="6"/>
  <c r="B3" i="6"/>
  <c r="F4" i="5"/>
  <c r="F3" i="5"/>
  <c r="V249" i="1"/>
  <c r="U249" i="1"/>
  <c r="S249" i="1"/>
  <c r="O249" i="1"/>
  <c r="K249" i="1"/>
  <c r="L246" i="1" s="1"/>
  <c r="H249" i="1"/>
  <c r="D249" i="1"/>
  <c r="E237" i="1" s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O234" i="1"/>
  <c r="K234" i="1"/>
  <c r="L232" i="1" s="1"/>
  <c r="H234" i="1"/>
  <c r="D234" i="1"/>
  <c r="E232" i="1" s="1"/>
  <c r="E233" i="1"/>
  <c r="U233" i="1"/>
  <c r="T233" i="1"/>
  <c r="S233" i="1"/>
  <c r="V232" i="1"/>
  <c r="U232" i="1"/>
  <c r="T232" i="1"/>
  <c r="S232" i="1"/>
  <c r="R232" i="1"/>
  <c r="V228" i="1"/>
  <c r="U228" i="1"/>
  <c r="T228" i="1"/>
  <c r="S228" i="1"/>
  <c r="R228" i="1"/>
  <c r="V220" i="1"/>
  <c r="U220" i="1"/>
  <c r="S220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2" i="1"/>
  <c r="U202" i="1"/>
  <c r="T202" i="1"/>
  <c r="S202" i="1"/>
  <c r="R202" i="1"/>
  <c r="V199" i="1"/>
  <c r="U199" i="1"/>
  <c r="T199" i="1"/>
  <c r="S199" i="1"/>
  <c r="R199" i="1"/>
  <c r="V198" i="1"/>
  <c r="U198" i="1"/>
  <c r="T198" i="1"/>
  <c r="S198" i="1"/>
  <c r="R198" i="1"/>
  <c r="V194" i="1"/>
  <c r="U194" i="1"/>
  <c r="S194" i="1"/>
  <c r="O194" i="1"/>
  <c r="H194" i="1"/>
  <c r="T194" i="1" s="1"/>
  <c r="V193" i="1"/>
  <c r="U193" i="1"/>
  <c r="T193" i="1"/>
  <c r="S193" i="1"/>
  <c r="R193" i="1"/>
  <c r="V192" i="1"/>
  <c r="U192" i="1"/>
  <c r="T192" i="1"/>
  <c r="S192" i="1"/>
  <c r="R192" i="1"/>
  <c r="V189" i="1"/>
  <c r="U189" i="1"/>
  <c r="S189" i="1"/>
  <c r="O189" i="1"/>
  <c r="K189" i="1"/>
  <c r="L169" i="1" s="1"/>
  <c r="H189" i="1"/>
  <c r="D189" i="1"/>
  <c r="E166" i="1" s="1"/>
  <c r="V158" i="1"/>
  <c r="U158" i="1"/>
  <c r="S158" i="1"/>
  <c r="O158" i="1"/>
  <c r="H158" i="1"/>
  <c r="D158" i="1"/>
  <c r="E152" i="1" s="1"/>
  <c r="E156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2" i="1"/>
  <c r="U152" i="1"/>
  <c r="T152" i="1"/>
  <c r="S152" i="1"/>
  <c r="R152" i="1"/>
  <c r="V149" i="1"/>
  <c r="U149" i="1"/>
  <c r="S149" i="1"/>
  <c r="O149" i="1"/>
  <c r="H149" i="1"/>
  <c r="V148" i="1"/>
  <c r="U148" i="1"/>
  <c r="T148" i="1"/>
  <c r="V146" i="1"/>
  <c r="U146" i="1"/>
  <c r="T146" i="1"/>
  <c r="S146" i="1"/>
  <c r="R146" i="1"/>
  <c r="V145" i="1"/>
  <c r="U145" i="1"/>
  <c r="T145" i="1"/>
  <c r="S145" i="1"/>
  <c r="V143" i="1"/>
  <c r="U143" i="1"/>
  <c r="T143" i="1"/>
  <c r="S143" i="1"/>
  <c r="R143" i="1"/>
  <c r="T141" i="1"/>
  <c r="S141" i="1"/>
  <c r="V140" i="1"/>
  <c r="U140" i="1"/>
  <c r="T140" i="1"/>
  <c r="R140" i="1"/>
  <c r="S140" i="1"/>
  <c r="V139" i="1"/>
  <c r="U139" i="1"/>
  <c r="T139" i="1"/>
  <c r="V138" i="1"/>
  <c r="U138" i="1"/>
  <c r="T138" i="1"/>
  <c r="S138" i="1"/>
  <c r="R138" i="1"/>
  <c r="V137" i="1"/>
  <c r="U137" i="1"/>
  <c r="T137" i="1"/>
  <c r="R137" i="1"/>
  <c r="V136" i="1"/>
  <c r="U136" i="1"/>
  <c r="S136" i="1"/>
  <c r="R136" i="1"/>
  <c r="V134" i="1"/>
  <c r="U134" i="1"/>
  <c r="T134" i="1"/>
  <c r="S134" i="1"/>
  <c r="R134" i="1"/>
  <c r="V133" i="1"/>
  <c r="U133" i="1"/>
  <c r="T133" i="1"/>
  <c r="V132" i="1"/>
  <c r="U132" i="1"/>
  <c r="T132" i="1"/>
  <c r="V129" i="1"/>
  <c r="U129" i="1"/>
  <c r="T129" i="1"/>
  <c r="S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V125" i="1"/>
  <c r="U125" i="1"/>
  <c r="T125" i="1"/>
  <c r="S125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V119" i="1"/>
  <c r="U119" i="1"/>
  <c r="T119" i="1"/>
  <c r="V118" i="1"/>
  <c r="U118" i="1"/>
  <c r="T118" i="1"/>
  <c r="S118" i="1"/>
  <c r="V117" i="1"/>
  <c r="U117" i="1"/>
  <c r="T117" i="1"/>
  <c r="S117" i="1"/>
  <c r="V115" i="1"/>
  <c r="U115" i="1"/>
  <c r="T115" i="1"/>
  <c r="S115" i="1"/>
  <c r="V114" i="1"/>
  <c r="U114" i="1"/>
  <c r="T114" i="1"/>
  <c r="V113" i="1"/>
  <c r="U113" i="1"/>
  <c r="T113" i="1"/>
  <c r="R113" i="1"/>
  <c r="V109" i="1"/>
  <c r="U109" i="1"/>
  <c r="S109" i="1"/>
  <c r="O109" i="1"/>
  <c r="K109" i="1"/>
  <c r="H109" i="1"/>
  <c r="D109" i="1"/>
  <c r="E91" i="1" s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E45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E14" i="1"/>
  <c r="E34" i="1"/>
  <c r="D4" i="5"/>
  <c r="D3" i="5" s="1"/>
  <c r="E107" i="1"/>
  <c r="E103" i="1"/>
  <c r="E78" i="1"/>
  <c r="E96" i="1"/>
  <c r="E98" i="1"/>
  <c r="E100" i="1"/>
  <c r="E88" i="1"/>
  <c r="E90" i="1"/>
  <c r="D149" i="1"/>
  <c r="E138" i="1" s="1"/>
  <c r="I12" i="4"/>
  <c r="R115" i="1"/>
  <c r="R118" i="1"/>
  <c r="E13" i="1"/>
  <c r="E15" i="1"/>
  <c r="E17" i="1"/>
  <c r="R129" i="1"/>
  <c r="R133" i="1"/>
  <c r="E193" i="1"/>
  <c r="R141" i="1"/>
  <c r="R145" i="1"/>
  <c r="E192" i="1"/>
  <c r="C4" i="5" l="1"/>
  <c r="C3" i="5" s="1"/>
  <c r="C12" i="4"/>
  <c r="B4" i="5"/>
  <c r="B3" i="5" s="1"/>
  <c r="T158" i="1"/>
  <c r="E89" i="1"/>
  <c r="E105" i="1"/>
  <c r="E85" i="1"/>
  <c r="E79" i="1"/>
  <c r="E93" i="1"/>
  <c r="E247" i="1"/>
  <c r="E77" i="1"/>
  <c r="E74" i="1"/>
  <c r="E180" i="1"/>
  <c r="E108" i="1"/>
  <c r="E72" i="1"/>
  <c r="E184" i="1"/>
  <c r="E84" i="1"/>
  <c r="E81" i="1"/>
  <c r="T109" i="1"/>
  <c r="E80" i="1"/>
  <c r="E75" i="1"/>
  <c r="E139" i="1"/>
  <c r="E106" i="1"/>
  <c r="E97" i="1"/>
  <c r="B15" i="2"/>
  <c r="B5" i="2" s="1"/>
  <c r="E86" i="1"/>
  <c r="B16" i="2"/>
  <c r="B6" i="2" s="1"/>
  <c r="E82" i="1"/>
  <c r="E104" i="1"/>
  <c r="E102" i="1"/>
  <c r="E101" i="1"/>
  <c r="E16" i="1"/>
  <c r="E9" i="1"/>
  <c r="E20" i="1"/>
  <c r="E242" i="1"/>
  <c r="E18" i="1"/>
  <c r="B13" i="2"/>
  <c r="B3" i="2" s="1"/>
  <c r="E6" i="1"/>
  <c r="E10" i="1"/>
  <c r="E24" i="1"/>
  <c r="E11" i="1"/>
  <c r="E203" i="1"/>
  <c r="E227" i="1"/>
  <c r="E12" i="1"/>
  <c r="E21" i="1"/>
  <c r="E7" i="1"/>
  <c r="E22" i="1"/>
  <c r="E8" i="1"/>
  <c r="E125" i="1"/>
  <c r="E19" i="1"/>
  <c r="L233" i="1"/>
  <c r="R234" i="1"/>
  <c r="L78" i="1"/>
  <c r="L101" i="1"/>
  <c r="L226" i="1"/>
  <c r="L227" i="1"/>
  <c r="L225" i="1"/>
  <c r="R229" i="1"/>
  <c r="E204" i="1"/>
  <c r="B20" i="2"/>
  <c r="B10" i="2" s="1"/>
  <c r="E202" i="1"/>
  <c r="E209" i="1"/>
  <c r="E207" i="1"/>
  <c r="E225" i="1"/>
  <c r="E224" i="1"/>
  <c r="E212" i="1"/>
  <c r="E219" i="1"/>
  <c r="E210" i="1"/>
  <c r="E217" i="1"/>
  <c r="E179" i="1"/>
  <c r="E187" i="1"/>
  <c r="E168" i="1"/>
  <c r="E162" i="1"/>
  <c r="E174" i="1"/>
  <c r="E183" i="1"/>
  <c r="E48" i="1"/>
  <c r="E165" i="1"/>
  <c r="E185" i="1"/>
  <c r="E176" i="1"/>
  <c r="E167" i="1"/>
  <c r="E188" i="1"/>
  <c r="E178" i="1"/>
  <c r="E163" i="1"/>
  <c r="E175" i="1"/>
  <c r="E169" i="1"/>
  <c r="E181" i="1"/>
  <c r="E170" i="1"/>
  <c r="E182" i="1"/>
  <c r="E161" i="1"/>
  <c r="E186" i="1"/>
  <c r="E173" i="1"/>
  <c r="E164" i="1"/>
  <c r="E177" i="1"/>
  <c r="E171" i="1"/>
  <c r="B18" i="2"/>
  <c r="B8" i="2" s="1"/>
  <c r="E172" i="1"/>
  <c r="E155" i="1"/>
  <c r="E157" i="1"/>
  <c r="E142" i="1"/>
  <c r="E115" i="1"/>
  <c r="E132" i="1"/>
  <c r="E144" i="1"/>
  <c r="E124" i="1"/>
  <c r="E116" i="1"/>
  <c r="E140" i="1"/>
  <c r="E117" i="1"/>
  <c r="E135" i="1"/>
  <c r="L224" i="1"/>
  <c r="L157" i="1"/>
  <c r="L152" i="1"/>
  <c r="B6" i="3"/>
  <c r="L228" i="1"/>
  <c r="T220" i="1"/>
  <c r="L154" i="1"/>
  <c r="L153" i="1"/>
  <c r="L156" i="1"/>
  <c r="C17" i="2"/>
  <c r="C7" i="2" s="1"/>
  <c r="E246" i="1"/>
  <c r="E244" i="1"/>
  <c r="L238" i="1"/>
  <c r="R194" i="1"/>
  <c r="L193" i="1"/>
  <c r="L192" i="1"/>
  <c r="B2" i="3"/>
  <c r="C19" i="2"/>
  <c r="C9" i="2" s="1"/>
  <c r="L209" i="1"/>
  <c r="L199" i="1"/>
  <c r="L210" i="1"/>
  <c r="L212" i="1"/>
  <c r="C20" i="2"/>
  <c r="C10" i="2" s="1"/>
  <c r="L198" i="1"/>
  <c r="L214" i="1"/>
  <c r="L208" i="1"/>
  <c r="L205" i="1"/>
  <c r="B4" i="3"/>
  <c r="L203" i="1"/>
  <c r="L213" i="1"/>
  <c r="L211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7" i="1"/>
  <c r="L242" i="1"/>
  <c r="L244" i="1"/>
  <c r="L240" i="1"/>
  <c r="L206" i="1"/>
  <c r="L218" i="1"/>
  <c r="L204" i="1"/>
  <c r="L207" i="1"/>
  <c r="L219" i="1"/>
  <c r="E30" i="1"/>
  <c r="T249" i="1"/>
  <c r="L245" i="1"/>
  <c r="L248" i="1"/>
  <c r="L243" i="1"/>
  <c r="L241" i="1"/>
  <c r="L239" i="1"/>
  <c r="L237" i="1"/>
  <c r="K149" i="1"/>
  <c r="L117" i="1" s="1"/>
  <c r="R117" i="1"/>
  <c r="R120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36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0" i="1"/>
  <c r="E238" i="1"/>
  <c r="E241" i="1"/>
  <c r="E243" i="1"/>
  <c r="E245" i="1"/>
  <c r="E248" i="1"/>
  <c r="E239" i="1"/>
  <c r="R249" i="1"/>
  <c r="E218" i="1"/>
  <c r="E205" i="1"/>
  <c r="E198" i="1"/>
  <c r="E199" i="1"/>
  <c r="E214" i="1"/>
  <c r="E208" i="1"/>
  <c r="E226" i="1"/>
  <c r="E228" i="1"/>
  <c r="E213" i="1"/>
  <c r="R220" i="1"/>
  <c r="E211" i="1"/>
  <c r="T189" i="1"/>
  <c r="H221" i="1"/>
  <c r="H250" i="1" s="1"/>
  <c r="B17" i="2"/>
  <c r="B7" i="2" s="1"/>
  <c r="E154" i="1"/>
  <c r="R158" i="1"/>
  <c r="T149" i="1"/>
  <c r="E121" i="1"/>
  <c r="E148" i="1"/>
  <c r="E134" i="1"/>
  <c r="E122" i="1"/>
  <c r="E145" i="1"/>
  <c r="E127" i="1"/>
  <c r="E126" i="1"/>
  <c r="E137" i="1"/>
  <c r="E141" i="1"/>
  <c r="E129" i="1"/>
  <c r="E143" i="1"/>
  <c r="E133" i="1"/>
  <c r="E123" i="1"/>
  <c r="E118" i="1"/>
  <c r="E113" i="1"/>
  <c r="E136" i="1"/>
  <c r="E128" i="1"/>
  <c r="E114" i="1"/>
  <c r="E120" i="1"/>
  <c r="E83" i="1"/>
  <c r="E99" i="1"/>
  <c r="E94" i="1"/>
  <c r="E73" i="1"/>
  <c r="E87" i="1"/>
  <c r="E92" i="1"/>
  <c r="D221" i="1"/>
  <c r="E25" i="1" s="1"/>
  <c r="J12" i="4"/>
  <c r="O221" i="1"/>
  <c r="O250" i="1" s="1"/>
  <c r="L178" i="1"/>
  <c r="L170" i="1"/>
  <c r="L181" i="1"/>
  <c r="R189" i="1"/>
  <c r="B5" i="3"/>
  <c r="L161" i="1"/>
  <c r="L182" i="1"/>
  <c r="L48" i="1"/>
  <c r="L173" i="1"/>
  <c r="L172" i="1"/>
  <c r="L185" i="1"/>
  <c r="L171" i="1"/>
  <c r="L164" i="1"/>
  <c r="L165" i="1"/>
  <c r="L180" i="1"/>
  <c r="L177" i="1"/>
  <c r="C18" i="2"/>
  <c r="C8" i="2" s="1"/>
  <c r="L176" i="1"/>
  <c r="L184" i="1"/>
  <c r="L166" i="1"/>
  <c r="L183" i="1"/>
  <c r="L162" i="1"/>
  <c r="L168" i="1"/>
  <c r="L163" i="1"/>
  <c r="L174" i="1"/>
  <c r="L175" i="1"/>
  <c r="L186" i="1"/>
  <c r="L187" i="1"/>
  <c r="L179" i="1"/>
  <c r="L167" i="1"/>
  <c r="L72" i="1"/>
  <c r="L98" i="1"/>
  <c r="L75" i="1"/>
  <c r="L96" i="1"/>
  <c r="L99" i="1"/>
  <c r="L105" i="1"/>
  <c r="L92" i="1"/>
  <c r="L73" i="1"/>
  <c r="L82" i="1"/>
  <c r="L135" i="1"/>
  <c r="L83" i="1"/>
  <c r="E76" i="1"/>
  <c r="L88" i="1"/>
  <c r="R109" i="1"/>
  <c r="L91" i="1"/>
  <c r="L86" i="1"/>
  <c r="L80" i="1"/>
  <c r="L84" i="1"/>
  <c r="C15" i="2"/>
  <c r="C5" i="2" s="1"/>
  <c r="L89" i="1"/>
  <c r="L97" i="1"/>
  <c r="L104" i="1"/>
  <c r="L81" i="1"/>
  <c r="B7" i="3"/>
  <c r="L87" i="1"/>
  <c r="L79" i="1"/>
  <c r="L106" i="1"/>
  <c r="L77" i="1"/>
  <c r="L102" i="1"/>
  <c r="L76" i="1"/>
  <c r="L93" i="1"/>
  <c r="L103" i="1"/>
  <c r="L108" i="1"/>
  <c r="L100" i="1"/>
  <c r="L74" i="1"/>
  <c r="L85" i="1"/>
  <c r="L107" i="1"/>
  <c r="L141" i="1" l="1"/>
  <c r="B8" i="3"/>
  <c r="L136" i="1"/>
  <c r="L127" i="1"/>
  <c r="L145" i="1"/>
  <c r="L142" i="1"/>
  <c r="L122" i="1"/>
  <c r="L139" i="1"/>
  <c r="L128" i="1"/>
  <c r="L123" i="1"/>
  <c r="R149" i="1"/>
  <c r="L120" i="1"/>
  <c r="L119" i="1"/>
  <c r="C16" i="2"/>
  <c r="C6" i="2" s="1"/>
  <c r="L146" i="1"/>
  <c r="L134" i="1"/>
  <c r="L144" i="1"/>
  <c r="K221" i="1"/>
  <c r="L149" i="1" s="1"/>
  <c r="L116" i="1"/>
  <c r="L115" i="1"/>
  <c r="L129" i="1"/>
  <c r="L147" i="1"/>
  <c r="L118" i="1"/>
  <c r="L113" i="1"/>
  <c r="L140" i="1"/>
  <c r="L138" i="1"/>
  <c r="L121" i="1"/>
  <c r="L137" i="1"/>
  <c r="L124" i="1"/>
  <c r="L143" i="1"/>
  <c r="L125" i="1"/>
  <c r="L132" i="1"/>
  <c r="L133" i="1"/>
  <c r="L114" i="1"/>
  <c r="L126" i="1"/>
  <c r="L148" i="1"/>
  <c r="E220" i="1"/>
  <c r="D250" i="1"/>
  <c r="E158" i="1"/>
  <c r="E194" i="1"/>
  <c r="E109" i="1"/>
  <c r="E189" i="1"/>
  <c r="E149" i="1"/>
  <c r="E69" i="1"/>
  <c r="L25" i="1" l="1"/>
  <c r="L69" i="1"/>
  <c r="L158" i="1"/>
  <c r="R221" i="1"/>
  <c r="L194" i="1"/>
  <c r="L189" i="1"/>
  <c r="K250" i="1"/>
  <c r="L220" i="1"/>
  <c r="L109" i="1"/>
</calcChain>
</file>

<file path=xl/sharedStrings.xml><?xml version="1.0" encoding="utf-8"?>
<sst xmlns="http://schemas.openxmlformats.org/spreadsheetml/2006/main" count="512" uniqueCount="323">
  <si>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</si>
  <si>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</si>
  <si>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</si>
  <si>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</si>
  <si>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</si>
  <si>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</si>
  <si>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</si>
  <si>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</si>
  <si>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</si>
  <si>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</si>
  <si>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</si>
  <si>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</si>
  <si>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</si>
  <si>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</si>
  <si>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</si>
  <si>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</si>
  <si>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</si>
  <si>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</si>
  <si>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</si>
  <si>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</si>
  <si>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</si>
  <si>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</si>
  <si>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</si>
  <si>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</si>
  <si>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</si>
  <si>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</si>
  <si>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</si>
  <si>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</si>
  <si>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</si>
  <si>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</si>
  <si>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</si>
  <si>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</si>
  <si>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</si>
  <si>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</si>
  <si>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</si>
  <si>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</si>
  <si>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</si>
  <si>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</si>
  <si>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</si>
  <si>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</si>
  <si>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</si>
  <si>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</si>
  <si>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</si>
  <si>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</si>
  <si>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</si>
  <si>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</si>
  <si>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</si>
  <si>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</si>
  <si>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</si>
  <si>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</si>
  <si>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</si>
  <si>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</si>
  <si>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</si>
  <si>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</si>
  <si>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</si>
  <si>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</si>
  <si>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</si>
  <si>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</si>
  <si>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</si>
  <si>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</si>
  <si>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</si>
  <si>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</si>
  <si>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</si>
  <si>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</si>
  <si>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</si>
  <si>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</si>
  <si>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</si>
  <si>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</si>
  <si>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</si>
  <si>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</si>
  <si>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</si>
  <si>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</si>
  <si>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</si>
  <si>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</si>
  <si>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</si>
  <si>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</si>
  <si>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</si>
  <si>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</si>
  <si>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</si>
  <si>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</si>
  <si>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</si>
  <si>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</si>
  <si>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</si>
  <si>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</si>
  <si>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</si>
  <si>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</si>
  <si>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</si>
  <si>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</si>
  <si>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</si>
  <si>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</si>
  <si>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</si>
  <si>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</si>
  <si>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</si>
  <si>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</si>
  <si>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</si>
  <si>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</si>
  <si>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</si>
  <si>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</si>
  <si>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</si>
  <si>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</si>
  <si>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</si>
  <si>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</si>
  <si>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</si>
  <si>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</si>
  <si>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</si>
  <si>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</si>
  <si>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</si>
  <si>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</si>
  <si>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</si>
  <si>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</si>
  <si>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</si>
  <si>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</si>
  <si>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</si>
  <si>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</si>
  <si>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</si>
  <si>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</si>
  <si>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</si>
  <si>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</si>
  <si>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</si>
  <si>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</si>
  <si>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</si>
  <si>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</si>
  <si>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</si>
  <si>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</si>
  <si>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</si>
  <si>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</si>
  <si>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</si>
  <si>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</si>
  <si>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</si>
  <si>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</si>
  <si>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</si>
  <si>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</si>
  <si>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</si>
  <si>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</si>
  <si>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</si>
  <si>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</si>
  <si>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</si>
  <si>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</si>
  <si>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</si>
  <si>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</si>
  <si>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</si>
  <si>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</si>
  <si>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</si>
  <si>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</si>
  <si>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</si>
  <si>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</si>
  <si>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</si>
  <si>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</si>
  <si>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</si>
  <si>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</si>
  <si>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</si>
  <si>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</si>
  <si>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</si>
  <si>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</si>
  <si>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</si>
  <si>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</si>
  <si>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</si>
  <si>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</si>
  <si>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</si>
  <si>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</si>
  <si>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</si>
  <si>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</si>
  <si>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</si>
  <si>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</si>
  <si>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</si>
  <si>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</si>
  <si>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</si>
  <si>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</si>
  <si>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</si>
  <si>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</si>
  <si>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</si>
  <si>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</si>
  <si>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</si>
  <si>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</si>
  <si>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</si>
  <si>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</si>
  <si>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</si>
  <si>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</si>
  <si>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</si>
  <si>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</si>
  <si>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</si>
  <si>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</si>
  <si>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</si>
  <si>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</si>
  <si>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</si>
  <si>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</si>
  <si>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</si>
  <si>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</si>
  <si>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</si>
  <si>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</si>
  <si>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</si>
  <si>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</si>
  <si>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</si>
  <si>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</si>
  <si>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</si>
  <si>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</si>
  <si>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</si>
  <si>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</si>
  <si>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</si>
  <si>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</si>
  <si>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</si>
  <si>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</si>
  <si>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</si>
  <si>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</si>
  <si>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</si>
  <si>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</si>
  <si>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</si>
  <si>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</si>
  <si>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</si>
  <si>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</si>
  <si>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</si>
  <si>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</si>
  <si>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</si>
  <si>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</si>
  <si>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</si>
  <si>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</si>
  <si>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</si>
  <si>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</si>
  <si>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</si>
  <si>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</si>
  <si>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</si>
  <si>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</si>
  <si>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</si>
  <si>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</si>
  <si>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</si>
  <si>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</si>
  <si>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</si>
  <si>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</si>
  <si>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</si>
  <si>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</si>
  <si>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</si>
  <si>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</si>
  <si>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</si>
  <si>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</si>
  <si>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</si>
  <si>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</si>
  <si>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</si>
  <si>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</si>
  <si>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</si>
  <si>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</si>
  <si>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</si>
  <si>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</si>
  <si>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</si>
  <si>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</si>
  <si>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</si>
  <si>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</si>
  <si>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</si>
  <si>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</si>
  <si>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</si>
  <si>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</si>
  <si>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</si>
  <si>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</si>
  <si>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</si>
  <si>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</si>
  <si>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</si>
  <si>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</si>
  <si>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</si>
  <si>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</si>
  <si>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</si>
  <si>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</si>
  <si>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</si>
  <si>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</si>
  <si>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</si>
  <si>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</si>
  <si>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</si>
  <si>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</si>
  <si>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</si>
  <si>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</si>
  <si>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</si>
  <si>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</si>
  <si>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</si>
  <si>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</si>
  <si>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</si>
  <si>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</si>
  <si>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</si>
  <si>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</si>
  <si>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</si>
  <si>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</si>
  <si>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</si>
  <si>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</si>
  <si>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</si>
  <si>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</si>
  <si>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</si>
  <si>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</si>
  <si>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</si>
  <si>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</si>
  <si>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</si>
  <si>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</si>
  <si>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</si>
  <si>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</si>
  <si>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</si>
  <si>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</si>
  <si>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</si>
  <si>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</si>
  <si>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</si>
  <si>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</si>
  <si>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</si>
  <si>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</si>
  <si>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</si>
  <si>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</si>
  <si>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</si>
  <si>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</si>
  <si>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</si>
  <si>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</si>
  <si>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</si>
  <si>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</si>
  <si>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</si>
  <si>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</si>
  <si>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</si>
  <si>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</si>
  <si>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</si>
  <si>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</si>
  <si>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</si>
  <si>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0.9%</t>
  </si>
  <si>
    <t>ARM Halal Balanced Fund</t>
  </si>
  <si>
    <t>MOFI Real Estate Investment Fund</t>
  </si>
  <si>
    <t>NAV, Unit Price and Yield as at Week Ended May 23, 2025</t>
  </si>
  <si>
    <t>Week Ended May 23, 2025</t>
  </si>
  <si>
    <t>WEEKLY VALUATION REPORT OF COLLECTIVE INVESTMENT SCHEMES AS AT WEEK ENDED FRIDAY, MAY 30, 2025</t>
  </si>
  <si>
    <t>NAV, Unit Price and Yield as at Week Ended May 30, 2025</t>
  </si>
  <si>
    <t>NFEM RATE NG₦/US$ as at 30th May, 2025 = N1586.1524</t>
  </si>
  <si>
    <t>United Capital Children Investment Fund</t>
  </si>
  <si>
    <t>Week Ended May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</si>
</sst>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charset val="134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0" fontId="43" fillId="0" borderId="0" xfId="0" applyFont="1"/>
    <xf numFmtId="16" fontId="44" fillId="2" borderId="0" xfId="0" applyNumberFormat="1" applyFont="1" applyFill="1"/>
    <xf numFmtId="164" fontId="45" fillId="0" borderId="0" xfId="1" applyFont="1"/>
    <xf numFmtId="43" fontId="45" fillId="0" borderId="0" xfId="0" applyNumberFormat="1" applyFont="1"/>
    <xf numFmtId="4" fontId="45" fillId="0" borderId="0" xfId="0" applyNumberFormat="1" applyFont="1"/>
    <xf numFmtId="0" fontId="46" fillId="0" borderId="0" xfId="0" applyFont="1" applyBorder="1" applyAlignment="1">
      <alignment horizontal="right"/>
    </xf>
    <xf numFmtId="16" fontId="47" fillId="2" borderId="0" xfId="0" applyNumberFormat="1" applyFont="1" applyFill="1" applyBorder="1"/>
    <xf numFmtId="0" fontId="47" fillId="0" borderId="0" xfId="0" applyFont="1" applyBorder="1" applyAlignment="1">
      <alignment horizontal="right"/>
    </xf>
    <xf numFmtId="4" fontId="48" fillId="2" borderId="0" xfId="0" applyNumberFormat="1" applyFont="1" applyFill="1" applyBorder="1"/>
    <xf numFmtId="164" fontId="48" fillId="2" borderId="0" xfId="1" applyFont="1" applyFill="1" applyBorder="1" applyAlignment="1">
      <alignment horizontal="right" vertical="top" wrapText="1"/>
    </xf>
    <xf numFmtId="4" fontId="48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4" fontId="48" fillId="2" borderId="0" xfId="0" applyNumberFormat="1" applyFont="1" applyFill="1"/>
    <xf numFmtId="0" fontId="49" fillId="0" borderId="0" xfId="0" applyFont="1" applyBorder="1" applyAlignment="1">
      <alignment horizontal="right"/>
    </xf>
    <xf numFmtId="16" fontId="49" fillId="2" borderId="0" xfId="0" applyNumberFormat="1" applyFont="1" applyFill="1" applyBorder="1" applyAlignment="1">
      <alignment horizontal="center" wrapText="1"/>
    </xf>
    <xf numFmtId="0" fontId="50" fillId="0" borderId="0" xfId="0" applyFont="1" applyBorder="1"/>
    <xf numFmtId="0" fontId="49" fillId="0" borderId="0" xfId="0" applyFont="1" applyBorder="1" applyAlignment="1">
      <alignment horizontal="right" wrapText="1"/>
    </xf>
    <xf numFmtId="4" fontId="51" fillId="2" borderId="0" xfId="0" applyNumberFormat="1" applyFont="1" applyFill="1" applyBorder="1"/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47" fillId="0" borderId="0" xfId="0" applyFont="1" applyAlignment="1">
      <alignment horizontal="right"/>
    </xf>
    <xf numFmtId="0" fontId="16" fillId="0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9" fillId="0" borderId="0" xfId="0" applyFont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23,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41.222274085630005</c:v>
                </c:pt>
                <c:pt idx="1">
                  <c:v>2955.9248381329608</c:v>
                </c:pt>
                <c:pt idx="2">
                  <c:v>209.02576994379046</c:v>
                </c:pt>
                <c:pt idx="3">
                  <c:v>1929.0736044407038</c:v>
                </c:pt>
                <c:pt idx="4">
                  <c:v>354.56749831510615</c:v>
                </c:pt>
                <c:pt idx="5" formatCode="_-* #,##0.00_-;\-* #,##0.00_-;_-* &quot;-&quot;??_-;_-@_-">
                  <c:v>60.835590634502609</c:v>
                </c:pt>
                <c:pt idx="6">
                  <c:v>5.9937269722400002</c:v>
                </c:pt>
                <c:pt idx="7">
                  <c:v>58.096299884927959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30,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41.941704345109997</c:v>
                </c:pt>
                <c:pt idx="1">
                  <c:v>2990.6642413624418</c:v>
                </c:pt>
                <c:pt idx="2">
                  <c:v>209.15974234228909</c:v>
                </c:pt>
                <c:pt idx="3">
                  <c:v>1938.0345043664831</c:v>
                </c:pt>
                <c:pt idx="4">
                  <c:v>355.72532905643385</c:v>
                </c:pt>
                <c:pt idx="5" formatCode="_-* #,##0.00_-;\-* #,##0.00_-;_-* &quot;-&quot;??_-;_-@_-">
                  <c:v>60.841613029135786</c:v>
                </c:pt>
                <c:pt idx="6">
                  <c:v>5.9926659787999998</c:v>
                </c:pt>
                <c:pt idx="7">
                  <c:v>58.641321245814737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30TH MAY,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8303520542675"/>
          <c:y val="4.039749557222197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30-May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5992665978.8000002</c:v>
                </c:pt>
                <c:pt idx="1">
                  <c:v>41941704345.110001</c:v>
                </c:pt>
                <c:pt idx="2" formatCode="_-* #,##0.00_-;\-* #,##0.00_-;_-* &quot;-&quot;??_-;_-@_-">
                  <c:v>58641321245.814735</c:v>
                </c:pt>
                <c:pt idx="3">
                  <c:v>60841613029.135788</c:v>
                </c:pt>
                <c:pt idx="4">
                  <c:v>355725329056.43384</c:v>
                </c:pt>
                <c:pt idx="5">
                  <c:v>209159742342.28909</c:v>
                </c:pt>
                <c:pt idx="6">
                  <c:v>1938034504366.4832</c:v>
                </c:pt>
                <c:pt idx="7">
                  <c:v>2990664241362.4419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45758</c:v>
                </c:pt>
                <c:pt idx="1">
                  <c:v>45764</c:v>
                </c:pt>
                <c:pt idx="2">
                  <c:v>45772</c:v>
                </c:pt>
                <c:pt idx="3">
                  <c:v>45779</c:v>
                </c:pt>
                <c:pt idx="4">
                  <c:v>45786</c:v>
                </c:pt>
                <c:pt idx="5">
                  <c:v>45793</c:v>
                </c:pt>
                <c:pt idx="6">
                  <c:v>45800</c:v>
                </c:pt>
                <c:pt idx="7">
                  <c:v>45807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5027.3059345650499</c:v>
                </c:pt>
                <c:pt idx="1">
                  <c:v>5068.1363340060261</c:v>
                </c:pt>
                <c:pt idx="2">
                  <c:v>5133.5118080609327</c:v>
                </c:pt>
                <c:pt idx="3">
                  <c:v>5212.4190322973518</c:v>
                </c:pt>
                <c:pt idx="4">
                  <c:v>5297.7036669070822</c:v>
                </c:pt>
                <c:pt idx="5">
                  <c:v>5600.7611033252406</c:v>
                </c:pt>
                <c:pt idx="6">
                  <c:v>5614.7878514083422</c:v>
                </c:pt>
                <c:pt idx="7">
                  <c:v>5661.0011217265082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45758</c:v>
                </c:pt>
                <c:pt idx="1">
                  <c:v>45764</c:v>
                </c:pt>
                <c:pt idx="2">
                  <c:v>45772</c:v>
                </c:pt>
                <c:pt idx="3">
                  <c:v>45779</c:v>
                </c:pt>
                <c:pt idx="4">
                  <c:v>45786</c:v>
                </c:pt>
                <c:pt idx="5">
                  <c:v>45793</c:v>
                </c:pt>
                <c:pt idx="6">
                  <c:v>45800</c:v>
                </c:pt>
                <c:pt idx="7">
                  <c:v>45807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13.325340046259999</c:v>
                </c:pt>
                <c:pt idx="1">
                  <c:v>13.257768084610001</c:v>
                </c:pt>
                <c:pt idx="2">
                  <c:v>13.511956801399998</c:v>
                </c:pt>
                <c:pt idx="3">
                  <c:v>13.564027253040001</c:v>
                </c:pt>
                <c:pt idx="4">
                  <c:v>13.89362105705</c:v>
                </c:pt>
                <c:pt idx="5">
                  <c:v>13.906596090597997</c:v>
                </c:pt>
                <c:pt idx="6">
                  <c:v>13.574054999743</c:v>
                </c:pt>
                <c:pt idx="7">
                  <c:v>13.663574619923001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7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6" t="s">
        <v>318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5" ht="15" customHeight="1">
      <c r="A2" s="134"/>
      <c r="B2" s="23"/>
      <c r="C2" s="125"/>
      <c r="D2" s="177" t="s">
        <v>316</v>
      </c>
      <c r="E2" s="177"/>
      <c r="F2" s="177"/>
      <c r="G2" s="177"/>
      <c r="H2" s="177"/>
      <c r="I2" s="177"/>
      <c r="J2" s="177"/>
      <c r="K2" s="177" t="s">
        <v>319</v>
      </c>
      <c r="L2" s="177"/>
      <c r="M2" s="177"/>
      <c r="N2" s="177"/>
      <c r="O2" s="177"/>
      <c r="P2" s="177"/>
      <c r="Q2" s="177"/>
      <c r="R2" s="177" t="s">
        <v>0</v>
      </c>
      <c r="S2" s="177"/>
      <c r="T2" s="177"/>
      <c r="U2" s="177" t="s">
        <v>1</v>
      </c>
      <c r="V2" s="177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284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5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9" t="s">
        <v>17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72">
        <v>1</v>
      </c>
      <c r="B6" s="168" t="s">
        <v>18</v>
      </c>
      <c r="C6" s="169" t="s">
        <v>19</v>
      </c>
      <c r="D6" s="29">
        <v>1664189596.97</v>
      </c>
      <c r="E6" s="30">
        <f t="shared" ref="E6:E22" si="0">(D6/$D$25)</f>
        <v>4.0371125414212235E-2</v>
      </c>
      <c r="F6" s="31">
        <v>452.1601</v>
      </c>
      <c r="G6" s="31">
        <v>456.23039999999997</v>
      </c>
      <c r="H6" s="32">
        <v>1690</v>
      </c>
      <c r="I6" s="50">
        <v>1.55E-2</v>
      </c>
      <c r="J6" s="50">
        <v>0.13750000000000001</v>
      </c>
      <c r="K6" s="29">
        <v>1695530526.28</v>
      </c>
      <c r="L6" s="30">
        <f t="shared" ref="L6:L22" si="1">(K6/$K$25)</f>
        <v>4.042588523176413E-2</v>
      </c>
      <c r="M6" s="31">
        <v>454.73660000000001</v>
      </c>
      <c r="N6" s="31">
        <v>464.7457</v>
      </c>
      <c r="O6" s="32">
        <v>1690</v>
      </c>
      <c r="P6" s="50">
        <v>5.7000000000000002E-3</v>
      </c>
      <c r="Q6" s="50">
        <v>0.14399999999999999</v>
      </c>
      <c r="R6" s="56">
        <f>((K6-D6)/D6)</f>
        <v>1.8832547305344633E-2</v>
      </c>
      <c r="S6" s="56">
        <f>((N6-G6)/G6)</f>
        <v>1.8664473038184273E-2</v>
      </c>
      <c r="T6" s="56">
        <f>((O6-H6)/H6)</f>
        <v>0</v>
      </c>
      <c r="U6" s="57">
        <f>P6-I6</f>
        <v>-9.7999999999999997E-3</v>
      </c>
      <c r="V6" s="58">
        <f>Q6-J6</f>
        <v>6.499999999999978E-3</v>
      </c>
    </row>
    <row r="7" spans="1:25">
      <c r="A7" s="172">
        <v>2</v>
      </c>
      <c r="B7" s="168" t="s">
        <v>20</v>
      </c>
      <c r="C7" s="169" t="s">
        <v>21</v>
      </c>
      <c r="D7" s="33">
        <v>703692961.13</v>
      </c>
      <c r="E7" s="30">
        <f t="shared" si="0"/>
        <v>1.7070697256251221E-2</v>
      </c>
      <c r="F7" s="33">
        <v>292.14850000000001</v>
      </c>
      <c r="G7" s="33">
        <v>295.66370000000001</v>
      </c>
      <c r="H7" s="32">
        <v>481</v>
      </c>
      <c r="I7" s="50">
        <v>4.7470000000000004E-3</v>
      </c>
      <c r="J7" s="50">
        <v>0.13450000000000001</v>
      </c>
      <c r="K7" s="33">
        <v>710340069.52999997</v>
      </c>
      <c r="L7" s="30">
        <f t="shared" si="1"/>
        <v>1.6936366335642696E-2</v>
      </c>
      <c r="M7" s="33">
        <v>293.02050000000003</v>
      </c>
      <c r="N7" s="33">
        <v>296.60129999999998</v>
      </c>
      <c r="O7" s="32">
        <v>483</v>
      </c>
      <c r="P7" s="50">
        <v>3.3E-4</v>
      </c>
      <c r="Q7" s="50">
        <v>0.13830000000000001</v>
      </c>
      <c r="R7" s="56">
        <f t="shared" ref="R7:R25" si="2">((K7-D7)/D7)</f>
        <v>9.4460350851399127E-3</v>
      </c>
      <c r="S7" s="56">
        <f t="shared" ref="S7:S25" si="3">((N7-G7)/G7)</f>
        <v>3.1711704886327771E-3</v>
      </c>
      <c r="T7" s="56">
        <f t="shared" ref="T7:T25" si="4">((O7-H7)/H7)</f>
        <v>4.1580041580041582E-3</v>
      </c>
      <c r="U7" s="57">
        <f t="shared" ref="U7:U25" si="5">P7-I7</f>
        <v>-4.4170000000000008E-3</v>
      </c>
      <c r="V7" s="58">
        <f t="shared" ref="V7:V25" si="6">Q7-J7</f>
        <v>3.7999999999999978E-3</v>
      </c>
    </row>
    <row r="8" spans="1:25">
      <c r="A8" s="172">
        <v>3</v>
      </c>
      <c r="B8" s="168" t="s">
        <v>22</v>
      </c>
      <c r="C8" s="169" t="s">
        <v>23</v>
      </c>
      <c r="D8" s="33">
        <v>4171638165.79</v>
      </c>
      <c r="E8" s="30">
        <f t="shared" si="0"/>
        <v>0.10119864219825329</v>
      </c>
      <c r="F8" s="33">
        <v>37.618200000000002</v>
      </c>
      <c r="G8" s="33">
        <v>38.752400000000002</v>
      </c>
      <c r="H8" s="34">
        <v>6719</v>
      </c>
      <c r="I8" s="51">
        <v>-0.307</v>
      </c>
      <c r="J8" s="51">
        <v>0.15570000000000001</v>
      </c>
      <c r="K8" s="33">
        <v>4217985869.98</v>
      </c>
      <c r="L8" s="30">
        <f t="shared" si="1"/>
        <v>0.10056782231053461</v>
      </c>
      <c r="M8" s="33">
        <v>37.604399999999998</v>
      </c>
      <c r="N8" s="33">
        <v>38.738199999999999</v>
      </c>
      <c r="O8" s="34">
        <v>6731</v>
      </c>
      <c r="P8" s="51">
        <v>-1.9099999999999999E-2</v>
      </c>
      <c r="Q8" s="51">
        <v>0.14749999999999999</v>
      </c>
      <c r="R8" s="56">
        <f t="shared" si="2"/>
        <v>1.1110192770331749E-2</v>
      </c>
      <c r="S8" s="56">
        <f t="shared" si="3"/>
        <v>-3.6642891795095095E-4</v>
      </c>
      <c r="T8" s="56">
        <f t="shared" si="4"/>
        <v>1.7859800565560352E-3</v>
      </c>
      <c r="U8" s="57">
        <f t="shared" si="5"/>
        <v>0.28789999999999999</v>
      </c>
      <c r="V8" s="58">
        <f t="shared" si="6"/>
        <v>-8.2000000000000128E-3</v>
      </c>
      <c r="X8" s="59"/>
      <c r="Y8" s="59"/>
    </row>
    <row r="9" spans="1:25">
      <c r="A9" s="172">
        <v>4</v>
      </c>
      <c r="B9" s="168" t="s">
        <v>24</v>
      </c>
      <c r="C9" s="169" t="s">
        <v>25</v>
      </c>
      <c r="D9" s="33">
        <v>631540381.63999999</v>
      </c>
      <c r="E9" s="30">
        <f t="shared" si="0"/>
        <v>1.532036734140666E-2</v>
      </c>
      <c r="F9" s="33">
        <v>231.08500000000001</v>
      </c>
      <c r="G9" s="33">
        <v>231.08500000000001</v>
      </c>
      <c r="H9" s="32">
        <v>1955</v>
      </c>
      <c r="I9" s="50">
        <v>2.0000000000000001E-4</v>
      </c>
      <c r="J9" s="50">
        <v>5.5300000000000002E-2</v>
      </c>
      <c r="K9" s="33">
        <v>641132976.08000004</v>
      </c>
      <c r="L9" s="30">
        <f t="shared" si="1"/>
        <v>1.5286288101326288E-2</v>
      </c>
      <c r="M9" s="33">
        <v>234.7183</v>
      </c>
      <c r="N9" s="33">
        <v>234.7183</v>
      </c>
      <c r="O9" s="32">
        <v>1960</v>
      </c>
      <c r="P9" s="50">
        <v>1.5699999999999999E-2</v>
      </c>
      <c r="Q9" s="50">
        <v>7.1900000000000006E-2</v>
      </c>
      <c r="R9" s="56">
        <f t="shared" si="2"/>
        <v>1.5189202019180097E-2</v>
      </c>
      <c r="S9" s="56">
        <f t="shared" si="3"/>
        <v>1.5722785987839934E-2</v>
      </c>
      <c r="T9" s="56">
        <f t="shared" si="4"/>
        <v>2.5575447570332483E-3</v>
      </c>
      <c r="U9" s="57">
        <f t="shared" si="5"/>
        <v>1.5499999999999998E-2</v>
      </c>
      <c r="V9" s="58">
        <f t="shared" si="6"/>
        <v>1.6600000000000004E-2</v>
      </c>
    </row>
    <row r="10" spans="1:25">
      <c r="A10" s="172">
        <v>5</v>
      </c>
      <c r="B10" s="168" t="s">
        <v>26</v>
      </c>
      <c r="C10" s="169" t="s">
        <v>27</v>
      </c>
      <c r="D10" s="33">
        <v>1155509909.4300001</v>
      </c>
      <c r="E10" s="30">
        <f t="shared" si="0"/>
        <v>2.8031202427835206E-2</v>
      </c>
      <c r="F10" s="33">
        <v>1.4238999999999999</v>
      </c>
      <c r="G10" s="33">
        <v>1.4401999999999999</v>
      </c>
      <c r="H10" s="32">
        <v>516</v>
      </c>
      <c r="I10" s="50">
        <v>5.04E-2</v>
      </c>
      <c r="J10" s="50">
        <v>0.14879999999999999</v>
      </c>
      <c r="K10" s="33">
        <v>1121830310.97</v>
      </c>
      <c r="L10" s="30">
        <f t="shared" si="1"/>
        <v>2.6747370629939475E-2</v>
      </c>
      <c r="M10" s="33">
        <v>1.3863000000000001</v>
      </c>
      <c r="N10" s="33">
        <v>1.4021999999999999</v>
      </c>
      <c r="O10" s="32">
        <v>516</v>
      </c>
      <c r="P10" s="50">
        <v>-2.64E-2</v>
      </c>
      <c r="Q10" s="50">
        <v>0.11840000000000001</v>
      </c>
      <c r="R10" s="56">
        <f t="shared" si="2"/>
        <v>-2.9146957706848053E-2</v>
      </c>
      <c r="S10" s="56">
        <f t="shared" si="3"/>
        <v>-2.6385224274406358E-2</v>
      </c>
      <c r="T10" s="56">
        <f t="shared" si="4"/>
        <v>0</v>
      </c>
      <c r="U10" s="57">
        <f t="shared" si="5"/>
        <v>-7.6800000000000007E-2</v>
      </c>
      <c r="V10" s="58">
        <f t="shared" si="6"/>
        <v>-3.0399999999999983E-2</v>
      </c>
    </row>
    <row r="11" spans="1:25">
      <c r="A11" s="172">
        <v>6</v>
      </c>
      <c r="B11" s="168" t="s">
        <v>28</v>
      </c>
      <c r="C11" s="169" t="s">
        <v>29</v>
      </c>
      <c r="D11" s="35">
        <v>115348665.68000001</v>
      </c>
      <c r="E11" s="30">
        <f t="shared" si="0"/>
        <v>2.7982120889398069E-3</v>
      </c>
      <c r="F11" s="33">
        <v>169.23220000000001</v>
      </c>
      <c r="G11" s="33">
        <v>170.0746</v>
      </c>
      <c r="H11" s="34">
        <v>74</v>
      </c>
      <c r="I11" s="51">
        <v>4.2880000000000001E-3</v>
      </c>
      <c r="J11" s="51">
        <v>7.0499999999999993E-2</v>
      </c>
      <c r="K11" s="35">
        <v>118633990.63</v>
      </c>
      <c r="L11" s="30">
        <f t="shared" si="1"/>
        <v>2.8285448214941597E-3</v>
      </c>
      <c r="M11" s="33">
        <v>173.4229</v>
      </c>
      <c r="N11" s="33">
        <v>174.27520000000001</v>
      </c>
      <c r="O11" s="34">
        <v>75</v>
      </c>
      <c r="P11" s="51">
        <v>2.6837E-2</v>
      </c>
      <c r="Q11" s="51">
        <v>9.7000000000000003E-2</v>
      </c>
      <c r="R11" s="56">
        <f t="shared" si="2"/>
        <v>2.8481690105667357E-2</v>
      </c>
      <c r="S11" s="56">
        <f t="shared" si="3"/>
        <v>2.4698573449533374E-2</v>
      </c>
      <c r="T11" s="56">
        <f t="shared" si="4"/>
        <v>1.3513513513513514E-2</v>
      </c>
      <c r="U11" s="57">
        <f t="shared" si="5"/>
        <v>2.2549E-2</v>
      </c>
      <c r="V11" s="58">
        <f t="shared" si="6"/>
        <v>2.650000000000001E-2</v>
      </c>
    </row>
    <row r="12" spans="1:25">
      <c r="A12" s="172">
        <v>7</v>
      </c>
      <c r="B12" s="168" t="s">
        <v>30</v>
      </c>
      <c r="C12" s="169" t="s">
        <v>31</v>
      </c>
      <c r="D12" s="33">
        <v>1572295103.95</v>
      </c>
      <c r="E12" s="30">
        <f t="shared" si="0"/>
        <v>3.8141881757515622E-2</v>
      </c>
      <c r="F12" s="33">
        <v>381.63</v>
      </c>
      <c r="G12" s="33">
        <v>386.58</v>
      </c>
      <c r="H12" s="34">
        <v>1684</v>
      </c>
      <c r="I12" s="51">
        <v>1.32E-2</v>
      </c>
      <c r="J12" s="51">
        <v>0.17860000000000001</v>
      </c>
      <c r="K12" s="33">
        <v>1596605492.9000001</v>
      </c>
      <c r="L12" s="30">
        <f t="shared" si="1"/>
        <v>3.8067253532727476E-2</v>
      </c>
      <c r="M12" s="33">
        <v>386.62</v>
      </c>
      <c r="N12" s="33">
        <v>391.64</v>
      </c>
      <c r="O12" s="34">
        <v>1684</v>
      </c>
      <c r="P12" s="51">
        <v>5.4699999999999999E-2</v>
      </c>
      <c r="Q12" s="51">
        <v>0.19400000000000001</v>
      </c>
      <c r="R12" s="56">
        <f t="shared" si="2"/>
        <v>1.546172145987496E-2</v>
      </c>
      <c r="S12" s="56">
        <f t="shared" si="3"/>
        <v>1.3089140669460403E-2</v>
      </c>
      <c r="T12" s="56">
        <f t="shared" si="4"/>
        <v>0</v>
      </c>
      <c r="U12" s="57">
        <f t="shared" si="5"/>
        <v>4.1499999999999995E-2</v>
      </c>
      <c r="V12" s="58">
        <f t="shared" si="6"/>
        <v>1.5399999999999997E-2</v>
      </c>
    </row>
    <row r="13" spans="1:25">
      <c r="A13" s="172">
        <v>8</v>
      </c>
      <c r="B13" s="168" t="s">
        <v>32</v>
      </c>
      <c r="C13" s="169" t="s">
        <v>33</v>
      </c>
      <c r="D13" s="29">
        <v>450363077.74000001</v>
      </c>
      <c r="E13" s="30">
        <f t="shared" si="0"/>
        <v>1.09252361188146E-2</v>
      </c>
      <c r="F13" s="33">
        <v>224.39</v>
      </c>
      <c r="G13" s="33">
        <v>236.36</v>
      </c>
      <c r="H13" s="32">
        <v>2469</v>
      </c>
      <c r="I13" s="50">
        <v>-3.39E-2</v>
      </c>
      <c r="J13" s="50">
        <v>5.9499999999999997E-2</v>
      </c>
      <c r="K13" s="29">
        <v>414438348.73000002</v>
      </c>
      <c r="L13" s="30">
        <f t="shared" si="1"/>
        <v>9.8812948877772429E-3</v>
      </c>
      <c r="M13" s="33">
        <v>206.53</v>
      </c>
      <c r="N13" s="33">
        <v>236.36</v>
      </c>
      <c r="O13" s="32">
        <v>2469</v>
      </c>
      <c r="P13" s="50">
        <v>-2.4799999999999999E-2</v>
      </c>
      <c r="Q13" s="50">
        <v>-7.9600000000000004E-2</v>
      </c>
      <c r="R13" s="56">
        <f t="shared" si="2"/>
        <v>-7.9768370867071309E-2</v>
      </c>
      <c r="S13" s="56">
        <f t="shared" si="3"/>
        <v>0</v>
      </c>
      <c r="T13" s="56">
        <f t="shared" si="4"/>
        <v>0</v>
      </c>
      <c r="U13" s="57">
        <f t="shared" si="5"/>
        <v>9.1000000000000004E-3</v>
      </c>
      <c r="V13" s="58">
        <f t="shared" si="6"/>
        <v>-0.1391</v>
      </c>
    </row>
    <row r="14" spans="1:25">
      <c r="A14" s="172">
        <v>9</v>
      </c>
      <c r="B14" s="168" t="s">
        <v>34</v>
      </c>
      <c r="C14" s="169" t="s">
        <v>35</v>
      </c>
      <c r="D14" s="35">
        <v>70868297.900000006</v>
      </c>
      <c r="E14" s="30">
        <f t="shared" si="0"/>
        <v>1.7191748750393307E-3</v>
      </c>
      <c r="F14" s="33">
        <v>246.94</v>
      </c>
      <c r="G14" s="33">
        <v>254.54</v>
      </c>
      <c r="H14" s="32">
        <v>18</v>
      </c>
      <c r="I14" s="50">
        <v>-4.8999999999999998E-3</v>
      </c>
      <c r="J14" s="50">
        <v>0.1172</v>
      </c>
      <c r="K14" s="35">
        <v>72589976.189999998</v>
      </c>
      <c r="L14" s="30">
        <f t="shared" si="1"/>
        <v>1.730735012404504E-3</v>
      </c>
      <c r="M14" s="33">
        <v>252.91</v>
      </c>
      <c r="N14" s="33">
        <v>260.74</v>
      </c>
      <c r="O14" s="32">
        <v>18</v>
      </c>
      <c r="P14" s="50">
        <v>2.4299999999999999E-2</v>
      </c>
      <c r="Q14" s="50">
        <v>0.14430000000000001</v>
      </c>
      <c r="R14" s="56">
        <f t="shared" si="2"/>
        <v>2.4294054478765623E-2</v>
      </c>
      <c r="S14" s="56">
        <f t="shared" si="3"/>
        <v>2.4357664807103076E-2</v>
      </c>
      <c r="T14" s="56">
        <f t="shared" si="4"/>
        <v>0</v>
      </c>
      <c r="U14" s="57">
        <f t="shared" si="5"/>
        <v>2.9199999999999997E-2</v>
      </c>
      <c r="V14" s="58">
        <f t="shared" si="6"/>
        <v>2.7100000000000013E-2</v>
      </c>
    </row>
    <row r="15" spans="1:25" ht="14.25" customHeight="1">
      <c r="A15" s="172">
        <v>10</v>
      </c>
      <c r="B15" s="168" t="s">
        <v>36</v>
      </c>
      <c r="C15" s="169" t="s">
        <v>37</v>
      </c>
      <c r="D15" s="29">
        <v>955220183.39999998</v>
      </c>
      <c r="E15" s="30">
        <f t="shared" si="0"/>
        <v>2.3172428125040962E-2</v>
      </c>
      <c r="F15" s="33">
        <v>2.9557329999999999</v>
      </c>
      <c r="G15" s="33">
        <v>2.981779</v>
      </c>
      <c r="H15" s="32">
        <v>571</v>
      </c>
      <c r="I15" s="50">
        <v>4.6466087683086243E-2</v>
      </c>
      <c r="J15" s="50">
        <v>0.41107536424644109</v>
      </c>
      <c r="K15" s="29">
        <v>1017249869.1799999</v>
      </c>
      <c r="L15" s="30">
        <f t="shared" si="1"/>
        <v>2.4253899193264459E-2</v>
      </c>
      <c r="M15" s="33">
        <v>2.9642689999999998</v>
      </c>
      <c r="N15" s="33">
        <v>2.9902660000000001</v>
      </c>
      <c r="O15" s="32">
        <v>593</v>
      </c>
      <c r="P15" s="50">
        <v>2.8879469153675341E-3</v>
      </c>
      <c r="Q15" s="50">
        <v>0.41515047499196767</v>
      </c>
      <c r="R15" s="56">
        <f t="shared" si="2"/>
        <v>6.4937578642038529E-2</v>
      </c>
      <c r="S15" s="56">
        <f t="shared" si="3"/>
        <v>2.846287400910709E-3</v>
      </c>
      <c r="T15" s="56">
        <f t="shared" si="4"/>
        <v>3.8528896672504379E-2</v>
      </c>
      <c r="U15" s="57">
        <f t="shared" si="5"/>
        <v>-4.3578140767718709E-2</v>
      </c>
      <c r="V15" s="58">
        <f t="shared" si="6"/>
        <v>4.0751107455265778E-3</v>
      </c>
    </row>
    <row r="16" spans="1:25" ht="14.25" customHeight="1">
      <c r="A16" s="172">
        <v>11</v>
      </c>
      <c r="B16" s="168" t="s">
        <v>38</v>
      </c>
      <c r="C16" s="169" t="s">
        <v>39</v>
      </c>
      <c r="D16" s="29">
        <v>39545311.640000001</v>
      </c>
      <c r="E16" s="30">
        <f t="shared" si="0"/>
        <v>9.5931902150409043E-4</v>
      </c>
      <c r="F16" s="33">
        <v>16.59</v>
      </c>
      <c r="G16" s="33">
        <v>17.170000000000002</v>
      </c>
      <c r="H16" s="32">
        <v>29</v>
      </c>
      <c r="I16" s="50">
        <v>-7.4000000000000003E-3</v>
      </c>
      <c r="J16" s="50">
        <v>0.66</v>
      </c>
      <c r="K16" s="29">
        <v>40494941.07</v>
      </c>
      <c r="L16" s="30">
        <f t="shared" si="1"/>
        <v>9.655053771013796E-4</v>
      </c>
      <c r="M16" s="33">
        <v>16.989999999999998</v>
      </c>
      <c r="N16" s="33">
        <v>17.579999999999998</v>
      </c>
      <c r="O16" s="32">
        <v>29</v>
      </c>
      <c r="P16" s="50">
        <v>2.2800000000000001E-2</v>
      </c>
      <c r="Q16" s="50">
        <v>0.7</v>
      </c>
      <c r="R16" s="56">
        <f t="shared" ref="R16" si="7">((K16-D16)/D16)</f>
        <v>2.4013704548466665E-2</v>
      </c>
      <c r="S16" s="56">
        <f t="shared" ref="S16" si="8">((N16-G16)/G16)</f>
        <v>2.3878858474082502E-2</v>
      </c>
      <c r="T16" s="56">
        <f t="shared" ref="T16" si="9">((O16-H16)/H16)</f>
        <v>0</v>
      </c>
      <c r="U16" s="57">
        <f t="shared" ref="U16" si="10">P16-I16</f>
        <v>3.0200000000000001E-2</v>
      </c>
      <c r="V16" s="58">
        <f t="shared" ref="V16" si="11">Q16-J16</f>
        <v>3.9999999999999925E-2</v>
      </c>
    </row>
    <row r="17" spans="1:22">
      <c r="A17" s="172">
        <v>12</v>
      </c>
      <c r="B17" s="168" t="s">
        <v>40</v>
      </c>
      <c r="C17" s="169" t="s">
        <v>41</v>
      </c>
      <c r="D17" s="128">
        <v>1982145961.1199999</v>
      </c>
      <c r="E17" s="30">
        <f t="shared" si="0"/>
        <v>4.8084342872558104E-2</v>
      </c>
      <c r="F17" s="33">
        <v>4.04</v>
      </c>
      <c r="G17" s="33">
        <v>4.12</v>
      </c>
      <c r="H17" s="32">
        <v>3649</v>
      </c>
      <c r="I17" s="50">
        <v>-1.2999999999999999E-3</v>
      </c>
      <c r="J17" s="50">
        <v>0.1099</v>
      </c>
      <c r="K17" s="128">
        <v>2005617075.6300001</v>
      </c>
      <c r="L17" s="30">
        <f t="shared" si="1"/>
        <v>4.7819160116315963E-2</v>
      </c>
      <c r="M17" s="33">
        <v>4.09</v>
      </c>
      <c r="N17" s="33">
        <v>4.17</v>
      </c>
      <c r="O17" s="32">
        <v>3648</v>
      </c>
      <c r="P17" s="50">
        <v>2.0999999999999999E-3</v>
      </c>
      <c r="Q17" s="50">
        <v>0.1234</v>
      </c>
      <c r="R17" s="56">
        <f t="shared" si="2"/>
        <v>1.1841264452965922E-2</v>
      </c>
      <c r="S17" s="56">
        <f t="shared" si="3"/>
        <v>1.2135922330097044E-2</v>
      </c>
      <c r="T17" s="56">
        <f t="shared" si="4"/>
        <v>-2.7404768429706771E-4</v>
      </c>
      <c r="U17" s="57">
        <f t="shared" si="5"/>
        <v>3.3999999999999998E-3</v>
      </c>
      <c r="V17" s="58">
        <f t="shared" si="6"/>
        <v>1.3499999999999998E-2</v>
      </c>
    </row>
    <row r="18" spans="1:22">
      <c r="A18" s="172">
        <v>13</v>
      </c>
      <c r="B18" s="168" t="s">
        <v>42</v>
      </c>
      <c r="C18" s="169" t="s">
        <v>43</v>
      </c>
      <c r="D18" s="33">
        <v>1016337755.01</v>
      </c>
      <c r="E18" s="30">
        <f t="shared" si="0"/>
        <v>2.4655062767735395E-2</v>
      </c>
      <c r="F18" s="33">
        <v>27.148274000000001</v>
      </c>
      <c r="G18" s="33">
        <v>27.251404999999998</v>
      </c>
      <c r="H18" s="32">
        <v>480</v>
      </c>
      <c r="I18" s="50">
        <v>-4.7164044126237759E-3</v>
      </c>
      <c r="J18" s="50">
        <v>0.11756263153292901</v>
      </c>
      <c r="K18" s="33">
        <v>1031517530.89</v>
      </c>
      <c r="L18" s="30">
        <f t="shared" si="1"/>
        <v>2.4594077589273382E-2</v>
      </c>
      <c r="M18" s="33">
        <v>26.996807</v>
      </c>
      <c r="N18" s="33">
        <v>27.107199000000001</v>
      </c>
      <c r="O18" s="32">
        <v>489</v>
      </c>
      <c r="P18" s="50">
        <v>-5.5792497158383414E-3</v>
      </c>
      <c r="Q18" s="50">
        <v>0.15660912986928088</v>
      </c>
      <c r="R18" s="56">
        <f t="shared" si="2"/>
        <v>1.4935759106824324E-2</v>
      </c>
      <c r="S18" s="56">
        <f t="shared" si="3"/>
        <v>-5.2916904651337041E-3</v>
      </c>
      <c r="T18" s="56">
        <f t="shared" si="4"/>
        <v>1.8749999999999999E-2</v>
      </c>
      <c r="U18" s="57">
        <f t="shared" si="5"/>
        <v>-8.6284530321456554E-4</v>
      </c>
      <c r="V18" s="58">
        <f t="shared" si="6"/>
        <v>3.9046498336351876E-2</v>
      </c>
    </row>
    <row r="19" spans="1:22">
      <c r="A19" s="172">
        <v>14</v>
      </c>
      <c r="B19" s="168" t="s">
        <v>44</v>
      </c>
      <c r="C19" s="169" t="s">
        <v>45</v>
      </c>
      <c r="D19" s="33">
        <v>136951118.53</v>
      </c>
      <c r="E19" s="30">
        <f t="shared" si="0"/>
        <v>3.3222601510415183E-3</v>
      </c>
      <c r="F19" s="33">
        <v>1.4901720000000001</v>
      </c>
      <c r="G19" s="33">
        <v>1.5528729999999999</v>
      </c>
      <c r="H19" s="32">
        <v>22</v>
      </c>
      <c r="I19" s="50">
        <v>-3.0999999999999999E-3</v>
      </c>
      <c r="J19" s="50">
        <v>7.1099999999999997E-2</v>
      </c>
      <c r="K19" s="33">
        <v>137651004.34</v>
      </c>
      <c r="L19" s="30">
        <f t="shared" si="1"/>
        <v>3.2819601990267903E-3</v>
      </c>
      <c r="M19" s="33">
        <v>1.497787</v>
      </c>
      <c r="N19" s="33">
        <v>1.561145</v>
      </c>
      <c r="O19" s="32">
        <v>22</v>
      </c>
      <c r="P19" s="50">
        <v>4.5999999999999999E-3</v>
      </c>
      <c r="Q19" s="50">
        <v>7.6700000000000004E-2</v>
      </c>
      <c r="R19" s="56">
        <f t="shared" si="2"/>
        <v>5.1104789614893724E-3</v>
      </c>
      <c r="S19" s="56">
        <f t="shared" si="3"/>
        <v>5.3269005256708418E-3</v>
      </c>
      <c r="T19" s="56">
        <f t="shared" si="4"/>
        <v>0</v>
      </c>
      <c r="U19" s="57">
        <f t="shared" si="5"/>
        <v>7.7000000000000002E-3</v>
      </c>
      <c r="V19" s="58">
        <f t="shared" si="6"/>
        <v>5.6000000000000077E-3</v>
      </c>
    </row>
    <row r="20" spans="1:22">
      <c r="A20" s="172">
        <v>15</v>
      </c>
      <c r="B20" s="168" t="s">
        <v>46</v>
      </c>
      <c r="C20" s="169" t="s">
        <v>47</v>
      </c>
      <c r="D20" s="29">
        <v>3434404176.6999998</v>
      </c>
      <c r="E20" s="30">
        <f t="shared" si="0"/>
        <v>8.331428221465409E-2</v>
      </c>
      <c r="F20" s="33">
        <v>37.56</v>
      </c>
      <c r="G20" s="33">
        <v>38.35</v>
      </c>
      <c r="H20" s="32">
        <v>8944</v>
      </c>
      <c r="I20" s="50">
        <v>4.0000000000000002E-4</v>
      </c>
      <c r="J20" s="50">
        <v>0.20699999999999999</v>
      </c>
      <c r="K20" s="29">
        <v>3490770159.8400002</v>
      </c>
      <c r="L20" s="30">
        <f t="shared" si="1"/>
        <v>8.3229096536392669E-2</v>
      </c>
      <c r="M20" s="33">
        <v>38.06</v>
      </c>
      <c r="N20" s="33">
        <v>38.9</v>
      </c>
      <c r="O20" s="32">
        <v>8944</v>
      </c>
      <c r="P20" s="50">
        <v>1.3899999999999999E-2</v>
      </c>
      <c r="Q20" s="50">
        <v>0.22370000000000001</v>
      </c>
      <c r="R20" s="56">
        <f t="shared" si="2"/>
        <v>1.6412157754292177E-2</v>
      </c>
      <c r="S20" s="56">
        <f t="shared" si="3"/>
        <v>1.4341590612776978E-2</v>
      </c>
      <c r="T20" s="56">
        <f t="shared" si="4"/>
        <v>0</v>
      </c>
      <c r="U20" s="57">
        <f t="shared" si="5"/>
        <v>1.35E-2</v>
      </c>
      <c r="V20" s="58">
        <f t="shared" si="6"/>
        <v>1.670000000000002E-2</v>
      </c>
    </row>
    <row r="21" spans="1:22" ht="12.75" customHeight="1">
      <c r="A21" s="172">
        <v>16</v>
      </c>
      <c r="B21" s="168" t="s">
        <v>48</v>
      </c>
      <c r="C21" s="169" t="s">
        <v>49</v>
      </c>
      <c r="D21" s="33">
        <v>1012857177.95</v>
      </c>
      <c r="E21" s="30">
        <f t="shared" si="0"/>
        <v>2.4570628390030522E-2</v>
      </c>
      <c r="F21" s="33">
        <v>9588.75</v>
      </c>
      <c r="G21" s="33">
        <v>9712.33</v>
      </c>
      <c r="H21" s="32">
        <v>23</v>
      </c>
      <c r="I21" s="50">
        <v>4.1999999999999997E-3</v>
      </c>
      <c r="J21" s="50">
        <v>0.19739999999999999</v>
      </c>
      <c r="K21" s="33">
        <v>1032360819.6900001</v>
      </c>
      <c r="L21" s="30">
        <f t="shared" si="1"/>
        <v>2.4614183801292364E-2</v>
      </c>
      <c r="M21" s="33">
        <v>9773.31</v>
      </c>
      <c r="N21" s="33">
        <v>9899.41</v>
      </c>
      <c r="O21" s="32">
        <v>23</v>
      </c>
      <c r="P21" s="50">
        <v>1.9300000000000001E-2</v>
      </c>
      <c r="Q21" s="50">
        <v>0.2205</v>
      </c>
      <c r="R21" s="56">
        <f t="shared" si="2"/>
        <v>1.9256063109978582E-2</v>
      </c>
      <c r="S21" s="56">
        <f t="shared" si="3"/>
        <v>1.9262113210733154E-2</v>
      </c>
      <c r="T21" s="56">
        <f t="shared" si="4"/>
        <v>0</v>
      </c>
      <c r="U21" s="57">
        <f t="shared" si="5"/>
        <v>1.5100000000000002E-2</v>
      </c>
      <c r="V21" s="58">
        <f t="shared" si="6"/>
        <v>2.3100000000000009E-2</v>
      </c>
    </row>
    <row r="22" spans="1:22">
      <c r="A22" s="172">
        <v>17</v>
      </c>
      <c r="B22" s="168" t="s">
        <v>50</v>
      </c>
      <c r="C22" s="169" t="s">
        <v>49</v>
      </c>
      <c r="D22" s="33">
        <v>14882529222.17</v>
      </c>
      <c r="E22" s="30">
        <f t="shared" si="0"/>
        <v>0.36103125196962427</v>
      </c>
      <c r="F22" s="33">
        <v>29500.94</v>
      </c>
      <c r="G22" s="33">
        <v>29933.62</v>
      </c>
      <c r="H22" s="32">
        <v>17754</v>
      </c>
      <c r="I22" s="50">
        <v>4.8999999999999998E-3</v>
      </c>
      <c r="J22" s="50">
        <v>0.16470000000000001</v>
      </c>
      <c r="K22" s="33">
        <v>15261516736.02</v>
      </c>
      <c r="L22" s="30">
        <f t="shared" si="1"/>
        <v>0.36387450091305951</v>
      </c>
      <c r="M22" s="33">
        <v>30206.45</v>
      </c>
      <c r="N22" s="33">
        <v>30647.86</v>
      </c>
      <c r="O22" s="32">
        <v>17779</v>
      </c>
      <c r="P22" s="50">
        <v>2.3900000000000001E-2</v>
      </c>
      <c r="Q22" s="50">
        <v>0.1925</v>
      </c>
      <c r="R22" s="56">
        <f t="shared" si="2"/>
        <v>2.5465262536520709E-2</v>
      </c>
      <c r="S22" s="56">
        <f t="shared" si="3"/>
        <v>2.3860795987922664E-2</v>
      </c>
      <c r="T22" s="56">
        <f t="shared" si="4"/>
        <v>1.4081333783936014E-3</v>
      </c>
      <c r="U22" s="57">
        <f t="shared" si="5"/>
        <v>1.9000000000000003E-2</v>
      </c>
      <c r="V22" s="58">
        <f t="shared" si="6"/>
        <v>2.7799999999999991E-2</v>
      </c>
    </row>
    <row r="23" spans="1:22">
      <c r="A23" s="172">
        <v>18</v>
      </c>
      <c r="B23" s="169" t="s">
        <v>51</v>
      </c>
      <c r="C23" s="169" t="s">
        <v>52</v>
      </c>
      <c r="D23" s="33">
        <v>4305108982.6499996</v>
      </c>
      <c r="E23" s="30">
        <f t="shared" ref="E23" si="12">(D23/$D$25)</f>
        <v>0.10443647465220147</v>
      </c>
      <c r="F23" s="33">
        <v>1.7004999999999999</v>
      </c>
      <c r="G23" s="31">
        <v>1.7176</v>
      </c>
      <c r="H23" s="32">
        <v>4874</v>
      </c>
      <c r="I23" s="50">
        <v>9.9000000000000008E-3</v>
      </c>
      <c r="J23" s="50">
        <v>0.1399</v>
      </c>
      <c r="K23" s="33">
        <v>4301935123.2600002</v>
      </c>
      <c r="L23" s="30">
        <f t="shared" ref="L23" si="13">(K23/$K$25)</f>
        <v>0.10256939221788121</v>
      </c>
      <c r="M23" s="33">
        <v>1.7032</v>
      </c>
      <c r="N23" s="31">
        <v>1.7203999999999999</v>
      </c>
      <c r="O23" s="32">
        <v>4890</v>
      </c>
      <c r="P23" s="50">
        <v>1.6000000000000001E-3</v>
      </c>
      <c r="Q23" s="50">
        <v>0.14180000000000001</v>
      </c>
      <c r="R23" s="56">
        <f t="shared" ref="R23" si="14">((K23-D23)/D23)</f>
        <v>-7.3723090467403866E-4</v>
      </c>
      <c r="S23" s="56">
        <f t="shared" ref="S23" si="15">((N23-G23)/G23)</f>
        <v>1.630181648812246E-3</v>
      </c>
      <c r="T23" s="56">
        <f t="shared" ref="T23" si="16">((O23-H23)/H23)</f>
        <v>3.2827246614690192E-3</v>
      </c>
      <c r="U23" s="57">
        <f t="shared" ref="U23" si="17">P23-I23</f>
        <v>-8.3000000000000001E-3</v>
      </c>
      <c r="V23" s="58">
        <f t="shared" ref="V23" si="18">Q23-J23</f>
        <v>1.9000000000000128E-3</v>
      </c>
    </row>
    <row r="24" spans="1:22">
      <c r="A24" s="172">
        <v>19</v>
      </c>
      <c r="B24" s="169" t="s">
        <v>292</v>
      </c>
      <c r="C24" s="169" t="s">
        <v>293</v>
      </c>
      <c r="D24" s="33">
        <v>2921728036.23</v>
      </c>
      <c r="E24" s="30">
        <f>(D24/$D$25)</f>
        <v>7.087741035734145E-2</v>
      </c>
      <c r="F24" s="33">
        <v>150.69</v>
      </c>
      <c r="G24" s="31">
        <v>155.91</v>
      </c>
      <c r="H24" s="32">
        <v>36</v>
      </c>
      <c r="I24" s="50">
        <v>1.67E-2</v>
      </c>
      <c r="J24" s="50">
        <v>0.25169999999999998</v>
      </c>
      <c r="K24" s="33">
        <v>3033503523.9000001</v>
      </c>
      <c r="L24" s="30">
        <f>(K24/$K$25)</f>
        <v>7.2326663192781707E-2</v>
      </c>
      <c r="M24" s="33">
        <v>151.94</v>
      </c>
      <c r="N24" s="31">
        <v>157.44999999999999</v>
      </c>
      <c r="O24" s="32">
        <v>37</v>
      </c>
      <c r="P24" s="50">
        <v>9.2999999999999992E-3</v>
      </c>
      <c r="Q24" s="50">
        <v>0.26340000000000002</v>
      </c>
      <c r="R24" s="56">
        <f t="shared" si="2"/>
        <v>3.8256636580804963E-2</v>
      </c>
      <c r="S24" s="56">
        <f t="shared" si="3"/>
        <v>9.8774934256942604E-3</v>
      </c>
      <c r="T24" s="56">
        <f t="shared" si="4"/>
        <v>2.7777777777777776E-2</v>
      </c>
      <c r="U24" s="57">
        <f t="shared" si="5"/>
        <v>-7.4000000000000003E-3</v>
      </c>
      <c r="V24" s="58">
        <f t="shared" si="6"/>
        <v>1.1700000000000044E-2</v>
      </c>
    </row>
    <row r="25" spans="1:22">
      <c r="A25" s="36"/>
      <c r="B25" s="37"/>
      <c r="C25" s="38" t="s">
        <v>53</v>
      </c>
      <c r="D25" s="39">
        <f>SUM(D6:D24)</f>
        <v>41222274085.630005</v>
      </c>
      <c r="E25" s="40">
        <f>(D25/$D$221)</f>
        <v>7.3417962371642824E-3</v>
      </c>
      <c r="F25" s="41"/>
      <c r="G25" s="42"/>
      <c r="H25" s="43">
        <f>SUM(H6:H24)</f>
        <v>51988</v>
      </c>
      <c r="I25" s="52"/>
      <c r="J25" s="32">
        <v>0</v>
      </c>
      <c r="K25" s="39">
        <f>SUM(K6:K24)</f>
        <v>41941704345.110001</v>
      </c>
      <c r="L25" s="40">
        <f>(K25/$K$221)</f>
        <v>7.4088846554261952E-3</v>
      </c>
      <c r="M25" s="41"/>
      <c r="N25" s="42"/>
      <c r="O25" s="43">
        <f>SUM(O6:O24)</f>
        <v>52080</v>
      </c>
      <c r="P25" s="52"/>
      <c r="Q25" s="43"/>
      <c r="R25" s="56">
        <f t="shared" si="2"/>
        <v>1.7452464121351995E-2</v>
      </c>
      <c r="S25" s="56" t="e">
        <f t="shared" si="3"/>
        <v>#DIV/0!</v>
      </c>
      <c r="T25" s="56">
        <f t="shared" si="4"/>
        <v>1.7696391474955758E-3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</row>
    <row r="27" spans="1:22" ht="15" customHeight="1">
      <c r="A27" s="179" t="s">
        <v>54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</row>
    <row r="28" spans="1:22">
      <c r="A28" s="170">
        <v>20</v>
      </c>
      <c r="B28" s="168" t="s">
        <v>55</v>
      </c>
      <c r="C28" s="169" t="s">
        <v>19</v>
      </c>
      <c r="D28" s="44">
        <v>3379810174.0999999</v>
      </c>
      <c r="E28" s="30">
        <f t="shared" ref="E28:E33" si="19">(D28/$K$69)</f>
        <v>1.1301202346139254E-3</v>
      </c>
      <c r="F28" s="31">
        <v>100</v>
      </c>
      <c r="G28" s="31">
        <v>100</v>
      </c>
      <c r="H28" s="32">
        <v>850</v>
      </c>
      <c r="I28" s="50">
        <v>0.1802</v>
      </c>
      <c r="J28" s="50">
        <v>0.1802</v>
      </c>
      <c r="K28" s="44">
        <v>3409814621.73</v>
      </c>
      <c r="L28" s="30">
        <f t="shared" ref="L28:L33" si="20">(K28/$K$69)</f>
        <v>1.1401529381234077E-3</v>
      </c>
      <c r="M28" s="31">
        <v>100</v>
      </c>
      <c r="N28" s="31">
        <v>100</v>
      </c>
      <c r="O28" s="32">
        <v>850</v>
      </c>
      <c r="P28" s="50">
        <v>0.18840000000000001</v>
      </c>
      <c r="Q28" s="50">
        <v>0.18840000000000001</v>
      </c>
      <c r="R28" s="56">
        <f>((K28-D28)/D28)</f>
        <v>8.877554088667099E-3</v>
      </c>
      <c r="S28" s="56">
        <f>((N28-G28)/G28)</f>
        <v>0</v>
      </c>
      <c r="T28" s="56">
        <f>((O28-H28)/H28)</f>
        <v>0</v>
      </c>
      <c r="U28" s="57">
        <f>P28-I28</f>
        <v>8.2000000000000128E-3</v>
      </c>
      <c r="V28" s="58">
        <f>Q28-J28</f>
        <v>8.2000000000000128E-3</v>
      </c>
    </row>
    <row r="29" spans="1:22">
      <c r="A29" s="170">
        <v>21</v>
      </c>
      <c r="B29" s="168" t="s">
        <v>56</v>
      </c>
      <c r="C29" s="169" t="s">
        <v>57</v>
      </c>
      <c r="D29" s="44">
        <v>20748159361.549999</v>
      </c>
      <c r="E29" s="30">
        <f t="shared" si="19"/>
        <v>6.9376425058327055E-3</v>
      </c>
      <c r="F29" s="31">
        <v>100</v>
      </c>
      <c r="G29" s="31">
        <v>100</v>
      </c>
      <c r="H29" s="32">
        <v>2815</v>
      </c>
      <c r="I29" s="50">
        <v>0.21002999999999999</v>
      </c>
      <c r="J29" s="50">
        <v>0.21002999999999999</v>
      </c>
      <c r="K29" s="44">
        <v>20921762734.830002</v>
      </c>
      <c r="L29" s="30">
        <f t="shared" si="20"/>
        <v>6.9956909389797565E-3</v>
      </c>
      <c r="M29" s="31">
        <v>100</v>
      </c>
      <c r="N29" s="31">
        <v>100</v>
      </c>
      <c r="O29" s="32">
        <v>2857</v>
      </c>
      <c r="P29" s="50">
        <v>0.20543500000000001</v>
      </c>
      <c r="Q29" s="50">
        <v>0.20543500000000001</v>
      </c>
      <c r="R29" s="56">
        <f t="shared" ref="R29:R69" si="21">((K29-D29)/D29)</f>
        <v>8.3671698416641366E-3</v>
      </c>
      <c r="S29" s="56">
        <f t="shared" ref="S29:S69" si="22">((N29-G29)/G29)</f>
        <v>0</v>
      </c>
      <c r="T29" s="56">
        <f t="shared" ref="T29:T69" si="23">((O29-H29)/H29)</f>
        <v>1.4920071047957371E-2</v>
      </c>
      <c r="U29" s="57">
        <f t="shared" ref="U29:U69" si="24">P29-I29</f>
        <v>-4.594999999999988E-3</v>
      </c>
      <c r="V29" s="58">
        <f t="shared" ref="V29:V69" si="25">Q29-J29</f>
        <v>-4.594999999999988E-3</v>
      </c>
    </row>
    <row r="30" spans="1:22">
      <c r="A30" s="170">
        <v>22</v>
      </c>
      <c r="B30" s="168" t="s">
        <v>58</v>
      </c>
      <c r="C30" s="169" t="s">
        <v>21</v>
      </c>
      <c r="D30" s="44">
        <v>2058890279.9200001</v>
      </c>
      <c r="E30" s="30">
        <f t="shared" si="19"/>
        <v>6.8843912714923884E-4</v>
      </c>
      <c r="F30" s="31">
        <v>100</v>
      </c>
      <c r="G30" s="31">
        <v>100</v>
      </c>
      <c r="H30" s="32">
        <v>1989</v>
      </c>
      <c r="I30" s="50">
        <v>0.1976</v>
      </c>
      <c r="J30" s="50">
        <v>0.1976</v>
      </c>
      <c r="K30" s="44">
        <v>2078179428.9400001</v>
      </c>
      <c r="L30" s="30">
        <f t="shared" si="20"/>
        <v>6.9488891470921327E-4</v>
      </c>
      <c r="M30" s="31">
        <v>100</v>
      </c>
      <c r="N30" s="31">
        <v>100</v>
      </c>
      <c r="O30" s="32">
        <v>2003</v>
      </c>
      <c r="P30" s="50">
        <v>0.1963</v>
      </c>
      <c r="Q30" s="50">
        <v>0.1963</v>
      </c>
      <c r="R30" s="56">
        <f t="shared" si="21"/>
        <v>9.3687114889626256E-3</v>
      </c>
      <c r="S30" s="56">
        <f t="shared" si="22"/>
        <v>0</v>
      </c>
      <c r="T30" s="56">
        <f t="shared" si="23"/>
        <v>7.0387129210658624E-3</v>
      </c>
      <c r="U30" s="57">
        <f t="shared" si="24"/>
        <v>-1.2999999999999956E-3</v>
      </c>
      <c r="V30" s="58">
        <f t="shared" si="25"/>
        <v>-1.2999999999999956E-3</v>
      </c>
    </row>
    <row r="31" spans="1:22">
      <c r="A31" s="170">
        <v>23</v>
      </c>
      <c r="B31" s="168" t="s">
        <v>59</v>
      </c>
      <c r="C31" s="169" t="s">
        <v>23</v>
      </c>
      <c r="D31" s="44">
        <v>207411127796.82001</v>
      </c>
      <c r="E31" s="30">
        <f t="shared" si="19"/>
        <v>6.9352863129272829E-2</v>
      </c>
      <c r="F31" s="31">
        <v>1</v>
      </c>
      <c r="G31" s="31">
        <v>1</v>
      </c>
      <c r="H31" s="32">
        <v>69756</v>
      </c>
      <c r="I31" s="50">
        <v>0.22140000000000001</v>
      </c>
      <c r="J31" s="50">
        <v>0.22140000000000001</v>
      </c>
      <c r="K31" s="44">
        <v>212499330442.42999</v>
      </c>
      <c r="L31" s="30">
        <f t="shared" si="20"/>
        <v>7.1054225179628575E-2</v>
      </c>
      <c r="M31" s="31">
        <v>1</v>
      </c>
      <c r="N31" s="31">
        <v>1</v>
      </c>
      <c r="O31" s="32">
        <v>70106</v>
      </c>
      <c r="P31" s="50">
        <v>0.222</v>
      </c>
      <c r="Q31" s="50">
        <v>0.222</v>
      </c>
      <c r="R31" s="56">
        <f t="shared" si="21"/>
        <v>2.4531965568377747E-2</v>
      </c>
      <c r="S31" s="56">
        <f t="shared" si="22"/>
        <v>0</v>
      </c>
      <c r="T31" s="56">
        <f t="shared" si="23"/>
        <v>5.0174895349503982E-3</v>
      </c>
      <c r="U31" s="57">
        <f t="shared" si="24"/>
        <v>5.9999999999998943E-4</v>
      </c>
      <c r="V31" s="58">
        <f t="shared" si="25"/>
        <v>5.9999999999998943E-4</v>
      </c>
    </row>
    <row r="32" spans="1:22">
      <c r="A32" s="170">
        <v>24</v>
      </c>
      <c r="B32" s="168" t="s">
        <v>301</v>
      </c>
      <c r="C32" s="169" t="s">
        <v>115</v>
      </c>
      <c r="D32" s="44">
        <v>988150248</v>
      </c>
      <c r="E32" s="30">
        <f t="shared" si="19"/>
        <v>3.3041163041085261E-4</v>
      </c>
      <c r="F32" s="31">
        <v>1</v>
      </c>
      <c r="G32" s="31">
        <v>1</v>
      </c>
      <c r="H32" s="32">
        <v>290</v>
      </c>
      <c r="I32" s="50">
        <v>0.21229999999999999</v>
      </c>
      <c r="J32" s="50">
        <v>0.21229999999999999</v>
      </c>
      <c r="K32" s="44">
        <v>283589193.20999998</v>
      </c>
      <c r="L32" s="30">
        <f t="shared" si="20"/>
        <v>9.4824818275423208E-5</v>
      </c>
      <c r="M32" s="31">
        <v>1</v>
      </c>
      <c r="N32" s="31">
        <v>1</v>
      </c>
      <c r="O32" s="32">
        <v>208</v>
      </c>
      <c r="P32" s="50">
        <v>0.20649999999999999</v>
      </c>
      <c r="Q32" s="50">
        <v>0.20649999999999999</v>
      </c>
      <c r="R32" s="56">
        <f t="shared" si="21"/>
        <v>-0.71301004702070359</v>
      </c>
      <c r="S32" s="56">
        <f t="shared" si="22"/>
        <v>0</v>
      </c>
      <c r="T32" s="56">
        <f t="shared" si="23"/>
        <v>-0.28275862068965518</v>
      </c>
      <c r="U32" s="57">
        <f t="shared" si="24"/>
        <v>-5.7999999999999996E-3</v>
      </c>
      <c r="V32" s="58">
        <f t="shared" si="25"/>
        <v>-5.7999999999999996E-3</v>
      </c>
    </row>
    <row r="33" spans="1:22">
      <c r="A33" s="170">
        <v>25</v>
      </c>
      <c r="B33" s="168" t="s">
        <v>60</v>
      </c>
      <c r="C33" s="169" t="s">
        <v>25</v>
      </c>
      <c r="D33" s="44">
        <v>121327631510.23</v>
      </c>
      <c r="E33" s="30">
        <f t="shared" si="19"/>
        <v>4.0568790649316545E-2</v>
      </c>
      <c r="F33" s="31">
        <v>1</v>
      </c>
      <c r="G33" s="31">
        <v>1</v>
      </c>
      <c r="H33" s="32">
        <v>33532</v>
      </c>
      <c r="I33" s="50">
        <v>0.1996</v>
      </c>
      <c r="J33" s="50">
        <v>0.1996</v>
      </c>
      <c r="K33" s="44">
        <v>119336551080.09</v>
      </c>
      <c r="L33" s="30">
        <f t="shared" si="20"/>
        <v>3.9903025364600754E-2</v>
      </c>
      <c r="M33" s="31">
        <v>1</v>
      </c>
      <c r="N33" s="31">
        <v>1</v>
      </c>
      <c r="O33" s="32">
        <v>33667</v>
      </c>
      <c r="P33" s="50">
        <v>0.2039</v>
      </c>
      <c r="Q33" s="50">
        <v>0.2039</v>
      </c>
      <c r="R33" s="56">
        <f t="shared" si="21"/>
        <v>-1.6410774737427535E-2</v>
      </c>
      <c r="S33" s="56">
        <f t="shared" si="22"/>
        <v>0</v>
      </c>
      <c r="T33" s="56">
        <f t="shared" si="23"/>
        <v>4.026005010139568E-3</v>
      </c>
      <c r="U33" s="57">
        <f t="shared" si="24"/>
        <v>4.2999999999999983E-3</v>
      </c>
      <c r="V33" s="58">
        <f t="shared" si="25"/>
        <v>4.2999999999999983E-3</v>
      </c>
    </row>
    <row r="34" spans="1:22">
      <c r="A34" s="170">
        <v>26</v>
      </c>
      <c r="B34" s="168" t="s">
        <v>286</v>
      </c>
      <c r="C34" s="169" t="s">
        <v>27</v>
      </c>
      <c r="D34" s="33">
        <v>5075643871.3599997</v>
      </c>
      <c r="E34" s="30">
        <f t="shared" ref="E34" si="26">(D34/$D$25)</f>
        <v>0.12312867215468246</v>
      </c>
      <c r="F34" s="33">
        <v>1</v>
      </c>
      <c r="G34" s="33">
        <v>1</v>
      </c>
      <c r="H34" s="32">
        <v>793</v>
      </c>
      <c r="I34" s="50">
        <v>0.24010000000000001</v>
      </c>
      <c r="J34" s="50">
        <v>0.24010000000000001</v>
      </c>
      <c r="K34" s="33">
        <v>5343046522.3599997</v>
      </c>
      <c r="L34" s="30">
        <f t="shared" ref="L34" si="27">(K34/$K$25)</f>
        <v>0.12739221273402895</v>
      </c>
      <c r="M34" s="33">
        <v>1</v>
      </c>
      <c r="N34" s="33">
        <v>1</v>
      </c>
      <c r="O34" s="32">
        <v>802</v>
      </c>
      <c r="P34" s="50">
        <v>0.22389999999999999</v>
      </c>
      <c r="Q34" s="50">
        <v>0.22389999999999999</v>
      </c>
      <c r="R34" s="56">
        <f t="shared" si="21"/>
        <v>5.2683493518695286E-2</v>
      </c>
      <c r="S34" s="56">
        <f t="shared" si="22"/>
        <v>0</v>
      </c>
      <c r="T34" s="56">
        <f t="shared" si="23"/>
        <v>1.1349306431273645E-2</v>
      </c>
      <c r="U34" s="57">
        <f t="shared" si="24"/>
        <v>-1.620000000000002E-2</v>
      </c>
      <c r="V34" s="58">
        <f t="shared" si="25"/>
        <v>-1.620000000000002E-2</v>
      </c>
    </row>
    <row r="35" spans="1:22" ht="15" customHeight="1">
      <c r="A35" s="170">
        <v>27</v>
      </c>
      <c r="B35" s="168" t="s">
        <v>61</v>
      </c>
      <c r="C35" s="169" t="s">
        <v>47</v>
      </c>
      <c r="D35" s="44">
        <v>23579066949</v>
      </c>
      <c r="E35" s="30">
        <f t="shared" ref="E35:E47" si="28">(D35/$K$69)</f>
        <v>7.884224053937329E-3</v>
      </c>
      <c r="F35" s="31">
        <v>100</v>
      </c>
      <c r="G35" s="31">
        <v>100</v>
      </c>
      <c r="H35" s="32">
        <v>2083</v>
      </c>
      <c r="I35" s="50">
        <v>0.22320000000000001</v>
      </c>
      <c r="J35" s="50">
        <v>0.22320000000000001</v>
      </c>
      <c r="K35" s="44">
        <v>24273800197</v>
      </c>
      <c r="L35" s="30">
        <f t="shared" ref="L35:L47" si="29">(K35/$K$69)</f>
        <v>8.1165247042047448E-3</v>
      </c>
      <c r="M35" s="31">
        <v>100</v>
      </c>
      <c r="N35" s="31">
        <v>100</v>
      </c>
      <c r="O35" s="32">
        <v>2083</v>
      </c>
      <c r="P35" s="50">
        <v>0.22109999999999999</v>
      </c>
      <c r="Q35" s="50">
        <v>0.22109999999999999</v>
      </c>
      <c r="R35" s="56">
        <f t="shared" si="21"/>
        <v>2.9463983859185913E-2</v>
      </c>
      <c r="S35" s="56">
        <f t="shared" si="22"/>
        <v>0</v>
      </c>
      <c r="T35" s="56">
        <f t="shared" si="23"/>
        <v>0</v>
      </c>
      <c r="U35" s="57">
        <f t="shared" si="24"/>
        <v>-2.1000000000000185E-3</v>
      </c>
      <c r="V35" s="58">
        <f t="shared" si="25"/>
        <v>-2.1000000000000185E-3</v>
      </c>
    </row>
    <row r="36" spans="1:22" ht="15" customHeight="1">
      <c r="A36" s="170">
        <v>28</v>
      </c>
      <c r="B36" s="168" t="s">
        <v>62</v>
      </c>
      <c r="C36" s="169" t="s">
        <v>63</v>
      </c>
      <c r="D36" s="44">
        <v>1197510040.3299999</v>
      </c>
      <c r="E36" s="30">
        <f t="shared" si="28"/>
        <v>4.0041607605688839E-4</v>
      </c>
      <c r="F36" s="31">
        <v>1</v>
      </c>
      <c r="G36" s="31">
        <v>1</v>
      </c>
      <c r="H36" s="32">
        <v>442</v>
      </c>
      <c r="I36" s="50">
        <v>0.2</v>
      </c>
      <c r="J36" s="50">
        <v>0.2</v>
      </c>
      <c r="K36" s="44">
        <v>1257201982.25</v>
      </c>
      <c r="L36" s="30">
        <f t="shared" si="29"/>
        <v>4.2037550215843112E-4</v>
      </c>
      <c r="M36" s="31">
        <v>1</v>
      </c>
      <c r="N36" s="31">
        <v>1</v>
      </c>
      <c r="O36" s="32">
        <v>450</v>
      </c>
      <c r="P36" s="50">
        <v>0.2</v>
      </c>
      <c r="Q36" s="50">
        <v>0.2</v>
      </c>
      <c r="R36" s="56">
        <f t="shared" si="21"/>
        <v>4.9846715192091974E-2</v>
      </c>
      <c r="S36" s="56">
        <f t="shared" si="22"/>
        <v>0</v>
      </c>
      <c r="T36" s="56">
        <f t="shared" si="23"/>
        <v>1.8099547511312219E-2</v>
      </c>
      <c r="U36" s="57">
        <f t="shared" si="24"/>
        <v>0</v>
      </c>
      <c r="V36" s="58">
        <f t="shared" si="25"/>
        <v>0</v>
      </c>
    </row>
    <row r="37" spans="1:22">
      <c r="A37" s="170">
        <v>29</v>
      </c>
      <c r="B37" s="168" t="s">
        <v>64</v>
      </c>
      <c r="C37" s="169" t="s">
        <v>65</v>
      </c>
      <c r="D37" s="44">
        <v>54704031478.919998</v>
      </c>
      <c r="E37" s="30">
        <f t="shared" si="28"/>
        <v>1.8291599144542803E-2</v>
      </c>
      <c r="F37" s="31">
        <v>100</v>
      </c>
      <c r="G37" s="31">
        <v>100</v>
      </c>
      <c r="H37" s="32">
        <v>4256</v>
      </c>
      <c r="I37" s="50">
        <v>0.21177791099836901</v>
      </c>
      <c r="J37" s="50">
        <v>0.21177791099836901</v>
      </c>
      <c r="K37" s="44">
        <v>55168081770.439995</v>
      </c>
      <c r="L37" s="30">
        <f t="shared" si="29"/>
        <v>1.8446765440077402E-2</v>
      </c>
      <c r="M37" s="31">
        <v>100</v>
      </c>
      <c r="N37" s="31">
        <v>100</v>
      </c>
      <c r="O37" s="32">
        <v>4302</v>
      </c>
      <c r="P37" s="50">
        <v>0.21438359685977801</v>
      </c>
      <c r="Q37" s="50">
        <v>0.21438359685977801</v>
      </c>
      <c r="R37" s="56">
        <f t="shared" si="21"/>
        <v>8.4829267418584445E-3</v>
      </c>
      <c r="S37" s="56">
        <f t="shared" si="22"/>
        <v>0</v>
      </c>
      <c r="T37" s="56">
        <f t="shared" si="23"/>
        <v>1.0808270676691729E-2</v>
      </c>
      <c r="U37" s="57">
        <f t="shared" si="24"/>
        <v>2.6056858614089962E-3</v>
      </c>
      <c r="V37" s="58">
        <f t="shared" si="25"/>
        <v>2.6056858614089962E-3</v>
      </c>
    </row>
    <row r="38" spans="1:22">
      <c r="A38" s="170">
        <v>30</v>
      </c>
      <c r="B38" s="168" t="s">
        <v>66</v>
      </c>
      <c r="C38" s="169" t="s">
        <v>67</v>
      </c>
      <c r="D38" s="44">
        <v>26010840326.490002</v>
      </c>
      <c r="E38" s="30">
        <f t="shared" si="28"/>
        <v>8.6973455484392233E-3</v>
      </c>
      <c r="F38" s="31">
        <v>100</v>
      </c>
      <c r="G38" s="31">
        <v>100</v>
      </c>
      <c r="H38" s="32">
        <v>6956</v>
      </c>
      <c r="I38" s="50">
        <v>0.20669999999999999</v>
      </c>
      <c r="J38" s="50">
        <v>0.20669999999999999</v>
      </c>
      <c r="K38" s="44">
        <v>27380942277.09</v>
      </c>
      <c r="L38" s="30">
        <f t="shared" si="29"/>
        <v>9.1554718508341151E-3</v>
      </c>
      <c r="M38" s="31">
        <v>100</v>
      </c>
      <c r="N38" s="31">
        <v>100</v>
      </c>
      <c r="O38" s="32">
        <v>7005</v>
      </c>
      <c r="P38" s="50">
        <v>0.20369999999999999</v>
      </c>
      <c r="Q38" s="50">
        <v>0.20369999999999999</v>
      </c>
      <c r="R38" s="56">
        <f t="shared" si="21"/>
        <v>5.2674267090273785E-2</v>
      </c>
      <c r="S38" s="56">
        <f t="shared" si="22"/>
        <v>0</v>
      </c>
      <c r="T38" s="56">
        <f t="shared" si="23"/>
        <v>7.0442783208740653E-3</v>
      </c>
      <c r="U38" s="57">
        <f t="shared" si="24"/>
        <v>-3.0000000000000027E-3</v>
      </c>
      <c r="V38" s="58">
        <f t="shared" si="25"/>
        <v>-3.0000000000000027E-3</v>
      </c>
    </row>
    <row r="39" spans="1:22">
      <c r="A39" s="170">
        <v>31</v>
      </c>
      <c r="B39" s="168" t="s">
        <v>68</v>
      </c>
      <c r="C39" s="169" t="s">
        <v>296</v>
      </c>
      <c r="D39" s="44">
        <v>25053797032.220001</v>
      </c>
      <c r="E39" s="30">
        <f t="shared" si="28"/>
        <v>8.3773352707779622E-3</v>
      </c>
      <c r="F39" s="31">
        <v>1</v>
      </c>
      <c r="G39" s="31">
        <v>1</v>
      </c>
      <c r="H39" s="32">
        <v>5967</v>
      </c>
      <c r="I39" s="50">
        <v>0.2114</v>
      </c>
      <c r="J39" s="50">
        <v>0.2114</v>
      </c>
      <c r="K39" s="44">
        <v>27346894986.630001</v>
      </c>
      <c r="L39" s="30">
        <f t="shared" si="29"/>
        <v>9.1440873262896658E-3</v>
      </c>
      <c r="M39" s="31">
        <v>1</v>
      </c>
      <c r="N39" s="31">
        <v>1</v>
      </c>
      <c r="O39" s="32">
        <v>6051</v>
      </c>
      <c r="P39" s="50">
        <v>0.2089</v>
      </c>
      <c r="Q39" s="50">
        <v>0.2089</v>
      </c>
      <c r="R39" s="56">
        <f t="shared" si="21"/>
        <v>9.1526963017262458E-2</v>
      </c>
      <c r="S39" s="56">
        <f t="shared" si="22"/>
        <v>0</v>
      </c>
      <c r="T39" s="56">
        <f t="shared" si="23"/>
        <v>1.4077425842131725E-2</v>
      </c>
      <c r="U39" s="57">
        <f t="shared" si="24"/>
        <v>-2.5000000000000022E-3</v>
      </c>
      <c r="V39" s="58">
        <f t="shared" si="25"/>
        <v>-2.5000000000000022E-3</v>
      </c>
    </row>
    <row r="40" spans="1:22">
      <c r="A40" s="170">
        <v>32</v>
      </c>
      <c r="B40" s="168" t="s">
        <v>69</v>
      </c>
      <c r="C40" s="169" t="s">
        <v>70</v>
      </c>
      <c r="D40" s="44">
        <v>57179089628.449997</v>
      </c>
      <c r="E40" s="30">
        <f t="shared" si="28"/>
        <v>1.9119193936127449E-2</v>
      </c>
      <c r="F40" s="45">
        <v>100</v>
      </c>
      <c r="G40" s="45">
        <v>100</v>
      </c>
      <c r="H40" s="32">
        <v>3385</v>
      </c>
      <c r="I40" s="50">
        <v>0.2044</v>
      </c>
      <c r="J40" s="50">
        <v>0.2044</v>
      </c>
      <c r="K40" s="44">
        <v>58030095561.68</v>
      </c>
      <c r="L40" s="30">
        <f t="shared" si="29"/>
        <v>1.9403748090171272E-2</v>
      </c>
      <c r="M40" s="45">
        <v>100</v>
      </c>
      <c r="N40" s="45">
        <v>100</v>
      </c>
      <c r="O40" s="32">
        <v>3848</v>
      </c>
      <c r="P40" s="50">
        <v>0.20780000000000001</v>
      </c>
      <c r="Q40" s="50">
        <v>0.20780000000000001</v>
      </c>
      <c r="R40" s="56">
        <f t="shared" si="21"/>
        <v>1.4883166884255138E-2</v>
      </c>
      <c r="S40" s="56">
        <f t="shared" si="22"/>
        <v>0</v>
      </c>
      <c r="T40" s="56">
        <f t="shared" si="23"/>
        <v>0.13677991137370754</v>
      </c>
      <c r="U40" s="57">
        <f t="shared" si="24"/>
        <v>3.4000000000000141E-3</v>
      </c>
      <c r="V40" s="58">
        <f t="shared" si="25"/>
        <v>3.4000000000000141E-3</v>
      </c>
    </row>
    <row r="41" spans="1:22">
      <c r="A41" s="170">
        <v>33</v>
      </c>
      <c r="B41" s="168" t="s">
        <v>71</v>
      </c>
      <c r="C41" s="169" t="s">
        <v>70</v>
      </c>
      <c r="D41" s="44">
        <v>7497973131.8999996</v>
      </c>
      <c r="E41" s="30">
        <f t="shared" si="28"/>
        <v>2.5071263528012042E-3</v>
      </c>
      <c r="F41" s="45">
        <v>1000000</v>
      </c>
      <c r="G41" s="45">
        <v>1000000</v>
      </c>
      <c r="H41" s="32">
        <v>19</v>
      </c>
      <c r="I41" s="50">
        <v>0.2167</v>
      </c>
      <c r="J41" s="50">
        <v>0.2167</v>
      </c>
      <c r="K41" s="44">
        <v>7508545798.1800003</v>
      </c>
      <c r="L41" s="30">
        <f t="shared" si="29"/>
        <v>2.5106615762254107E-3</v>
      </c>
      <c r="M41" s="45">
        <v>1000000</v>
      </c>
      <c r="N41" s="45">
        <v>1000000</v>
      </c>
      <c r="O41" s="32">
        <v>26</v>
      </c>
      <c r="P41" s="50">
        <v>0.217</v>
      </c>
      <c r="Q41" s="50">
        <v>0.217</v>
      </c>
      <c r="R41" s="56">
        <f t="shared" si="21"/>
        <v>1.4100699074286432E-3</v>
      </c>
      <c r="S41" s="56">
        <f t="shared" si="22"/>
        <v>0</v>
      </c>
      <c r="T41" s="56">
        <f t="shared" si="23"/>
        <v>0.36842105263157893</v>
      </c>
      <c r="U41" s="57">
        <f t="shared" si="24"/>
        <v>2.9999999999999472E-4</v>
      </c>
      <c r="V41" s="58">
        <f t="shared" si="25"/>
        <v>2.9999999999999472E-4</v>
      </c>
    </row>
    <row r="42" spans="1:22">
      <c r="A42" s="170">
        <v>34</v>
      </c>
      <c r="B42" s="168" t="s">
        <v>72</v>
      </c>
      <c r="C42" s="169" t="s">
        <v>73</v>
      </c>
      <c r="D42" s="44">
        <v>5393812684.8299999</v>
      </c>
      <c r="E42" s="30">
        <f t="shared" si="28"/>
        <v>1.8035500643070409E-3</v>
      </c>
      <c r="F42" s="31">
        <v>1</v>
      </c>
      <c r="G42" s="31">
        <v>1</v>
      </c>
      <c r="H42" s="32">
        <v>913</v>
      </c>
      <c r="I42" s="50">
        <v>0.2082</v>
      </c>
      <c r="J42" s="50">
        <v>0.2082</v>
      </c>
      <c r="K42" s="44">
        <v>5111608874.3199997</v>
      </c>
      <c r="L42" s="30">
        <f t="shared" si="29"/>
        <v>1.7091884818174472E-3</v>
      </c>
      <c r="M42" s="31">
        <v>1</v>
      </c>
      <c r="N42" s="31">
        <v>1</v>
      </c>
      <c r="O42" s="32">
        <v>914</v>
      </c>
      <c r="P42" s="50">
        <v>0.20899999999999999</v>
      </c>
      <c r="Q42" s="50">
        <v>0.20899999999999999</v>
      </c>
      <c r="R42" s="56">
        <f t="shared" si="21"/>
        <v>-5.2319913018798986E-2</v>
      </c>
      <c r="S42" s="56">
        <f t="shared" si="22"/>
        <v>0</v>
      </c>
      <c r="T42" s="56">
        <f t="shared" si="23"/>
        <v>1.0952902519167579E-3</v>
      </c>
      <c r="U42" s="57">
        <f t="shared" si="24"/>
        <v>7.9999999999999516E-4</v>
      </c>
      <c r="V42" s="58">
        <f t="shared" si="25"/>
        <v>7.9999999999999516E-4</v>
      </c>
    </row>
    <row r="43" spans="1:22">
      <c r="A43" s="170">
        <v>35</v>
      </c>
      <c r="B43" s="168" t="s">
        <v>74</v>
      </c>
      <c r="C43" s="169" t="s">
        <v>31</v>
      </c>
      <c r="D43" s="44">
        <v>519530350202.88</v>
      </c>
      <c r="E43" s="30">
        <f t="shared" si="28"/>
        <v>0.17371737790471597</v>
      </c>
      <c r="F43" s="31">
        <v>100</v>
      </c>
      <c r="G43" s="31">
        <v>100</v>
      </c>
      <c r="H43" s="32">
        <v>16175</v>
      </c>
      <c r="I43" s="50">
        <v>0.2102</v>
      </c>
      <c r="J43" s="50">
        <v>0.2102</v>
      </c>
      <c r="K43" s="44">
        <v>519299073374.15997</v>
      </c>
      <c r="L43" s="30">
        <f t="shared" si="29"/>
        <v>0.17364004497461924</v>
      </c>
      <c r="M43" s="31">
        <v>100</v>
      </c>
      <c r="N43" s="31">
        <v>100</v>
      </c>
      <c r="O43" s="32">
        <v>16160</v>
      </c>
      <c r="P43" s="50">
        <v>0.2099</v>
      </c>
      <c r="Q43" s="50">
        <v>0.2099</v>
      </c>
      <c r="R43" s="56">
        <f t="shared" si="21"/>
        <v>-4.4516519319750354E-4</v>
      </c>
      <c r="S43" s="56">
        <f t="shared" si="22"/>
        <v>0</v>
      </c>
      <c r="T43" s="56">
        <f t="shared" si="23"/>
        <v>-9.2735703245749618E-4</v>
      </c>
      <c r="U43" s="57">
        <f t="shared" si="24"/>
        <v>-2.9999999999999472E-4</v>
      </c>
      <c r="V43" s="58">
        <f t="shared" si="25"/>
        <v>-2.9999999999999472E-4</v>
      </c>
    </row>
    <row r="44" spans="1:22">
      <c r="A44" s="170">
        <v>36</v>
      </c>
      <c r="B44" s="168" t="s">
        <v>75</v>
      </c>
      <c r="C44" s="169" t="s">
        <v>76</v>
      </c>
      <c r="D44" s="44">
        <v>2183903683.5599999</v>
      </c>
      <c r="E44" s="30">
        <f t="shared" si="28"/>
        <v>7.3024034371878862E-4</v>
      </c>
      <c r="F44" s="31">
        <v>1</v>
      </c>
      <c r="G44" s="31">
        <v>1</v>
      </c>
      <c r="H44" s="46">
        <v>1280</v>
      </c>
      <c r="I44" s="53">
        <v>0.20469999999999999</v>
      </c>
      <c r="J44" s="53">
        <v>0.20469999999999999</v>
      </c>
      <c r="K44" s="44">
        <v>2200366745.8299999</v>
      </c>
      <c r="L44" s="30">
        <f t="shared" si="29"/>
        <v>7.3574516169277158E-4</v>
      </c>
      <c r="M44" s="31">
        <v>1</v>
      </c>
      <c r="N44" s="31">
        <v>1</v>
      </c>
      <c r="O44" s="46">
        <v>1291</v>
      </c>
      <c r="P44" s="53">
        <v>0.20530000000000001</v>
      </c>
      <c r="Q44" s="53">
        <v>0.20530000000000001</v>
      </c>
      <c r="R44" s="56">
        <f t="shared" si="21"/>
        <v>7.5383646238296569E-3</v>
      </c>
      <c r="S44" s="56">
        <f t="shared" si="22"/>
        <v>0</v>
      </c>
      <c r="T44" s="56">
        <f t="shared" si="23"/>
        <v>8.5937500000000007E-3</v>
      </c>
      <c r="U44" s="57">
        <f t="shared" si="24"/>
        <v>6.0000000000001719E-4</v>
      </c>
      <c r="V44" s="58">
        <f t="shared" si="25"/>
        <v>6.0000000000001719E-4</v>
      </c>
    </row>
    <row r="45" spans="1:22">
      <c r="A45" s="170">
        <v>37</v>
      </c>
      <c r="B45" s="168" t="s">
        <v>298</v>
      </c>
      <c r="C45" s="169" t="s">
        <v>299</v>
      </c>
      <c r="D45" s="44">
        <v>1329028269.21</v>
      </c>
      <c r="E45" s="30">
        <f t="shared" si="28"/>
        <v>4.4439233626725725E-4</v>
      </c>
      <c r="F45" s="31">
        <v>1</v>
      </c>
      <c r="G45" s="31">
        <v>1</v>
      </c>
      <c r="H45" s="46">
        <v>217</v>
      </c>
      <c r="I45" s="53">
        <v>0.21179999999999999</v>
      </c>
      <c r="J45" s="53">
        <v>0.21179999999999999</v>
      </c>
      <c r="K45" s="44">
        <v>1471611386.21</v>
      </c>
      <c r="L45" s="30">
        <f t="shared" si="29"/>
        <v>4.9206840602727953E-4</v>
      </c>
      <c r="M45" s="31">
        <v>1</v>
      </c>
      <c r="N45" s="31">
        <v>1</v>
      </c>
      <c r="O45" s="46">
        <v>224</v>
      </c>
      <c r="P45" s="53">
        <v>0.19239999999999999</v>
      </c>
      <c r="Q45" s="53">
        <v>0.19239999999999999</v>
      </c>
      <c r="R45" s="56">
        <f t="shared" si="21"/>
        <v>0.10728373526979539</v>
      </c>
      <c r="S45" s="56">
        <f t="shared" si="22"/>
        <v>0</v>
      </c>
      <c r="T45" s="56">
        <f t="shared" si="23"/>
        <v>3.2258064516129031E-2</v>
      </c>
      <c r="U45" s="57">
        <f t="shared" si="24"/>
        <v>-1.9400000000000001E-2</v>
      </c>
      <c r="V45" s="58">
        <f t="shared" si="25"/>
        <v>-1.9400000000000001E-2</v>
      </c>
    </row>
    <row r="46" spans="1:22">
      <c r="A46" s="170">
        <v>38</v>
      </c>
      <c r="B46" s="168" t="s">
        <v>77</v>
      </c>
      <c r="C46" s="169" t="s">
        <v>78</v>
      </c>
      <c r="D46" s="44">
        <v>925379210.84000003</v>
      </c>
      <c r="E46" s="30">
        <f t="shared" si="28"/>
        <v>3.0942263529336534E-4</v>
      </c>
      <c r="F46" s="31">
        <v>10</v>
      </c>
      <c r="G46" s="31">
        <v>10</v>
      </c>
      <c r="H46" s="32">
        <v>459</v>
      </c>
      <c r="I46" s="50">
        <v>0.16789999999999999</v>
      </c>
      <c r="J46" s="50">
        <v>0.16789999999999999</v>
      </c>
      <c r="K46" s="44">
        <v>932091671.59000003</v>
      </c>
      <c r="L46" s="30">
        <f t="shared" si="29"/>
        <v>3.1166710682486098E-4</v>
      </c>
      <c r="M46" s="31">
        <v>10</v>
      </c>
      <c r="N46" s="31">
        <v>10</v>
      </c>
      <c r="O46" s="32">
        <v>462</v>
      </c>
      <c r="P46" s="50">
        <v>0.1663</v>
      </c>
      <c r="Q46" s="50">
        <v>0.1663</v>
      </c>
      <c r="R46" s="56">
        <f t="shared" si="21"/>
        <v>7.2537405977673277E-3</v>
      </c>
      <c r="S46" s="56">
        <f t="shared" si="22"/>
        <v>0</v>
      </c>
      <c r="T46" s="56">
        <f t="shared" si="23"/>
        <v>6.5359477124183009E-3</v>
      </c>
      <c r="U46" s="57">
        <f t="shared" si="24"/>
        <v>-1.5999999999999903E-3</v>
      </c>
      <c r="V46" s="58">
        <f t="shared" si="25"/>
        <v>-1.5999999999999903E-3</v>
      </c>
    </row>
    <row r="47" spans="1:22">
      <c r="A47" s="170">
        <v>39</v>
      </c>
      <c r="B47" s="168" t="s">
        <v>79</v>
      </c>
      <c r="C47" s="169" t="s">
        <v>80</v>
      </c>
      <c r="D47" s="44">
        <v>6889159781.6599998</v>
      </c>
      <c r="E47" s="30">
        <f t="shared" si="28"/>
        <v>2.3035550719399849E-3</v>
      </c>
      <c r="F47" s="31">
        <v>100</v>
      </c>
      <c r="G47" s="31">
        <v>100</v>
      </c>
      <c r="H47" s="32">
        <v>911</v>
      </c>
      <c r="I47" s="50">
        <v>0.22739999999999999</v>
      </c>
      <c r="J47" s="50">
        <v>0.22739999999999999</v>
      </c>
      <c r="K47" s="44">
        <v>6896520107.96</v>
      </c>
      <c r="L47" s="30">
        <f t="shared" si="29"/>
        <v>2.3060161727878176E-3</v>
      </c>
      <c r="M47" s="31">
        <v>100</v>
      </c>
      <c r="N47" s="31">
        <v>100</v>
      </c>
      <c r="O47" s="32">
        <v>917</v>
      </c>
      <c r="P47" s="50">
        <v>0.23139999999999999</v>
      </c>
      <c r="Q47" s="50">
        <v>0.23139999999999999</v>
      </c>
      <c r="R47" s="56">
        <f t="shared" si="21"/>
        <v>1.0683924503528731E-3</v>
      </c>
      <c r="S47" s="56">
        <f t="shared" si="22"/>
        <v>0</v>
      </c>
      <c r="T47" s="56">
        <f t="shared" si="23"/>
        <v>6.5861690450054883E-3</v>
      </c>
      <c r="U47" s="57">
        <f t="shared" si="24"/>
        <v>4.0000000000000036E-3</v>
      </c>
      <c r="V47" s="58">
        <f t="shared" si="25"/>
        <v>4.0000000000000036E-3</v>
      </c>
    </row>
    <row r="48" spans="1:22">
      <c r="A48" s="170">
        <v>40</v>
      </c>
      <c r="B48" s="168" t="s">
        <v>81</v>
      </c>
      <c r="C48" s="168" t="s">
        <v>82</v>
      </c>
      <c r="D48" s="132">
        <v>97691777.505538419</v>
      </c>
      <c r="E48" s="30">
        <f>(D48/$D$189)</f>
        <v>1.6058326464267613E-3</v>
      </c>
      <c r="F48" s="33">
        <v>1</v>
      </c>
      <c r="G48" s="33">
        <v>1</v>
      </c>
      <c r="H48" s="32">
        <v>89</v>
      </c>
      <c r="I48" s="50">
        <v>0.17460000000000001</v>
      </c>
      <c r="J48" s="50">
        <v>0.17460000000000001</v>
      </c>
      <c r="K48" s="132">
        <v>98621533.029831171</v>
      </c>
      <c r="L48" s="54">
        <f>(K48/$K$189)</f>
        <v>1.6209552659723759E-3</v>
      </c>
      <c r="M48" s="33">
        <v>1</v>
      </c>
      <c r="N48" s="33">
        <v>1</v>
      </c>
      <c r="O48" s="32">
        <v>89</v>
      </c>
      <c r="P48" s="50">
        <v>0.1782</v>
      </c>
      <c r="Q48" s="50">
        <v>0.1782</v>
      </c>
      <c r="R48" s="57">
        <f t="shared" si="21"/>
        <v>9.5172341831946065E-3</v>
      </c>
      <c r="S48" s="57">
        <f t="shared" si="22"/>
        <v>0</v>
      </c>
      <c r="T48" s="57">
        <f t="shared" si="23"/>
        <v>0</v>
      </c>
      <c r="U48" s="57">
        <f t="shared" si="24"/>
        <v>3.5999999999999921E-3</v>
      </c>
      <c r="V48" s="58">
        <f t="shared" si="25"/>
        <v>3.5999999999999921E-3</v>
      </c>
    </row>
    <row r="49" spans="1:22">
      <c r="A49" s="170">
        <v>41</v>
      </c>
      <c r="B49" s="168" t="s">
        <v>285</v>
      </c>
      <c r="C49" s="169" t="s">
        <v>37</v>
      </c>
      <c r="D49" s="44">
        <v>396129430.91000003</v>
      </c>
      <c r="E49" s="30">
        <f t="shared" ref="E49" si="30">(D49/$K$69)</f>
        <v>1.3245533397942972E-4</v>
      </c>
      <c r="F49" s="31">
        <v>100</v>
      </c>
      <c r="G49" s="31">
        <v>100</v>
      </c>
      <c r="H49" s="32">
        <v>1857</v>
      </c>
      <c r="I49" s="50">
        <v>0.18920000000000001</v>
      </c>
      <c r="J49" s="50">
        <v>0.18920000000000001</v>
      </c>
      <c r="K49" s="44">
        <v>365974424.85000002</v>
      </c>
      <c r="L49" s="30">
        <f t="shared" ref="L49" si="31">(K49/$K$69)</f>
        <v>1.2237228766385185E-4</v>
      </c>
      <c r="M49" s="31">
        <v>100</v>
      </c>
      <c r="N49" s="31">
        <v>100</v>
      </c>
      <c r="O49" s="32">
        <v>1903</v>
      </c>
      <c r="P49" s="50">
        <v>0.19370000000000001</v>
      </c>
      <c r="Q49" s="50">
        <v>0.19370000000000001</v>
      </c>
      <c r="R49" s="56">
        <f t="shared" ref="R49" si="32">((K49-D49)/D49)</f>
        <v>-7.6124124356847331E-2</v>
      </c>
      <c r="S49" s="56">
        <f t="shared" ref="S49" si="33">((N49-G49)/G49)</f>
        <v>0</v>
      </c>
      <c r="T49" s="56">
        <f t="shared" ref="T49" si="34">((O49-H49)/H49)</f>
        <v>2.4771136241249325E-2</v>
      </c>
      <c r="U49" s="57">
        <f t="shared" ref="U49" si="35">P49-I49</f>
        <v>4.500000000000004E-3</v>
      </c>
      <c r="V49" s="58">
        <f t="shared" ref="V49" si="36">Q49-J49</f>
        <v>4.500000000000004E-3</v>
      </c>
    </row>
    <row r="50" spans="1:22">
      <c r="A50" s="170">
        <v>42</v>
      </c>
      <c r="B50" s="168" t="s">
        <v>83</v>
      </c>
      <c r="C50" s="169" t="s">
        <v>37</v>
      </c>
      <c r="D50" s="44">
        <v>85046684321.539993</v>
      </c>
      <c r="E50" s="30">
        <f t="shared" ref="E50:E68" si="37">(D50/$K$69)</f>
        <v>2.8437389642508214E-2</v>
      </c>
      <c r="F50" s="31">
        <v>100</v>
      </c>
      <c r="G50" s="31">
        <v>100</v>
      </c>
      <c r="H50" s="32">
        <v>11974</v>
      </c>
      <c r="I50" s="50">
        <v>0.1951</v>
      </c>
      <c r="J50" s="50">
        <v>0.1951</v>
      </c>
      <c r="K50" s="44">
        <v>87048223615.559998</v>
      </c>
      <c r="L50" s="30">
        <f t="shared" ref="L50:L68" si="38">(K50/$K$69)</f>
        <v>2.9106652098098405E-2</v>
      </c>
      <c r="M50" s="31">
        <v>100</v>
      </c>
      <c r="N50" s="31">
        <v>100</v>
      </c>
      <c r="O50" s="32">
        <v>12107</v>
      </c>
      <c r="P50" s="50">
        <v>0.19040000000000001</v>
      </c>
      <c r="Q50" s="50">
        <v>0.19040000000000001</v>
      </c>
      <c r="R50" s="56">
        <f t="shared" si="21"/>
        <v>2.3534595263616516E-2</v>
      </c>
      <c r="S50" s="56">
        <f t="shared" si="22"/>
        <v>0</v>
      </c>
      <c r="T50" s="56">
        <f t="shared" si="23"/>
        <v>1.1107399365291464E-2</v>
      </c>
      <c r="U50" s="57">
        <f t="shared" si="24"/>
        <v>-4.699999999999982E-3</v>
      </c>
      <c r="V50" s="58">
        <f t="shared" si="25"/>
        <v>-4.699999999999982E-3</v>
      </c>
    </row>
    <row r="51" spans="1:22">
      <c r="A51" s="170">
        <v>43</v>
      </c>
      <c r="B51" s="168" t="s">
        <v>84</v>
      </c>
      <c r="C51" s="169" t="s">
        <v>41</v>
      </c>
      <c r="D51" s="44">
        <v>20071947595.75</v>
      </c>
      <c r="E51" s="30">
        <f t="shared" si="37"/>
        <v>6.7115349553936964E-3</v>
      </c>
      <c r="F51" s="31">
        <v>1</v>
      </c>
      <c r="G51" s="31">
        <v>1</v>
      </c>
      <c r="H51" s="32">
        <v>1720</v>
      </c>
      <c r="I51" s="50">
        <v>0.20069999999999999</v>
      </c>
      <c r="J51" s="50">
        <v>0.20069999999999999</v>
      </c>
      <c r="K51" s="44">
        <v>20173434071.709999</v>
      </c>
      <c r="L51" s="30">
        <f t="shared" si="38"/>
        <v>6.7454693819188772E-3</v>
      </c>
      <c r="M51" s="31">
        <v>1</v>
      </c>
      <c r="N51" s="31">
        <v>1</v>
      </c>
      <c r="O51" s="32">
        <v>1755</v>
      </c>
      <c r="P51" s="50">
        <v>0.2031</v>
      </c>
      <c r="Q51" s="50">
        <v>0.2031</v>
      </c>
      <c r="R51" s="56">
        <f t="shared" si="21"/>
        <v>5.0561349602909313E-3</v>
      </c>
      <c r="S51" s="56">
        <f t="shared" si="22"/>
        <v>0</v>
      </c>
      <c r="T51" s="56">
        <f t="shared" si="23"/>
        <v>2.0348837209302327E-2</v>
      </c>
      <c r="U51" s="57">
        <f t="shared" si="24"/>
        <v>2.4000000000000132E-3</v>
      </c>
      <c r="V51" s="58">
        <f t="shared" si="25"/>
        <v>2.4000000000000132E-3</v>
      </c>
    </row>
    <row r="52" spans="1:22">
      <c r="A52" s="170">
        <v>44</v>
      </c>
      <c r="B52" s="168" t="s">
        <v>309</v>
      </c>
      <c r="C52" s="169" t="s">
        <v>308</v>
      </c>
      <c r="D52" s="44">
        <v>1675165014.1626556</v>
      </c>
      <c r="E52" s="30">
        <f t="shared" si="37"/>
        <v>5.6013142197450726E-4</v>
      </c>
      <c r="F52" s="31">
        <v>100</v>
      </c>
      <c r="G52" s="31">
        <v>100</v>
      </c>
      <c r="H52" s="32">
        <v>136</v>
      </c>
      <c r="I52" s="50">
        <v>0.21329999999999999</v>
      </c>
      <c r="J52" s="50">
        <v>0.21329999999999999</v>
      </c>
      <c r="K52" s="44">
        <v>1694542892.8293931</v>
      </c>
      <c r="L52" s="30">
        <f t="shared" si="38"/>
        <v>5.6661087841054965E-4</v>
      </c>
      <c r="M52" s="31">
        <v>100</v>
      </c>
      <c r="N52" s="31">
        <v>100</v>
      </c>
      <c r="O52" s="32">
        <v>139</v>
      </c>
      <c r="P52" s="50">
        <v>0.21290000000000001</v>
      </c>
      <c r="Q52" s="50">
        <v>0.21290000000000001</v>
      </c>
      <c r="R52" s="56">
        <f t="shared" si="21"/>
        <v>1.1567743179273442E-2</v>
      </c>
      <c r="S52" s="56">
        <f t="shared" si="22"/>
        <v>0</v>
      </c>
      <c r="T52" s="56">
        <f t="shared" si="23"/>
        <v>2.2058823529411766E-2</v>
      </c>
      <c r="U52" s="57">
        <f t="shared" si="24"/>
        <v>-3.999999999999837E-4</v>
      </c>
      <c r="V52" s="58">
        <f t="shared" si="25"/>
        <v>-3.999999999999837E-4</v>
      </c>
    </row>
    <row r="53" spans="1:22">
      <c r="A53" s="170">
        <v>45</v>
      </c>
      <c r="B53" s="168" t="s">
        <v>85</v>
      </c>
      <c r="C53" s="169" t="s">
        <v>43</v>
      </c>
      <c r="D53" s="47">
        <v>42621819392.910004</v>
      </c>
      <c r="E53" s="30">
        <f t="shared" si="37"/>
        <v>1.4251623035253531E-2</v>
      </c>
      <c r="F53" s="31">
        <v>10</v>
      </c>
      <c r="G53" s="31">
        <v>10</v>
      </c>
      <c r="H53" s="32">
        <v>4672</v>
      </c>
      <c r="I53" s="50">
        <v>0.2205</v>
      </c>
      <c r="J53" s="50">
        <v>0.2205</v>
      </c>
      <c r="K53" s="47">
        <v>43655862389.869995</v>
      </c>
      <c r="L53" s="30">
        <f t="shared" si="38"/>
        <v>1.4597380002103449E-2</v>
      </c>
      <c r="M53" s="31">
        <v>10</v>
      </c>
      <c r="N53" s="31">
        <v>10</v>
      </c>
      <c r="O53" s="32">
        <v>4731</v>
      </c>
      <c r="P53" s="50">
        <v>0.22270000000000001</v>
      </c>
      <c r="Q53" s="50">
        <v>0.22270000000000001</v>
      </c>
      <c r="R53" s="56">
        <f t="shared" si="21"/>
        <v>2.4260883549518327E-2</v>
      </c>
      <c r="S53" s="56">
        <f t="shared" si="22"/>
        <v>0</v>
      </c>
      <c r="T53" s="56">
        <f t="shared" si="23"/>
        <v>1.2628424657534247E-2</v>
      </c>
      <c r="U53" s="57">
        <f t="shared" si="24"/>
        <v>2.2000000000000075E-3</v>
      </c>
      <c r="V53" s="58">
        <f t="shared" si="25"/>
        <v>2.2000000000000075E-3</v>
      </c>
    </row>
    <row r="54" spans="1:22">
      <c r="A54" s="170">
        <v>46</v>
      </c>
      <c r="B54" s="168" t="s">
        <v>86</v>
      </c>
      <c r="C54" s="169" t="s">
        <v>87</v>
      </c>
      <c r="D54" s="44">
        <v>19765470134</v>
      </c>
      <c r="E54" s="30">
        <f t="shared" si="37"/>
        <v>6.6090568980072279E-3</v>
      </c>
      <c r="F54" s="31">
        <v>100</v>
      </c>
      <c r="G54" s="31">
        <v>100</v>
      </c>
      <c r="H54" s="32">
        <v>4106</v>
      </c>
      <c r="I54" s="50">
        <v>0.21529999999999999</v>
      </c>
      <c r="J54" s="50">
        <v>0.21529999999999999</v>
      </c>
      <c r="K54" s="44">
        <v>20028548534</v>
      </c>
      <c r="L54" s="30">
        <f t="shared" si="38"/>
        <v>6.6970234428174041E-3</v>
      </c>
      <c r="M54" s="31">
        <v>100</v>
      </c>
      <c r="N54" s="31">
        <v>100</v>
      </c>
      <c r="O54" s="32">
        <v>4138</v>
      </c>
      <c r="P54" s="50">
        <v>0.21379999999999999</v>
      </c>
      <c r="Q54" s="50">
        <v>0.21379999999999999</v>
      </c>
      <c r="R54" s="56">
        <f t="shared" si="21"/>
        <v>1.3309999621383153E-2</v>
      </c>
      <c r="S54" s="56">
        <f t="shared" si="22"/>
        <v>0</v>
      </c>
      <c r="T54" s="56">
        <f t="shared" si="23"/>
        <v>7.7934729663906481E-3</v>
      </c>
      <c r="U54" s="57">
        <f t="shared" si="24"/>
        <v>-1.5000000000000013E-3</v>
      </c>
      <c r="V54" s="58">
        <f t="shared" si="25"/>
        <v>-1.5000000000000013E-3</v>
      </c>
    </row>
    <row r="55" spans="1:22">
      <c r="A55" s="170">
        <v>47</v>
      </c>
      <c r="B55" s="168" t="s">
        <v>88</v>
      </c>
      <c r="C55" s="169" t="s">
        <v>89</v>
      </c>
      <c r="D55" s="44">
        <v>265833332.09</v>
      </c>
      <c r="E55" s="30">
        <f t="shared" si="37"/>
        <v>8.8887722136569785E-5</v>
      </c>
      <c r="F55" s="31">
        <v>1</v>
      </c>
      <c r="G55" s="31">
        <v>1</v>
      </c>
      <c r="H55" s="32">
        <v>93</v>
      </c>
      <c r="I55" s="50">
        <v>0.1845</v>
      </c>
      <c r="J55" s="50">
        <v>0.1845</v>
      </c>
      <c r="K55" s="44">
        <v>279189862.44999999</v>
      </c>
      <c r="L55" s="30">
        <f t="shared" si="38"/>
        <v>9.3353796988862532E-5</v>
      </c>
      <c r="M55" s="31">
        <v>1</v>
      </c>
      <c r="N55" s="31">
        <v>1</v>
      </c>
      <c r="O55" s="32">
        <v>97</v>
      </c>
      <c r="P55" s="50">
        <v>0.1472</v>
      </c>
      <c r="Q55" s="50">
        <v>0.1472</v>
      </c>
      <c r="R55" s="56">
        <f t="shared" si="21"/>
        <v>5.024400158922894E-2</v>
      </c>
      <c r="S55" s="56">
        <f t="shared" si="22"/>
        <v>0</v>
      </c>
      <c r="T55" s="56">
        <f t="shared" si="23"/>
        <v>4.3010752688172046E-2</v>
      </c>
      <c r="U55" s="57">
        <f t="shared" si="24"/>
        <v>-3.73E-2</v>
      </c>
      <c r="V55" s="58">
        <f t="shared" si="25"/>
        <v>-3.73E-2</v>
      </c>
    </row>
    <row r="56" spans="1:22">
      <c r="A56" s="170">
        <v>48</v>
      </c>
      <c r="B56" s="168" t="s">
        <v>90</v>
      </c>
      <c r="C56" s="169" t="s">
        <v>45</v>
      </c>
      <c r="D56" s="47">
        <v>1352261971.55</v>
      </c>
      <c r="E56" s="30">
        <f t="shared" si="37"/>
        <v>4.5216107941758007E-4</v>
      </c>
      <c r="F56" s="31">
        <v>10</v>
      </c>
      <c r="G56" s="31">
        <v>10</v>
      </c>
      <c r="H56" s="32">
        <v>803</v>
      </c>
      <c r="I56" s="50">
        <v>0.1827</v>
      </c>
      <c r="J56" s="50">
        <v>0.1827</v>
      </c>
      <c r="K56" s="47">
        <v>1347299792.3199999</v>
      </c>
      <c r="L56" s="30">
        <f t="shared" si="38"/>
        <v>4.5050185630541304E-4</v>
      </c>
      <c r="M56" s="31">
        <v>10</v>
      </c>
      <c r="N56" s="31">
        <v>10</v>
      </c>
      <c r="O56" s="32">
        <v>810</v>
      </c>
      <c r="P56" s="50">
        <v>0.18240000000000001</v>
      </c>
      <c r="Q56" s="50">
        <v>0.18240000000000001</v>
      </c>
      <c r="R56" s="56">
        <f t="shared" si="21"/>
        <v>-3.6695398779219035E-3</v>
      </c>
      <c r="S56" s="56">
        <f t="shared" si="22"/>
        <v>0</v>
      </c>
      <c r="T56" s="56">
        <f t="shared" si="23"/>
        <v>8.717310087173101E-3</v>
      </c>
      <c r="U56" s="57">
        <f t="shared" si="24"/>
        <v>-2.9999999999999472E-4</v>
      </c>
      <c r="V56" s="58">
        <f t="shared" si="25"/>
        <v>-2.9999999999999472E-4</v>
      </c>
    </row>
    <row r="57" spans="1:22">
      <c r="A57" s="170">
        <v>49</v>
      </c>
      <c r="B57" s="168" t="s">
        <v>91</v>
      </c>
      <c r="C57" s="169" t="s">
        <v>92</v>
      </c>
      <c r="D57" s="47">
        <v>796300885</v>
      </c>
      <c r="E57" s="30">
        <f t="shared" si="37"/>
        <v>2.6626221492427821E-4</v>
      </c>
      <c r="F57" s="31">
        <v>1</v>
      </c>
      <c r="G57" s="31">
        <v>1</v>
      </c>
      <c r="H57" s="32">
        <v>79</v>
      </c>
      <c r="I57" s="50">
        <v>0.2006</v>
      </c>
      <c r="J57" s="50">
        <v>0.2006</v>
      </c>
      <c r="K57" s="47">
        <v>794255885</v>
      </c>
      <c r="L57" s="30">
        <f t="shared" si="38"/>
        <v>2.6557842034389151E-4</v>
      </c>
      <c r="M57" s="31">
        <v>1</v>
      </c>
      <c r="N57" s="31">
        <v>1</v>
      </c>
      <c r="O57" s="32">
        <v>80</v>
      </c>
      <c r="P57" s="50">
        <v>0.2011</v>
      </c>
      <c r="Q57" s="50">
        <v>0.2011</v>
      </c>
      <c r="R57" s="56">
        <f t="shared" si="21"/>
        <v>-2.5681247359156207E-3</v>
      </c>
      <c r="S57" s="56">
        <f t="shared" si="22"/>
        <v>0</v>
      </c>
      <c r="T57" s="56">
        <f t="shared" si="23"/>
        <v>1.2658227848101266E-2</v>
      </c>
      <c r="U57" s="57">
        <f t="shared" si="24"/>
        <v>5.0000000000000044E-4</v>
      </c>
      <c r="V57" s="58">
        <f t="shared" si="25"/>
        <v>5.0000000000000044E-4</v>
      </c>
    </row>
    <row r="58" spans="1:22">
      <c r="A58" s="170">
        <v>50</v>
      </c>
      <c r="B58" s="168" t="s">
        <v>304</v>
      </c>
      <c r="C58" s="169" t="s">
        <v>303</v>
      </c>
      <c r="D58" s="47">
        <v>483823275.82999998</v>
      </c>
      <c r="E58" s="30">
        <f t="shared" si="37"/>
        <v>1.617778649767742E-4</v>
      </c>
      <c r="F58" s="31">
        <v>1</v>
      </c>
      <c r="G58" s="31">
        <v>1</v>
      </c>
      <c r="H58" s="32">
        <v>358</v>
      </c>
      <c r="I58" s="50">
        <v>0.1784</v>
      </c>
      <c r="J58" s="50">
        <v>0.1784</v>
      </c>
      <c r="K58" s="47">
        <v>494075402.47000003</v>
      </c>
      <c r="L58" s="30">
        <f t="shared" si="38"/>
        <v>1.6520590831852009E-4</v>
      </c>
      <c r="M58" s="31">
        <v>1</v>
      </c>
      <c r="N58" s="31">
        <v>1</v>
      </c>
      <c r="O58" s="32">
        <v>387</v>
      </c>
      <c r="P58" s="50">
        <v>0.17330000000000001</v>
      </c>
      <c r="Q58" s="50">
        <v>0.13139999999999999</v>
      </c>
      <c r="R58" s="56">
        <f t="shared" si="21"/>
        <v>2.1189816927291268E-2</v>
      </c>
      <c r="S58" s="56">
        <f t="shared" si="22"/>
        <v>0</v>
      </c>
      <c r="T58" s="56">
        <f t="shared" si="23"/>
        <v>8.1005586592178769E-2</v>
      </c>
      <c r="U58" s="57">
        <f t="shared" si="24"/>
        <v>-5.0999999999999934E-3</v>
      </c>
      <c r="V58" s="58">
        <f t="shared" si="25"/>
        <v>-4.7000000000000014E-2</v>
      </c>
    </row>
    <row r="59" spans="1:22">
      <c r="A59" s="170">
        <v>51</v>
      </c>
      <c r="B59" s="168" t="s">
        <v>93</v>
      </c>
      <c r="C59" s="169" t="s">
        <v>94</v>
      </c>
      <c r="D59" s="47">
        <v>11282947834.722401</v>
      </c>
      <c r="E59" s="30">
        <f t="shared" si="37"/>
        <v>3.7727230220876568E-3</v>
      </c>
      <c r="F59" s="31">
        <v>100</v>
      </c>
      <c r="G59" s="31">
        <v>100</v>
      </c>
      <c r="H59" s="32">
        <v>122</v>
      </c>
      <c r="I59" s="50">
        <v>0.20810000000000001</v>
      </c>
      <c r="J59" s="50">
        <v>0.20810000000000001</v>
      </c>
      <c r="K59" s="47">
        <v>11389126572.4224</v>
      </c>
      <c r="L59" s="30">
        <f t="shared" si="38"/>
        <v>3.8082264183671491E-3</v>
      </c>
      <c r="M59" s="31">
        <v>100</v>
      </c>
      <c r="N59" s="31">
        <v>100</v>
      </c>
      <c r="O59" s="32">
        <v>126</v>
      </c>
      <c r="P59" s="50">
        <v>0.2089</v>
      </c>
      <c r="Q59" s="50">
        <v>0.2089</v>
      </c>
      <c r="R59" s="56">
        <f t="shared" si="21"/>
        <v>9.4105493755135498E-3</v>
      </c>
      <c r="S59" s="56">
        <f t="shared" si="22"/>
        <v>0</v>
      </c>
      <c r="T59" s="56">
        <f t="shared" si="23"/>
        <v>3.2786885245901641E-2</v>
      </c>
      <c r="U59" s="57">
        <f t="shared" si="24"/>
        <v>7.9999999999999516E-4</v>
      </c>
      <c r="V59" s="58">
        <f t="shared" si="25"/>
        <v>7.9999999999999516E-4</v>
      </c>
    </row>
    <row r="60" spans="1:22">
      <c r="A60" s="170">
        <v>52</v>
      </c>
      <c r="B60" s="168" t="s">
        <v>95</v>
      </c>
      <c r="C60" s="169" t="s">
        <v>96</v>
      </c>
      <c r="D60" s="47">
        <v>51743000</v>
      </c>
      <c r="E60" s="30">
        <f t="shared" si="37"/>
        <v>1.7301507566234752E-5</v>
      </c>
      <c r="F60" s="31">
        <v>1000</v>
      </c>
      <c r="G60" s="31">
        <v>1000</v>
      </c>
      <c r="H60" s="32">
        <v>23</v>
      </c>
      <c r="I60" s="50">
        <v>0.17499999999999999</v>
      </c>
      <c r="J60" s="50">
        <v>0.17499999999999999</v>
      </c>
      <c r="K60" s="47">
        <v>51743000</v>
      </c>
      <c r="L60" s="30">
        <f t="shared" si="38"/>
        <v>1.7301507566234752E-5</v>
      </c>
      <c r="M60" s="31">
        <v>1000</v>
      </c>
      <c r="N60" s="31">
        <v>1000</v>
      </c>
      <c r="O60" s="32">
        <v>23</v>
      </c>
      <c r="P60" s="50">
        <v>0.188</v>
      </c>
      <c r="Q60" s="50">
        <v>0.188</v>
      </c>
      <c r="R60" s="56">
        <f t="shared" si="21"/>
        <v>0</v>
      </c>
      <c r="S60" s="56">
        <f t="shared" si="22"/>
        <v>0</v>
      </c>
      <c r="T60" s="56">
        <f t="shared" si="23"/>
        <v>0</v>
      </c>
      <c r="U60" s="57">
        <f t="shared" si="24"/>
        <v>1.3000000000000012E-2</v>
      </c>
      <c r="V60" s="58">
        <f t="shared" si="25"/>
        <v>1.3000000000000012E-2</v>
      </c>
    </row>
    <row r="61" spans="1:22">
      <c r="A61" s="170">
        <v>53</v>
      </c>
      <c r="B61" s="168" t="s">
        <v>97</v>
      </c>
      <c r="C61" s="169" t="s">
        <v>49</v>
      </c>
      <c r="D61" s="44">
        <v>1428738475266.27</v>
      </c>
      <c r="E61" s="30">
        <f t="shared" si="37"/>
        <v>0.47773282453646043</v>
      </c>
      <c r="F61" s="31">
        <v>100</v>
      </c>
      <c r="G61" s="31">
        <v>100</v>
      </c>
      <c r="H61" s="32">
        <v>182555</v>
      </c>
      <c r="I61" s="50">
        <v>0.20430000000000001</v>
      </c>
      <c r="J61" s="50">
        <v>0.20430000000000001</v>
      </c>
      <c r="K61" s="44">
        <v>1454674705564.3799</v>
      </c>
      <c r="L61" s="30">
        <f t="shared" si="38"/>
        <v>0.48640522244037698</v>
      </c>
      <c r="M61" s="31">
        <v>100</v>
      </c>
      <c r="N61" s="31">
        <v>100</v>
      </c>
      <c r="O61" s="32">
        <v>184681</v>
      </c>
      <c r="P61" s="50">
        <v>0.2059</v>
      </c>
      <c r="Q61" s="50">
        <v>0.2059</v>
      </c>
      <c r="R61" s="56">
        <f t="shared" si="21"/>
        <v>1.8153238501732238E-2</v>
      </c>
      <c r="S61" s="56">
        <f t="shared" si="22"/>
        <v>0</v>
      </c>
      <c r="T61" s="56">
        <f t="shared" si="23"/>
        <v>1.1645805373722987E-2</v>
      </c>
      <c r="U61" s="57">
        <f t="shared" si="24"/>
        <v>1.5999999999999903E-3</v>
      </c>
      <c r="V61" s="58">
        <f t="shared" si="25"/>
        <v>1.5999999999999903E-3</v>
      </c>
    </row>
    <row r="62" spans="1:22">
      <c r="A62" s="170">
        <v>54</v>
      </c>
      <c r="B62" s="168" t="s">
        <v>98</v>
      </c>
      <c r="C62" s="168" t="s">
        <v>99</v>
      </c>
      <c r="D62" s="44">
        <v>3522050213.8200002</v>
      </c>
      <c r="E62" s="30">
        <f t="shared" si="37"/>
        <v>1.1776815882934011E-3</v>
      </c>
      <c r="F62" s="31">
        <v>100</v>
      </c>
      <c r="G62" s="31">
        <v>100</v>
      </c>
      <c r="H62" s="32">
        <v>580</v>
      </c>
      <c r="I62" s="50">
        <v>0.2135</v>
      </c>
      <c r="J62" s="50">
        <v>0.2135</v>
      </c>
      <c r="K62" s="44">
        <v>3579792069.2399998</v>
      </c>
      <c r="L62" s="30">
        <f t="shared" si="38"/>
        <v>1.1969889564096209E-3</v>
      </c>
      <c r="M62" s="31">
        <v>100</v>
      </c>
      <c r="N62" s="31">
        <v>100</v>
      </c>
      <c r="O62" s="32">
        <v>612</v>
      </c>
      <c r="P62" s="50">
        <v>0.21199999999999999</v>
      </c>
      <c r="Q62" s="50">
        <v>0.21199999999999999</v>
      </c>
      <c r="R62" s="56">
        <f t="shared" si="21"/>
        <v>1.6394387335373347E-2</v>
      </c>
      <c r="S62" s="56">
        <f t="shared" si="22"/>
        <v>0</v>
      </c>
      <c r="T62" s="56">
        <f t="shared" si="23"/>
        <v>5.5172413793103448E-2</v>
      </c>
      <c r="U62" s="57">
        <f t="shared" si="24"/>
        <v>-1.5000000000000013E-3</v>
      </c>
      <c r="V62" s="58">
        <f t="shared" si="25"/>
        <v>-1.5000000000000013E-3</v>
      </c>
    </row>
    <row r="63" spans="1:22">
      <c r="A63" s="170">
        <v>55</v>
      </c>
      <c r="B63" s="168" t="s">
        <v>100</v>
      </c>
      <c r="C63" s="169" t="s">
        <v>101</v>
      </c>
      <c r="D63" s="44">
        <v>4668229792.4099998</v>
      </c>
      <c r="E63" s="30">
        <f t="shared" si="37"/>
        <v>1.5609340988018494E-3</v>
      </c>
      <c r="F63" s="31">
        <v>1</v>
      </c>
      <c r="G63" s="31">
        <v>1</v>
      </c>
      <c r="H63" s="32">
        <v>481</v>
      </c>
      <c r="I63" s="50">
        <v>0.224028</v>
      </c>
      <c r="J63" s="50">
        <v>0.224028</v>
      </c>
      <c r="K63" s="44">
        <v>4748067090.9700003</v>
      </c>
      <c r="L63" s="30">
        <f t="shared" si="38"/>
        <v>1.5876296059255876E-3</v>
      </c>
      <c r="M63" s="31">
        <v>1</v>
      </c>
      <c r="N63" s="31">
        <v>1</v>
      </c>
      <c r="O63" s="32">
        <v>483</v>
      </c>
      <c r="P63" s="50">
        <v>0.217278</v>
      </c>
      <c r="Q63" s="50">
        <v>0.217278</v>
      </c>
      <c r="R63" s="56">
        <f t="shared" si="21"/>
        <v>1.7102264050884258E-2</v>
      </c>
      <c r="S63" s="56">
        <f t="shared" si="22"/>
        <v>0</v>
      </c>
      <c r="T63" s="56">
        <f t="shared" si="23"/>
        <v>4.1580041580041582E-3</v>
      </c>
      <c r="U63" s="57">
        <f t="shared" si="24"/>
        <v>-6.750000000000006E-3</v>
      </c>
      <c r="V63" s="58">
        <f t="shared" si="25"/>
        <v>-6.750000000000006E-3</v>
      </c>
    </row>
    <row r="64" spans="1:22">
      <c r="A64" s="170">
        <v>56</v>
      </c>
      <c r="B64" s="168" t="s">
        <v>102</v>
      </c>
      <c r="C64" s="169" t="s">
        <v>52</v>
      </c>
      <c r="D64" s="44">
        <v>137969375191.45999</v>
      </c>
      <c r="E64" s="30">
        <f t="shared" si="37"/>
        <v>4.6133355019688196E-2</v>
      </c>
      <c r="F64" s="31">
        <v>1</v>
      </c>
      <c r="G64" s="31">
        <v>1</v>
      </c>
      <c r="H64" s="32">
        <v>55773</v>
      </c>
      <c r="I64" s="50">
        <v>0.19789999999999999</v>
      </c>
      <c r="J64" s="50">
        <v>0.19789999999999999</v>
      </c>
      <c r="K64" s="44">
        <v>137056232294.25</v>
      </c>
      <c r="L64" s="30">
        <f t="shared" si="38"/>
        <v>4.5828023888034981E-2</v>
      </c>
      <c r="M64" s="31">
        <v>1</v>
      </c>
      <c r="N64" s="31">
        <v>1</v>
      </c>
      <c r="O64" s="32">
        <v>56277</v>
      </c>
      <c r="P64" s="50">
        <v>0.1983</v>
      </c>
      <c r="Q64" s="50">
        <v>0.1983</v>
      </c>
      <c r="R64" s="56">
        <f t="shared" si="21"/>
        <v>-6.6184462743476497E-3</v>
      </c>
      <c r="S64" s="56">
        <f t="shared" si="22"/>
        <v>0</v>
      </c>
      <c r="T64" s="56">
        <f t="shared" si="23"/>
        <v>9.0366306277230926E-3</v>
      </c>
      <c r="U64" s="57">
        <f t="shared" si="24"/>
        <v>4.0000000000001146E-4</v>
      </c>
      <c r="V64" s="58">
        <f t="shared" si="25"/>
        <v>4.0000000000001146E-4</v>
      </c>
    </row>
    <row r="65" spans="1:22">
      <c r="A65" s="170">
        <v>57</v>
      </c>
      <c r="B65" s="168" t="s">
        <v>311</v>
      </c>
      <c r="C65" s="169" t="s">
        <v>103</v>
      </c>
      <c r="D65" s="44">
        <v>1488338733.5600002</v>
      </c>
      <c r="E65" s="30">
        <f t="shared" si="37"/>
        <v>4.976615940283437E-4</v>
      </c>
      <c r="F65" s="31">
        <v>1</v>
      </c>
      <c r="G65" s="31">
        <v>1</v>
      </c>
      <c r="H65" s="32">
        <v>155</v>
      </c>
      <c r="I65" s="50">
        <v>0.20399999999999999</v>
      </c>
      <c r="J65" s="50">
        <v>0.20399999999999999</v>
      </c>
      <c r="K65" s="44">
        <v>1488338733.5600002</v>
      </c>
      <c r="L65" s="30">
        <f t="shared" si="38"/>
        <v>4.976615940283437E-4</v>
      </c>
      <c r="M65" s="31">
        <v>1</v>
      </c>
      <c r="N65" s="31">
        <v>1</v>
      </c>
      <c r="O65" s="32">
        <v>155</v>
      </c>
      <c r="P65" s="50">
        <v>0.20399999999999999</v>
      </c>
      <c r="Q65" s="50">
        <v>0.20399999999999999</v>
      </c>
      <c r="R65" s="56">
        <f t="shared" si="21"/>
        <v>0</v>
      </c>
      <c r="S65" s="56">
        <f t="shared" si="22"/>
        <v>0</v>
      </c>
      <c r="T65" s="56">
        <f t="shared" si="23"/>
        <v>0</v>
      </c>
      <c r="U65" s="57">
        <f t="shared" si="24"/>
        <v>0</v>
      </c>
      <c r="V65" s="58">
        <f t="shared" si="25"/>
        <v>0</v>
      </c>
    </row>
    <row r="66" spans="1:22">
      <c r="A66" s="170">
        <v>58</v>
      </c>
      <c r="B66" s="168" t="s">
        <v>104</v>
      </c>
      <c r="C66" s="169" t="s">
        <v>105</v>
      </c>
      <c r="D66" s="44">
        <v>4598037990.4099998</v>
      </c>
      <c r="E66" s="30">
        <f t="shared" si="37"/>
        <v>1.5374637937675326E-3</v>
      </c>
      <c r="F66" s="31">
        <v>1</v>
      </c>
      <c r="G66" s="31">
        <v>1</v>
      </c>
      <c r="H66" s="32">
        <v>419</v>
      </c>
      <c r="I66" s="50">
        <v>0.20630000000000001</v>
      </c>
      <c r="J66" s="50">
        <v>0.20630000000000001</v>
      </c>
      <c r="K66" s="44">
        <v>4716080715.29</v>
      </c>
      <c r="L66" s="30">
        <f t="shared" si="38"/>
        <v>1.5769341974482293E-3</v>
      </c>
      <c r="M66" s="31">
        <v>1</v>
      </c>
      <c r="N66" s="31">
        <v>1</v>
      </c>
      <c r="O66" s="32">
        <v>426</v>
      </c>
      <c r="P66" s="50">
        <v>0.21410000000000001</v>
      </c>
      <c r="Q66" s="50">
        <v>0.21410000000000001</v>
      </c>
      <c r="R66" s="56">
        <f t="shared" si="21"/>
        <v>2.5672411825695775E-2</v>
      </c>
      <c r="S66" s="56">
        <f t="shared" si="22"/>
        <v>0</v>
      </c>
      <c r="T66" s="56">
        <f t="shared" si="23"/>
        <v>1.6706443914081145E-2</v>
      </c>
      <c r="U66" s="57">
        <f t="shared" si="24"/>
        <v>7.8000000000000014E-3</v>
      </c>
      <c r="V66" s="58">
        <f t="shared" si="25"/>
        <v>7.8000000000000014E-3</v>
      </c>
    </row>
    <row r="67" spans="1:22">
      <c r="A67" s="170">
        <v>59</v>
      </c>
      <c r="B67" s="168" t="s">
        <v>106</v>
      </c>
      <c r="C67" s="169" t="s">
        <v>107</v>
      </c>
      <c r="D67" s="44">
        <v>6771511986.5</v>
      </c>
      <c r="E67" s="30">
        <f t="shared" si="37"/>
        <v>2.2642167224412781E-3</v>
      </c>
      <c r="F67" s="31">
        <v>1</v>
      </c>
      <c r="G67" s="31">
        <v>1</v>
      </c>
      <c r="H67" s="32">
        <v>3526</v>
      </c>
      <c r="I67" s="50">
        <v>0.2293</v>
      </c>
      <c r="J67" s="50">
        <v>0.2293</v>
      </c>
      <c r="K67" s="44">
        <v>6495176940.4099998</v>
      </c>
      <c r="L67" s="30">
        <f t="shared" si="38"/>
        <v>2.1718175014695147E-3</v>
      </c>
      <c r="M67" s="31">
        <v>1</v>
      </c>
      <c r="N67" s="31">
        <v>1</v>
      </c>
      <c r="O67" s="32">
        <v>3599</v>
      </c>
      <c r="P67" s="50">
        <v>0.23089999999999999</v>
      </c>
      <c r="Q67" s="50">
        <v>0.23089999999999999</v>
      </c>
      <c r="R67" s="56">
        <f t="shared" si="21"/>
        <v>-4.0808470344719835E-2</v>
      </c>
      <c r="S67" s="56">
        <f t="shared" si="22"/>
        <v>0</v>
      </c>
      <c r="T67" s="56">
        <f t="shared" si="23"/>
        <v>2.0703346568349403E-2</v>
      </c>
      <c r="U67" s="57">
        <f t="shared" si="24"/>
        <v>1.5999999999999903E-3</v>
      </c>
      <c r="V67" s="58">
        <f t="shared" si="25"/>
        <v>1.5999999999999903E-3</v>
      </c>
    </row>
    <row r="68" spans="1:22">
      <c r="A68" s="170">
        <v>60</v>
      </c>
      <c r="B68" s="168" t="s">
        <v>108</v>
      </c>
      <c r="C68" s="169" t="s">
        <v>109</v>
      </c>
      <c r="D68" s="44">
        <v>91797645330.289993</v>
      </c>
      <c r="E68" s="30">
        <f t="shared" si="37"/>
        <v>3.0694734654823773E-2</v>
      </c>
      <c r="F68" s="31">
        <v>1</v>
      </c>
      <c r="G68" s="31">
        <v>1</v>
      </c>
      <c r="H68" s="32">
        <v>5382</v>
      </c>
      <c r="I68" s="50">
        <v>0.2024</v>
      </c>
      <c r="J68" s="50">
        <v>0.2024</v>
      </c>
      <c r="K68" s="44">
        <v>89735841220.899994</v>
      </c>
      <c r="L68" s="30">
        <f t="shared" si="38"/>
        <v>3.0005321219214995E-2</v>
      </c>
      <c r="M68" s="31">
        <v>1</v>
      </c>
      <c r="N68" s="31">
        <v>1</v>
      </c>
      <c r="O68" s="32">
        <v>5432</v>
      </c>
      <c r="P68" s="50">
        <v>0.20150000000000001</v>
      </c>
      <c r="Q68" s="50">
        <v>0.20150000000000001</v>
      </c>
      <c r="R68" s="56">
        <f t="shared" si="21"/>
        <v>-2.2460315860734572E-2</v>
      </c>
      <c r="S68" s="56">
        <f t="shared" si="22"/>
        <v>0</v>
      </c>
      <c r="T68" s="56">
        <f t="shared" si="23"/>
        <v>9.2902266815310299E-3</v>
      </c>
      <c r="U68" s="57">
        <f t="shared" si="24"/>
        <v>-8.9999999999998415E-4</v>
      </c>
      <c r="V68" s="58">
        <f t="shared" si="25"/>
        <v>-8.9999999999998415E-4</v>
      </c>
    </row>
    <row r="69" spans="1:22">
      <c r="A69" s="36"/>
      <c r="B69" s="37"/>
      <c r="C69" s="38" t="s">
        <v>53</v>
      </c>
      <c r="D69" s="48">
        <f>SUM(D28:D68)</f>
        <v>2955924838132.9609</v>
      </c>
      <c r="E69" s="40">
        <f>(D69/$D$221)</f>
        <v>0.52645804568822208</v>
      </c>
      <c r="F69" s="41"/>
      <c r="G69" s="45"/>
      <c r="H69" s="43">
        <f>SUM(H28:H68)</f>
        <v>427991</v>
      </c>
      <c r="I69" s="55"/>
      <c r="J69" s="55"/>
      <c r="K69" s="48">
        <f>SUM(K28:K68)</f>
        <v>2990664241362.4419</v>
      </c>
      <c r="L69" s="40">
        <f>(K69/$K$221)</f>
        <v>0.52829246577685551</v>
      </c>
      <c r="M69" s="41"/>
      <c r="N69" s="45"/>
      <c r="O69" s="43">
        <f>SUM(O28:O68)</f>
        <v>432276</v>
      </c>
      <c r="P69" s="55"/>
      <c r="Q69" s="55"/>
      <c r="R69" s="56">
        <f t="shared" si="21"/>
        <v>1.1752465009030226E-2</v>
      </c>
      <c r="S69" s="56" t="e">
        <f t="shared" si="22"/>
        <v>#DIV/0!</v>
      </c>
      <c r="T69" s="56">
        <f t="shared" si="23"/>
        <v>1.0011892773446171E-2</v>
      </c>
      <c r="U69" s="57">
        <f t="shared" si="24"/>
        <v>0</v>
      </c>
      <c r="V69" s="58">
        <f t="shared" si="25"/>
        <v>0</v>
      </c>
    </row>
    <row r="70" spans="1:22" ht="3" customHeight="1">
      <c r="A70" s="36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</row>
    <row r="71" spans="1:22" ht="15" customHeight="1">
      <c r="A71" s="179" t="s">
        <v>110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</row>
    <row r="72" spans="1:22">
      <c r="A72" s="170">
        <v>61</v>
      </c>
      <c r="B72" s="168" t="s">
        <v>111</v>
      </c>
      <c r="C72" s="169" t="s">
        <v>21</v>
      </c>
      <c r="D72" s="29">
        <v>527064988.37</v>
      </c>
      <c r="E72" s="30">
        <f>(D72/$D$109)</f>
        <v>2.5215311418861613E-3</v>
      </c>
      <c r="F72" s="60">
        <v>1.4466000000000001</v>
      </c>
      <c r="G72" s="60">
        <v>1.4466000000000001</v>
      </c>
      <c r="H72" s="32">
        <v>475</v>
      </c>
      <c r="I72" s="50">
        <v>2.2169999999999998E-3</v>
      </c>
      <c r="J72" s="50">
        <v>0.1096</v>
      </c>
      <c r="K72" s="29">
        <v>531071878.06999999</v>
      </c>
      <c r="L72" s="30">
        <f t="shared" ref="L72:L94" si="39">(K72/$K$109)</f>
        <v>2.5390731128407252E-3</v>
      </c>
      <c r="M72" s="60">
        <v>1.4574</v>
      </c>
      <c r="N72" s="60">
        <v>1.4574</v>
      </c>
      <c r="O72" s="32">
        <v>476</v>
      </c>
      <c r="P72" s="50">
        <v>5.4900000000000001E-4</v>
      </c>
      <c r="Q72" s="50">
        <v>0.1179</v>
      </c>
      <c r="R72" s="56">
        <f>((K72-D72)/D72)</f>
        <v>7.6022687683954988E-3</v>
      </c>
      <c r="S72" s="56">
        <f>((N72-G72)/G72)</f>
        <v>7.4657818332641507E-3</v>
      </c>
      <c r="T72" s="56">
        <f>((O72-H72)/H72)</f>
        <v>2.1052631578947368E-3</v>
      </c>
      <c r="U72" s="57">
        <f>P72-I72</f>
        <v>-1.6679999999999998E-3</v>
      </c>
      <c r="V72" s="58">
        <f>Q72-J72</f>
        <v>8.3000000000000018E-3</v>
      </c>
    </row>
    <row r="73" spans="1:22">
      <c r="A73" s="170">
        <v>62</v>
      </c>
      <c r="B73" s="168" t="s">
        <v>112</v>
      </c>
      <c r="C73" s="169" t="s">
        <v>23</v>
      </c>
      <c r="D73" s="29">
        <v>1282836593.01</v>
      </c>
      <c r="E73" s="30">
        <f>(D73/$D$109)</f>
        <v>6.1372174031698104E-3</v>
      </c>
      <c r="F73" s="60">
        <v>1.2531000000000001</v>
      </c>
      <c r="G73" s="60">
        <v>1.2531000000000001</v>
      </c>
      <c r="H73" s="32">
        <v>986</v>
      </c>
      <c r="I73" s="50">
        <v>0.12509999999999999</v>
      </c>
      <c r="J73" s="50">
        <v>0.15540000000000001</v>
      </c>
      <c r="K73" s="29">
        <v>1289464630.6600001</v>
      </c>
      <c r="L73" s="30">
        <f t="shared" si="39"/>
        <v>6.1649752300315819E-3</v>
      </c>
      <c r="M73" s="60">
        <v>1.2531000000000001</v>
      </c>
      <c r="N73" s="60">
        <v>1.2531000000000001</v>
      </c>
      <c r="O73" s="32">
        <v>994</v>
      </c>
      <c r="P73" s="50">
        <v>0.2039</v>
      </c>
      <c r="Q73" s="50">
        <v>0.15820000000000001</v>
      </c>
      <c r="R73" s="56">
        <f t="shared" ref="R73:R109" si="40">((K73-D73)/D73)</f>
        <v>5.1667045406370224E-3</v>
      </c>
      <c r="S73" s="56">
        <f t="shared" ref="S73:S109" si="41">((N73-G73)/G73)</f>
        <v>0</v>
      </c>
      <c r="T73" s="56">
        <f t="shared" ref="T73:T109" si="42">((O73-H73)/H73)</f>
        <v>8.1135902636916835E-3</v>
      </c>
      <c r="U73" s="57">
        <f t="shared" ref="U73:U109" si="43">P73-I73</f>
        <v>7.8800000000000009E-2</v>
      </c>
      <c r="V73" s="58">
        <f t="shared" ref="V73:V109" si="44">Q73-J73</f>
        <v>2.7999999999999969E-3</v>
      </c>
    </row>
    <row r="74" spans="1:22">
      <c r="A74" s="170">
        <v>63</v>
      </c>
      <c r="B74" s="168" t="s">
        <v>113</v>
      </c>
      <c r="C74" s="169" t="s">
        <v>23</v>
      </c>
      <c r="D74" s="29">
        <v>787027939.14999998</v>
      </c>
      <c r="E74" s="30">
        <f>(D74/$D$109)</f>
        <v>3.7652196634015088E-3</v>
      </c>
      <c r="F74" s="60">
        <v>1.1243000000000001</v>
      </c>
      <c r="G74" s="60">
        <v>1.1243000000000001</v>
      </c>
      <c r="H74" s="32">
        <v>319</v>
      </c>
      <c r="I74" s="50">
        <v>0.12089999999999999</v>
      </c>
      <c r="J74" s="50">
        <v>0.1215</v>
      </c>
      <c r="K74" s="29">
        <v>789847506.59000003</v>
      </c>
      <c r="L74" s="30">
        <f t="shared" si="39"/>
        <v>3.7762883896530035E-3</v>
      </c>
      <c r="M74" s="60">
        <v>1.1243000000000001</v>
      </c>
      <c r="N74" s="60">
        <v>1.1243000000000001</v>
      </c>
      <c r="O74" s="32">
        <v>328</v>
      </c>
      <c r="P74" s="50">
        <v>0.1206</v>
      </c>
      <c r="Q74" s="50">
        <v>0.12180000000000001</v>
      </c>
      <c r="R74" s="56">
        <f t="shared" si="40"/>
        <v>3.582550630979156E-3</v>
      </c>
      <c r="S74" s="56">
        <f t="shared" si="41"/>
        <v>0</v>
      </c>
      <c r="T74" s="56">
        <f t="shared" si="42"/>
        <v>2.8213166144200628E-2</v>
      </c>
      <c r="U74" s="57">
        <f t="shared" si="43"/>
        <v>-2.9999999999999472E-4</v>
      </c>
      <c r="V74" s="58">
        <f t="shared" si="44"/>
        <v>3.0000000000000859E-4</v>
      </c>
    </row>
    <row r="75" spans="1:22">
      <c r="A75" s="170">
        <v>64</v>
      </c>
      <c r="B75" s="168" t="s">
        <v>114</v>
      </c>
      <c r="C75" s="169" t="s">
        <v>115</v>
      </c>
      <c r="D75" s="29">
        <v>282457958.79000002</v>
      </c>
      <c r="E75" s="30">
        <f>(D75/$D$109)</f>
        <v>1.3513068693202582E-3</v>
      </c>
      <c r="F75" s="35">
        <v>1106.77</v>
      </c>
      <c r="G75" s="35">
        <v>1106.77</v>
      </c>
      <c r="H75" s="32">
        <v>109</v>
      </c>
      <c r="I75" s="50">
        <v>1.9E-3</v>
      </c>
      <c r="J75" s="50">
        <v>3.7759000000000001E-2</v>
      </c>
      <c r="K75" s="29">
        <v>283589193.20999998</v>
      </c>
      <c r="L75" s="30">
        <f t="shared" si="39"/>
        <v>1.3558497922889357E-3</v>
      </c>
      <c r="M75" s="35">
        <v>1114.21</v>
      </c>
      <c r="N75" s="35">
        <v>1114.21</v>
      </c>
      <c r="O75" s="32">
        <v>110</v>
      </c>
      <c r="P75" s="50">
        <v>3.0000000000000001E-3</v>
      </c>
      <c r="Q75" s="50">
        <v>0.1056</v>
      </c>
      <c r="R75" s="56">
        <f t="shared" si="40"/>
        <v>4.004965641067313E-3</v>
      </c>
      <c r="S75" s="56">
        <f t="shared" si="41"/>
        <v>6.7222638849987392E-3</v>
      </c>
      <c r="T75" s="56">
        <f t="shared" si="42"/>
        <v>9.1743119266055051E-3</v>
      </c>
      <c r="U75" s="57">
        <f t="shared" si="43"/>
        <v>1.1000000000000001E-3</v>
      </c>
      <c r="V75" s="58">
        <f t="shared" si="44"/>
        <v>6.7840999999999999E-2</v>
      </c>
    </row>
    <row r="76" spans="1:22" ht="15" customHeight="1">
      <c r="A76" s="170">
        <v>65</v>
      </c>
      <c r="B76" s="168" t="s">
        <v>116</v>
      </c>
      <c r="C76" s="169" t="s">
        <v>27</v>
      </c>
      <c r="D76" s="29">
        <v>1532356123.79</v>
      </c>
      <c r="E76" s="30">
        <f>(D76/$K$109)</f>
        <v>7.3262479033001735E-3</v>
      </c>
      <c r="F76" s="35">
        <v>1.1069</v>
      </c>
      <c r="G76" s="35">
        <v>1.1069</v>
      </c>
      <c r="H76" s="32">
        <v>910</v>
      </c>
      <c r="I76" s="50">
        <v>3.3999999999999998E-3</v>
      </c>
      <c r="J76" s="50">
        <v>5.74E-2</v>
      </c>
      <c r="K76" s="29">
        <v>1528294765.27</v>
      </c>
      <c r="L76" s="30">
        <f t="shared" si="39"/>
        <v>7.3068304070147095E-3</v>
      </c>
      <c r="M76" s="35">
        <v>1.1108</v>
      </c>
      <c r="N76" s="35">
        <v>1.1108</v>
      </c>
      <c r="O76" s="32">
        <v>910</v>
      </c>
      <c r="P76" s="50">
        <v>3.5000000000000001E-3</v>
      </c>
      <c r="Q76" s="50">
        <v>6.0999999999999999E-2</v>
      </c>
      <c r="R76" s="56">
        <f t="shared" si="40"/>
        <v>-2.6504012069694088E-3</v>
      </c>
      <c r="S76" s="56">
        <f t="shared" si="41"/>
        <v>3.5233535098021635E-3</v>
      </c>
      <c r="T76" s="56">
        <f t="shared" si="42"/>
        <v>0</v>
      </c>
      <c r="U76" s="57">
        <f t="shared" si="43"/>
        <v>1.0000000000000026E-4</v>
      </c>
      <c r="V76" s="58">
        <f t="shared" si="44"/>
        <v>3.599999999999999E-3</v>
      </c>
    </row>
    <row r="77" spans="1:22">
      <c r="A77" s="170">
        <v>66</v>
      </c>
      <c r="B77" s="168" t="s">
        <v>117</v>
      </c>
      <c r="C77" s="169" t="s">
        <v>118</v>
      </c>
      <c r="D77" s="29">
        <v>452789235.74581748</v>
      </c>
      <c r="E77" s="30">
        <f t="shared" ref="E77:E94" si="45">(D77/$D$109)</f>
        <v>2.1661885798462933E-3</v>
      </c>
      <c r="F77" s="35">
        <v>2.5964999999999998</v>
      </c>
      <c r="G77" s="35">
        <v>2.5964999999999998</v>
      </c>
      <c r="H77" s="32">
        <v>1391</v>
      </c>
      <c r="I77" s="50">
        <v>0.14899999999999999</v>
      </c>
      <c r="J77" s="50">
        <v>0.13850000000000001</v>
      </c>
      <c r="K77" s="29">
        <v>454075287.52805835</v>
      </c>
      <c r="L77" s="30">
        <f t="shared" si="39"/>
        <v>2.1709497365174886E-3</v>
      </c>
      <c r="M77" s="35">
        <v>2.6038999999999999</v>
      </c>
      <c r="N77" s="35">
        <v>2.6038999999999999</v>
      </c>
      <c r="O77" s="32">
        <v>1391</v>
      </c>
      <c r="P77" s="50">
        <v>0.14860000000000001</v>
      </c>
      <c r="Q77" s="50">
        <v>0.13930000000000001</v>
      </c>
      <c r="R77" s="56">
        <f t="shared" si="40"/>
        <v>2.8402878882986945E-3</v>
      </c>
      <c r="S77" s="56">
        <f t="shared" si="41"/>
        <v>2.8499903716541781E-3</v>
      </c>
      <c r="T77" s="56">
        <f t="shared" si="42"/>
        <v>0</v>
      </c>
      <c r="U77" s="57">
        <f t="shared" si="43"/>
        <v>-3.999999999999837E-4</v>
      </c>
      <c r="V77" s="58">
        <f t="shared" si="44"/>
        <v>7.9999999999999516E-4</v>
      </c>
    </row>
    <row r="78" spans="1:22">
      <c r="A78" s="170">
        <v>67</v>
      </c>
      <c r="B78" s="168" t="s">
        <v>119</v>
      </c>
      <c r="C78" s="169" t="s">
        <v>63</v>
      </c>
      <c r="D78" s="29">
        <v>154849449.03</v>
      </c>
      <c r="E78" s="30">
        <f t="shared" si="45"/>
        <v>7.4081511132163694E-4</v>
      </c>
      <c r="F78" s="35">
        <v>11.92</v>
      </c>
      <c r="G78" s="35">
        <v>12.03</v>
      </c>
      <c r="H78" s="32">
        <v>30</v>
      </c>
      <c r="I78" s="50">
        <v>2.1499999999999998E-2</v>
      </c>
      <c r="J78" s="50">
        <v>0.253</v>
      </c>
      <c r="K78" s="29">
        <v>156234399.31</v>
      </c>
      <c r="L78" s="30">
        <f t="shared" si="39"/>
        <v>7.4696209490602173E-4</v>
      </c>
      <c r="M78" s="35">
        <v>12.05</v>
      </c>
      <c r="N78" s="35">
        <v>12.1</v>
      </c>
      <c r="O78" s="32">
        <v>30</v>
      </c>
      <c r="P78" s="50">
        <v>0.107</v>
      </c>
      <c r="Q78" s="50">
        <v>0.26</v>
      </c>
      <c r="R78" s="56">
        <f t="shared" si="40"/>
        <v>8.9438502279183801E-3</v>
      </c>
      <c r="S78" s="56">
        <f t="shared" si="41"/>
        <v>5.8187863674148202E-3</v>
      </c>
      <c r="T78" s="56">
        <f t="shared" si="42"/>
        <v>0</v>
      </c>
      <c r="U78" s="57">
        <f t="shared" si="43"/>
        <v>8.5499999999999993E-2</v>
      </c>
      <c r="V78" s="58">
        <f t="shared" si="44"/>
        <v>7.0000000000000062E-3</v>
      </c>
    </row>
    <row r="79" spans="1:22">
      <c r="A79" s="170">
        <v>68</v>
      </c>
      <c r="B79" s="168" t="s">
        <v>120</v>
      </c>
      <c r="C79" s="169" t="s">
        <v>65</v>
      </c>
      <c r="D79" s="29">
        <v>2050841169.15869</v>
      </c>
      <c r="E79" s="30">
        <f t="shared" si="45"/>
        <v>9.8114274125634636E-3</v>
      </c>
      <c r="F79" s="29">
        <v>4587.8373689576702</v>
      </c>
      <c r="G79" s="29">
        <v>4587.8373689576702</v>
      </c>
      <c r="H79" s="32">
        <v>1105</v>
      </c>
      <c r="I79" s="50">
        <v>0.10358224971650254</v>
      </c>
      <c r="J79" s="50">
        <v>0.11850675693542612</v>
      </c>
      <c r="K79" s="29">
        <v>2056379832.7321401</v>
      </c>
      <c r="L79" s="30">
        <f t="shared" si="39"/>
        <v>9.8316234744967434E-3</v>
      </c>
      <c r="M79" s="29">
        <v>4596.8237653311999</v>
      </c>
      <c r="N79" s="29">
        <v>4596.8237653311999</v>
      </c>
      <c r="O79" s="32">
        <v>1105</v>
      </c>
      <c r="P79" s="50">
        <v>0.10213447963620979</v>
      </c>
      <c r="Q79" s="50">
        <v>0.11796400919258464</v>
      </c>
      <c r="R79" s="56">
        <f t="shared" si="40"/>
        <v>2.7006789490783417E-3</v>
      </c>
      <c r="S79" s="56">
        <f t="shared" si="41"/>
        <v>1.9587434450779959E-3</v>
      </c>
      <c r="T79" s="56">
        <f t="shared" si="42"/>
        <v>0</v>
      </c>
      <c r="U79" s="57">
        <f t="shared" si="43"/>
        <v>-1.4477700802927457E-3</v>
      </c>
      <c r="V79" s="58">
        <f t="shared" si="44"/>
        <v>-5.4274774284147898E-4</v>
      </c>
    </row>
    <row r="80" spans="1:22">
      <c r="A80" s="170">
        <v>69</v>
      </c>
      <c r="B80" s="168" t="s">
        <v>121</v>
      </c>
      <c r="C80" s="169" t="s">
        <v>67</v>
      </c>
      <c r="D80" s="29">
        <v>336372701.94999999</v>
      </c>
      <c r="E80" s="30">
        <f t="shared" si="45"/>
        <v>1.6092403440994604E-3</v>
      </c>
      <c r="F80" s="60">
        <v>110.52</v>
      </c>
      <c r="G80" s="60">
        <v>110.52</v>
      </c>
      <c r="H80" s="32">
        <v>137</v>
      </c>
      <c r="I80" s="50">
        <v>2.3999999999999998E-3</v>
      </c>
      <c r="J80" s="50">
        <v>0.12429999999999999</v>
      </c>
      <c r="K80" s="29">
        <v>337090671.41000003</v>
      </c>
      <c r="L80" s="30">
        <f t="shared" si="39"/>
        <v>1.6116422196502445E-3</v>
      </c>
      <c r="M80" s="60">
        <v>110.71</v>
      </c>
      <c r="N80" s="60">
        <v>110.71</v>
      </c>
      <c r="O80" s="32">
        <v>137</v>
      </c>
      <c r="P80" s="50">
        <v>1.6999999999999999E-3</v>
      </c>
      <c r="Q80" s="50">
        <v>0.1235</v>
      </c>
      <c r="R80" s="56">
        <f t="shared" si="40"/>
        <v>2.1344462729521985E-3</v>
      </c>
      <c r="S80" s="56">
        <f t="shared" si="41"/>
        <v>1.7191458559536531E-3</v>
      </c>
      <c r="T80" s="56">
        <f t="shared" si="42"/>
        <v>0</v>
      </c>
      <c r="U80" s="57">
        <f t="shared" si="43"/>
        <v>-6.9999999999999988E-4</v>
      </c>
      <c r="V80" s="58">
        <f t="shared" si="44"/>
        <v>-7.9999999999999516E-4</v>
      </c>
    </row>
    <row r="81" spans="1:22" ht="13.5" customHeight="1">
      <c r="A81" s="170">
        <v>70</v>
      </c>
      <c r="B81" s="168" t="s">
        <v>122</v>
      </c>
      <c r="C81" s="169" t="s">
        <v>296</v>
      </c>
      <c r="D81" s="29">
        <v>377639992.26999998</v>
      </c>
      <c r="E81" s="30">
        <f t="shared" si="45"/>
        <v>1.806667151000338E-3</v>
      </c>
      <c r="F81" s="60">
        <v>1.4286000000000001</v>
      </c>
      <c r="G81" s="60">
        <v>1.4286000000000001</v>
      </c>
      <c r="H81" s="32">
        <v>417</v>
      </c>
      <c r="I81" s="50">
        <v>3.089453728408964E-3</v>
      </c>
      <c r="J81" s="50">
        <v>8.7410698674703968E-2</v>
      </c>
      <c r="K81" s="29">
        <v>379670913.86000001</v>
      </c>
      <c r="L81" s="30">
        <f t="shared" si="39"/>
        <v>1.8152198391919515E-3</v>
      </c>
      <c r="M81" s="60">
        <v>1.4288000000000001</v>
      </c>
      <c r="N81" s="60">
        <v>1.4288000000000001</v>
      </c>
      <c r="O81" s="32">
        <v>418</v>
      </c>
      <c r="P81" s="50">
        <v>1.399972000559746E-4</v>
      </c>
      <c r="Q81" s="50">
        <v>8.7556737374959392E-2</v>
      </c>
      <c r="R81" s="56">
        <f t="shared" si="40"/>
        <v>5.3779303875951577E-3</v>
      </c>
      <c r="S81" s="56">
        <f t="shared" si="41"/>
        <v>1.3999720005598347E-4</v>
      </c>
      <c r="T81" s="56">
        <f t="shared" si="42"/>
        <v>2.3980815347721821E-3</v>
      </c>
      <c r="U81" s="57">
        <f t="shared" si="43"/>
        <v>-2.9494565283529894E-3</v>
      </c>
      <c r="V81" s="58">
        <f t="shared" si="44"/>
        <v>1.460387002554242E-4</v>
      </c>
    </row>
    <row r="82" spans="1:22" ht="13.5" customHeight="1">
      <c r="A82" s="170">
        <v>71</v>
      </c>
      <c r="B82" s="168" t="s">
        <v>294</v>
      </c>
      <c r="C82" s="169" t="s">
        <v>296</v>
      </c>
      <c r="D82" s="29">
        <v>25944982.460000001</v>
      </c>
      <c r="E82" s="30">
        <f t="shared" si="45"/>
        <v>1.241233675014182E-4</v>
      </c>
      <c r="F82" s="60">
        <v>0.88529999999999998</v>
      </c>
      <c r="G82" s="60">
        <v>0.88529999999999998</v>
      </c>
      <c r="H82" s="32">
        <v>1</v>
      </c>
      <c r="I82" s="50">
        <v>-3.3875338753397433E-4</v>
      </c>
      <c r="J82" s="50">
        <v>-9.3394777265745077E-2</v>
      </c>
      <c r="K82" s="29">
        <v>25989367.620000001</v>
      </c>
      <c r="L82" s="30">
        <f t="shared" si="39"/>
        <v>1.2425607016415473E-4</v>
      </c>
      <c r="M82" s="60">
        <v>0.88370000000000004</v>
      </c>
      <c r="N82" s="60">
        <v>0.88370000000000004</v>
      </c>
      <c r="O82" s="32">
        <v>1</v>
      </c>
      <c r="P82" s="50">
        <v>-1.8072969614819634E-3</v>
      </c>
      <c r="Q82" s="50">
        <v>-0.10845439870863594</v>
      </c>
      <c r="R82" s="56">
        <f t="shared" ref="R82" si="46">((K82-D82)/D82)</f>
        <v>1.7107415689499813E-3</v>
      </c>
      <c r="S82" s="56">
        <f t="shared" ref="S82" si="47">((N82-G82)/G82)</f>
        <v>-1.8072969614819098E-3</v>
      </c>
      <c r="T82" s="56">
        <f t="shared" ref="T82" si="48">((O82-H82)/H82)</f>
        <v>0</v>
      </c>
      <c r="U82" s="57">
        <f t="shared" ref="U82" si="49">P82-I82</f>
        <v>-1.4685435739479891E-3</v>
      </c>
      <c r="V82" s="58">
        <f t="shared" ref="V82" si="50">Q82-J82</f>
        <v>-1.5059621442890858E-2</v>
      </c>
    </row>
    <row r="83" spans="1:22">
      <c r="A83" s="170">
        <v>72</v>
      </c>
      <c r="B83" s="168" t="s">
        <v>124</v>
      </c>
      <c r="C83" s="169" t="s">
        <v>29</v>
      </c>
      <c r="D83" s="29">
        <v>140763956.34999999</v>
      </c>
      <c r="E83" s="30">
        <f t="shared" si="45"/>
        <v>6.7342871832431529E-4</v>
      </c>
      <c r="F83" s="60">
        <v>132.30029999999999</v>
      </c>
      <c r="G83" s="60">
        <v>132.30029999999999</v>
      </c>
      <c r="H83" s="32">
        <v>239</v>
      </c>
      <c r="I83" s="50">
        <v>1.5629999999999999E-3</v>
      </c>
      <c r="J83" s="50">
        <v>5.7000000000000002E-2</v>
      </c>
      <c r="K83" s="29">
        <v>140606466.03999999</v>
      </c>
      <c r="L83" s="30">
        <f t="shared" si="39"/>
        <v>6.7224440260544053E-4</v>
      </c>
      <c r="M83" s="60">
        <v>132.72579999999999</v>
      </c>
      <c r="N83" s="60">
        <v>132.72579999999999</v>
      </c>
      <c r="O83" s="32">
        <v>244</v>
      </c>
      <c r="P83" s="50">
        <v>1.9680000000000001E-3</v>
      </c>
      <c r="Q83" s="50">
        <v>6.0400000000000002E-2</v>
      </c>
      <c r="R83" s="56">
        <f t="shared" si="40"/>
        <v>-1.1188255437238027E-3</v>
      </c>
      <c r="S83" s="56">
        <f t="shared" si="41"/>
        <v>3.2161680661343893E-3</v>
      </c>
      <c r="T83" s="56">
        <f t="shared" si="42"/>
        <v>2.0920502092050208E-2</v>
      </c>
      <c r="U83" s="57">
        <f t="shared" si="43"/>
        <v>4.0500000000000019E-4</v>
      </c>
      <c r="V83" s="58">
        <f t="shared" si="44"/>
        <v>3.4000000000000002E-3</v>
      </c>
    </row>
    <row r="84" spans="1:22">
      <c r="A84" s="170">
        <v>73</v>
      </c>
      <c r="B84" s="168" t="s">
        <v>125</v>
      </c>
      <c r="C84" s="169" t="s">
        <v>96</v>
      </c>
      <c r="D84" s="29">
        <v>1514866367.3700004</v>
      </c>
      <c r="E84" s="30">
        <f t="shared" si="45"/>
        <v>7.2472708402287721E-3</v>
      </c>
      <c r="F84" s="35">
        <v>1000</v>
      </c>
      <c r="G84" s="35">
        <v>1000</v>
      </c>
      <c r="H84" s="32">
        <v>364</v>
      </c>
      <c r="I84" s="50">
        <v>1.8499999999999999E-2</v>
      </c>
      <c r="J84" s="50">
        <v>0.20730000000000001</v>
      </c>
      <c r="K84" s="29">
        <v>1522797028.1000004</v>
      </c>
      <c r="L84" s="30">
        <f t="shared" si="39"/>
        <v>7.2805455344649881E-3</v>
      </c>
      <c r="M84" s="35">
        <v>1000</v>
      </c>
      <c r="N84" s="35">
        <v>1000</v>
      </c>
      <c r="O84" s="32">
        <v>364</v>
      </c>
      <c r="P84" s="50">
        <v>1.83E-2</v>
      </c>
      <c r="Q84" s="50">
        <v>0.2072</v>
      </c>
      <c r="R84" s="56">
        <f t="shared" si="40"/>
        <v>5.2352213375551071E-3</v>
      </c>
      <c r="S84" s="56">
        <f t="shared" si="41"/>
        <v>0</v>
      </c>
      <c r="T84" s="56">
        <f t="shared" si="42"/>
        <v>0</v>
      </c>
      <c r="U84" s="57">
        <f t="shared" si="43"/>
        <v>-1.9999999999999879E-4</v>
      </c>
      <c r="V84" s="58">
        <f t="shared" si="44"/>
        <v>-1.0000000000001674E-4</v>
      </c>
    </row>
    <row r="85" spans="1:22">
      <c r="A85" s="170">
        <v>74</v>
      </c>
      <c r="B85" s="168" t="s">
        <v>126</v>
      </c>
      <c r="C85" s="169" t="s">
        <v>70</v>
      </c>
      <c r="D85" s="29">
        <v>153983139.34999999</v>
      </c>
      <c r="E85" s="30">
        <f t="shared" si="45"/>
        <v>7.3667059995237861E-4</v>
      </c>
      <c r="F85" s="35">
        <v>1055.93</v>
      </c>
      <c r="G85" s="35">
        <v>1068.98</v>
      </c>
      <c r="H85" s="32">
        <v>71</v>
      </c>
      <c r="I85" s="50">
        <v>2.8999999999999998E-3</v>
      </c>
      <c r="J85" s="50">
        <v>5.11E-2</v>
      </c>
      <c r="K85" s="29">
        <v>154906585.13</v>
      </c>
      <c r="L85" s="30">
        <f t="shared" si="39"/>
        <v>7.4061376914729598E-4</v>
      </c>
      <c r="M85" s="35">
        <v>1058.4000000000001</v>
      </c>
      <c r="N85" s="35">
        <v>1072.29</v>
      </c>
      <c r="O85" s="32">
        <v>71</v>
      </c>
      <c r="P85" s="50">
        <v>2.8999999999999998E-3</v>
      </c>
      <c r="Q85" s="50">
        <v>5.3999999999999999E-2</v>
      </c>
      <c r="R85" s="56">
        <f t="shared" si="40"/>
        <v>5.9970577551418216E-3</v>
      </c>
      <c r="S85" s="56">
        <f t="shared" si="41"/>
        <v>3.09640966154647E-3</v>
      </c>
      <c r="T85" s="56">
        <f t="shared" si="42"/>
        <v>0</v>
      </c>
      <c r="U85" s="57">
        <f t="shared" si="43"/>
        <v>0</v>
      </c>
      <c r="V85" s="58">
        <f t="shared" si="44"/>
        <v>2.8999999999999998E-3</v>
      </c>
    </row>
    <row r="86" spans="1:22">
      <c r="A86" s="170">
        <v>75</v>
      </c>
      <c r="B86" s="168" t="s">
        <v>127</v>
      </c>
      <c r="C86" s="169" t="s">
        <v>73</v>
      </c>
      <c r="D86" s="29">
        <v>666094582.36000001</v>
      </c>
      <c r="E86" s="30">
        <f t="shared" si="45"/>
        <v>3.186662498787211E-3</v>
      </c>
      <c r="F86" s="61">
        <v>1.1968000000000001</v>
      </c>
      <c r="G86" s="61">
        <v>1.1968000000000001</v>
      </c>
      <c r="H86" s="32">
        <v>47</v>
      </c>
      <c r="I86" s="50">
        <v>1.5E-3</v>
      </c>
      <c r="J86" s="50">
        <v>0.1201</v>
      </c>
      <c r="K86" s="29">
        <v>667516919.88999999</v>
      </c>
      <c r="L86" s="30">
        <f t="shared" si="39"/>
        <v>3.1914216015700154E-3</v>
      </c>
      <c r="M86" s="61">
        <v>1.1994</v>
      </c>
      <c r="N86" s="61">
        <v>1.1994</v>
      </c>
      <c r="O86" s="32">
        <v>47</v>
      </c>
      <c r="P86" s="50">
        <v>1.5E-3</v>
      </c>
      <c r="Q86" s="50">
        <v>0.12</v>
      </c>
      <c r="R86" s="56">
        <f t="shared" si="40"/>
        <v>2.1353386856271554E-3</v>
      </c>
      <c r="S86" s="56">
        <f t="shared" si="41"/>
        <v>2.1724598930480746E-3</v>
      </c>
      <c r="T86" s="56">
        <f t="shared" si="42"/>
        <v>0</v>
      </c>
      <c r="U86" s="57">
        <f t="shared" si="43"/>
        <v>0</v>
      </c>
      <c r="V86" s="58">
        <f t="shared" si="44"/>
        <v>-1.0000000000000286E-4</v>
      </c>
    </row>
    <row r="87" spans="1:22">
      <c r="A87" s="170">
        <v>76</v>
      </c>
      <c r="B87" s="168" t="s">
        <v>128</v>
      </c>
      <c r="C87" s="169" t="s">
        <v>31</v>
      </c>
      <c r="D87" s="29">
        <v>12254605421.040001</v>
      </c>
      <c r="E87" s="30">
        <f t="shared" si="45"/>
        <v>5.8627246890827919E-2</v>
      </c>
      <c r="F87" s="61">
        <v>1715.13</v>
      </c>
      <c r="G87" s="61">
        <v>1715.13</v>
      </c>
      <c r="H87" s="32">
        <v>2089</v>
      </c>
      <c r="I87" s="50">
        <v>8.0000000000000004E-4</v>
      </c>
      <c r="J87" s="50">
        <v>1.3100000000000001E-2</v>
      </c>
      <c r="K87" s="29">
        <v>12197976973.719999</v>
      </c>
      <c r="L87" s="30">
        <f t="shared" si="39"/>
        <v>5.8318951998698E-2</v>
      </c>
      <c r="M87" s="61">
        <v>1716.63</v>
      </c>
      <c r="N87" s="61">
        <v>1716.63</v>
      </c>
      <c r="O87" s="32">
        <v>2088</v>
      </c>
      <c r="P87" s="50">
        <v>8.9999999999999998E-4</v>
      </c>
      <c r="Q87" s="50">
        <v>1.4E-2</v>
      </c>
      <c r="R87" s="56">
        <f t="shared" si="40"/>
        <v>-4.6209931184545442E-3</v>
      </c>
      <c r="S87" s="56">
        <f t="shared" si="41"/>
        <v>8.7456927463224355E-4</v>
      </c>
      <c r="T87" s="56">
        <f t="shared" si="42"/>
        <v>-4.7869794159885112E-4</v>
      </c>
      <c r="U87" s="57">
        <f t="shared" si="43"/>
        <v>9.9999999999999937E-5</v>
      </c>
      <c r="V87" s="58">
        <f t="shared" si="44"/>
        <v>8.9999999999999976E-4</v>
      </c>
    </row>
    <row r="88" spans="1:22">
      <c r="A88" s="170">
        <v>77</v>
      </c>
      <c r="B88" s="168" t="s">
        <v>129</v>
      </c>
      <c r="C88" s="169" t="s">
        <v>78</v>
      </c>
      <c r="D88" s="29">
        <v>23727031.780000001</v>
      </c>
      <c r="E88" s="30">
        <f t="shared" si="45"/>
        <v>1.1351247162673045E-4</v>
      </c>
      <c r="F88" s="60">
        <v>0.72360000000000002</v>
      </c>
      <c r="G88" s="60">
        <v>0.72360000000000002</v>
      </c>
      <c r="H88" s="32">
        <v>746</v>
      </c>
      <c r="I88" s="50">
        <v>4.0000000000000001E-3</v>
      </c>
      <c r="J88" s="50">
        <v>9.5999999999999992E-3</v>
      </c>
      <c r="K88" s="29">
        <v>23514817.039999999</v>
      </c>
      <c r="L88" s="30">
        <f t="shared" si="39"/>
        <v>1.1242515780841848E-4</v>
      </c>
      <c r="M88" s="60">
        <v>0.71709999999999996</v>
      </c>
      <c r="N88" s="60">
        <v>0.71709999999999996</v>
      </c>
      <c r="O88" s="32">
        <v>746</v>
      </c>
      <c r="P88" s="50">
        <v>-8.9999999999999993E-3</v>
      </c>
      <c r="Q88" s="50">
        <v>5.9999999999999995E-4</v>
      </c>
      <c r="R88" s="56">
        <f t="shared" si="40"/>
        <v>-8.944007070403227E-3</v>
      </c>
      <c r="S88" s="56">
        <f t="shared" si="41"/>
        <v>-8.9828634604754848E-3</v>
      </c>
      <c r="T88" s="56">
        <f t="shared" si="42"/>
        <v>0</v>
      </c>
      <c r="U88" s="57">
        <f t="shared" si="43"/>
        <v>-1.2999999999999999E-2</v>
      </c>
      <c r="V88" s="58">
        <f t="shared" si="44"/>
        <v>-8.9999999999999993E-3</v>
      </c>
    </row>
    <row r="89" spans="1:22">
      <c r="A89" s="170">
        <v>78</v>
      </c>
      <c r="B89" s="168" t="s">
        <v>130</v>
      </c>
      <c r="C89" s="169" t="s">
        <v>37</v>
      </c>
      <c r="D89" s="29">
        <v>10446807587.84</v>
      </c>
      <c r="E89" s="30">
        <f t="shared" si="45"/>
        <v>4.9978562885567991E-2</v>
      </c>
      <c r="F89" s="60">
        <v>1</v>
      </c>
      <c r="G89" s="60">
        <v>1</v>
      </c>
      <c r="H89" s="32">
        <v>4289</v>
      </c>
      <c r="I89" s="50">
        <v>0.06</v>
      </c>
      <c r="J89" s="50">
        <v>0.06</v>
      </c>
      <c r="K89" s="29">
        <v>10454096502.34</v>
      </c>
      <c r="L89" s="30">
        <f t="shared" si="39"/>
        <v>4.9981398835498243E-2</v>
      </c>
      <c r="M89" s="60">
        <v>1</v>
      </c>
      <c r="N89" s="60">
        <v>1</v>
      </c>
      <c r="O89" s="32">
        <v>4290</v>
      </c>
      <c r="P89" s="50">
        <v>0.06</v>
      </c>
      <c r="Q89" s="50">
        <v>0.06</v>
      </c>
      <c r="R89" s="56">
        <f t="shared" si="40"/>
        <v>6.9771692823023153E-4</v>
      </c>
      <c r="S89" s="56">
        <f t="shared" si="41"/>
        <v>0</v>
      </c>
      <c r="T89" s="56">
        <f t="shared" si="42"/>
        <v>2.3315458148752622E-4</v>
      </c>
      <c r="U89" s="57">
        <f t="shared" si="43"/>
        <v>0</v>
      </c>
      <c r="V89" s="58">
        <f t="shared" si="44"/>
        <v>0</v>
      </c>
    </row>
    <row r="90" spans="1:22">
      <c r="A90" s="170">
        <v>79</v>
      </c>
      <c r="B90" s="168" t="s">
        <v>131</v>
      </c>
      <c r="C90" s="169" t="s">
        <v>132</v>
      </c>
      <c r="D90" s="29">
        <v>1632881790.6500001</v>
      </c>
      <c r="E90" s="30">
        <f t="shared" si="45"/>
        <v>7.8118683217342126E-3</v>
      </c>
      <c r="F90" s="29">
        <v>255.98</v>
      </c>
      <c r="G90" s="29">
        <v>257.63</v>
      </c>
      <c r="H90" s="32">
        <v>527</v>
      </c>
      <c r="I90" s="50">
        <v>3.0000000000000001E-3</v>
      </c>
      <c r="J90" s="50">
        <v>0.18729999999999999</v>
      </c>
      <c r="K90" s="29">
        <v>1573739790.0999999</v>
      </c>
      <c r="L90" s="30">
        <f t="shared" si="39"/>
        <v>7.5241046507151504E-3</v>
      </c>
      <c r="M90" s="29">
        <v>256.19740000000002</v>
      </c>
      <c r="N90" s="29">
        <v>258.02980000000002</v>
      </c>
      <c r="O90" s="32">
        <v>529</v>
      </c>
      <c r="P90" s="50">
        <v>3.0000000000000001E-3</v>
      </c>
      <c r="Q90" s="50">
        <v>0.18729999999999999</v>
      </c>
      <c r="R90" s="56">
        <f t="shared" si="40"/>
        <v>-3.621940111565429E-2</v>
      </c>
      <c r="S90" s="56">
        <f t="shared" si="41"/>
        <v>1.5518379070761459E-3</v>
      </c>
      <c r="T90" s="56">
        <f t="shared" si="42"/>
        <v>3.7950664136622392E-3</v>
      </c>
      <c r="U90" s="57">
        <f t="shared" si="43"/>
        <v>0</v>
      </c>
      <c r="V90" s="58">
        <f t="shared" si="44"/>
        <v>0</v>
      </c>
    </row>
    <row r="91" spans="1:22">
      <c r="A91" s="170">
        <v>80</v>
      </c>
      <c r="B91" s="168" t="s">
        <v>133</v>
      </c>
      <c r="C91" s="169" t="s">
        <v>41</v>
      </c>
      <c r="D91" s="29">
        <v>1133136559.3499999</v>
      </c>
      <c r="E91" s="30">
        <f t="shared" si="45"/>
        <v>5.4210376053379153E-3</v>
      </c>
      <c r="F91" s="60">
        <v>3.78</v>
      </c>
      <c r="G91" s="60">
        <v>3.78</v>
      </c>
      <c r="H91" s="46">
        <v>770</v>
      </c>
      <c r="I91" s="53">
        <v>6.3E-3</v>
      </c>
      <c r="J91" s="53">
        <v>0.10920000000000001</v>
      </c>
      <c r="K91" s="29">
        <v>1134628779.1199999</v>
      </c>
      <c r="L91" s="30">
        <f t="shared" si="39"/>
        <v>5.4246996406372714E-3</v>
      </c>
      <c r="M91" s="60">
        <v>3.78</v>
      </c>
      <c r="N91" s="60">
        <v>3.78</v>
      </c>
      <c r="O91" s="46">
        <v>770</v>
      </c>
      <c r="P91" s="53">
        <v>1.2999999999999999E-3</v>
      </c>
      <c r="Q91" s="53">
        <v>0.1075</v>
      </c>
      <c r="R91" s="56">
        <f t="shared" si="40"/>
        <v>1.3168931473325348E-3</v>
      </c>
      <c r="S91" s="56">
        <f t="shared" si="41"/>
        <v>0</v>
      </c>
      <c r="T91" s="56">
        <f t="shared" si="42"/>
        <v>0</v>
      </c>
      <c r="U91" s="57">
        <f t="shared" si="43"/>
        <v>-5.0000000000000001E-3</v>
      </c>
      <c r="V91" s="58">
        <f t="shared" si="44"/>
        <v>-1.7000000000000071E-3</v>
      </c>
    </row>
    <row r="92" spans="1:22">
      <c r="A92" s="170">
        <v>81</v>
      </c>
      <c r="B92" s="168" t="s">
        <v>134</v>
      </c>
      <c r="C92" s="169" t="s">
        <v>43</v>
      </c>
      <c r="D92" s="29">
        <v>592446549.02999997</v>
      </c>
      <c r="E92" s="30">
        <f t="shared" si="45"/>
        <v>2.8343230080641059E-3</v>
      </c>
      <c r="F92" s="60">
        <v>110.50054</v>
      </c>
      <c r="G92" s="60">
        <v>110.50054</v>
      </c>
      <c r="H92" s="46">
        <v>59</v>
      </c>
      <c r="I92" s="53">
        <v>0.14610000000000001</v>
      </c>
      <c r="J92" s="53">
        <v>0.1691</v>
      </c>
      <c r="K92" s="29">
        <v>593615278.57000005</v>
      </c>
      <c r="L92" s="30">
        <f t="shared" si="39"/>
        <v>2.8380952850790521E-3</v>
      </c>
      <c r="M92" s="60">
        <v>110.81063</v>
      </c>
      <c r="N92" s="60">
        <v>110.81063</v>
      </c>
      <c r="O92" s="46">
        <v>59</v>
      </c>
      <c r="P92" s="53">
        <v>0.14860000000000001</v>
      </c>
      <c r="Q92" s="53">
        <v>0.1721</v>
      </c>
      <c r="R92" s="56">
        <f t="shared" si="40"/>
        <v>1.9727172719861681E-3</v>
      </c>
      <c r="S92" s="56">
        <f t="shared" si="41"/>
        <v>2.8062306301851773E-3</v>
      </c>
      <c r="T92" s="56">
        <f t="shared" si="42"/>
        <v>0</v>
      </c>
      <c r="U92" s="57">
        <f t="shared" si="43"/>
        <v>2.5000000000000022E-3</v>
      </c>
      <c r="V92" s="58">
        <f t="shared" si="44"/>
        <v>3.0000000000000027E-3</v>
      </c>
    </row>
    <row r="93" spans="1:22">
      <c r="A93" s="170">
        <v>82</v>
      </c>
      <c r="B93" s="169" t="s">
        <v>135</v>
      </c>
      <c r="C93" s="173" t="s">
        <v>47</v>
      </c>
      <c r="D93" s="29">
        <v>1394573637.8099999</v>
      </c>
      <c r="E93" s="30">
        <f t="shared" si="45"/>
        <v>6.6717784997754942E-3</v>
      </c>
      <c r="F93" s="60">
        <v>101.39</v>
      </c>
      <c r="G93" s="60">
        <v>101.39</v>
      </c>
      <c r="H93" s="32">
        <v>289</v>
      </c>
      <c r="I93" s="50">
        <v>1.6999999999999999E-3</v>
      </c>
      <c r="J93" s="50">
        <v>4.1300000000000003E-2</v>
      </c>
      <c r="K93" s="29">
        <v>1396616045.99</v>
      </c>
      <c r="L93" s="30">
        <f t="shared" si="39"/>
        <v>6.6772698720600036E-3</v>
      </c>
      <c r="M93" s="60">
        <v>101.61</v>
      </c>
      <c r="N93" s="60">
        <v>101.61</v>
      </c>
      <c r="O93" s="32">
        <v>289</v>
      </c>
      <c r="P93" s="50">
        <v>1.4E-3</v>
      </c>
      <c r="Q93" s="50">
        <v>4.3499999999999997E-2</v>
      </c>
      <c r="R93" s="56">
        <f t="shared" si="40"/>
        <v>1.4645395012682215E-3</v>
      </c>
      <c r="S93" s="56">
        <f t="shared" si="41"/>
        <v>2.1698392346385133E-3</v>
      </c>
      <c r="T93" s="56">
        <f t="shared" si="42"/>
        <v>0</v>
      </c>
      <c r="U93" s="57">
        <f t="shared" si="43"/>
        <v>-2.9999999999999992E-4</v>
      </c>
      <c r="V93" s="58">
        <f t="shared" si="44"/>
        <v>2.1999999999999936E-3</v>
      </c>
    </row>
    <row r="94" spans="1:22">
      <c r="A94" s="170">
        <v>83</v>
      </c>
      <c r="B94" s="168" t="s">
        <v>136</v>
      </c>
      <c r="C94" s="169" t="s">
        <v>19</v>
      </c>
      <c r="D94" s="29">
        <v>1445219908.0799999</v>
      </c>
      <c r="E94" s="30">
        <f t="shared" si="45"/>
        <v>6.9140752763098869E-3</v>
      </c>
      <c r="F94" s="60">
        <v>361.2167</v>
      </c>
      <c r="G94" s="60">
        <v>361.2167</v>
      </c>
      <c r="H94" s="32">
        <v>90</v>
      </c>
      <c r="I94" s="50">
        <v>2.5999999999999999E-3</v>
      </c>
      <c r="J94" s="50">
        <v>5.2600000000000001E-2</v>
      </c>
      <c r="K94" s="29">
        <v>1451032211.27</v>
      </c>
      <c r="L94" s="30">
        <f t="shared" si="39"/>
        <v>6.9374354501517384E-3</v>
      </c>
      <c r="M94" s="60">
        <v>362.14170000000001</v>
      </c>
      <c r="N94" s="60">
        <v>362.14170000000001</v>
      </c>
      <c r="O94" s="32">
        <v>90</v>
      </c>
      <c r="P94" s="50">
        <v>2.5999999999999999E-3</v>
      </c>
      <c r="Q94" s="50">
        <v>5.5199999999999999E-2</v>
      </c>
      <c r="R94" s="56">
        <f t="shared" si="40"/>
        <v>4.0217430977143153E-3</v>
      </c>
      <c r="S94" s="56">
        <f t="shared" si="41"/>
        <v>2.560789686634121E-3</v>
      </c>
      <c r="T94" s="56">
        <f t="shared" si="42"/>
        <v>0</v>
      </c>
      <c r="U94" s="57">
        <f t="shared" si="43"/>
        <v>0</v>
      </c>
      <c r="V94" s="58">
        <f t="shared" si="44"/>
        <v>2.5999999999999981E-3</v>
      </c>
    </row>
    <row r="95" spans="1:22">
      <c r="A95" s="170">
        <v>84</v>
      </c>
      <c r="B95" s="168" t="s">
        <v>137</v>
      </c>
      <c r="C95" s="169" t="s">
        <v>87</v>
      </c>
      <c r="D95" s="44">
        <v>1530802349</v>
      </c>
      <c r="E95" s="30">
        <f>(D95/$K$69)</f>
        <v>5.1186031779435729E-4</v>
      </c>
      <c r="F95" s="60">
        <v>103.51</v>
      </c>
      <c r="G95" s="60">
        <v>103.51</v>
      </c>
      <c r="H95" s="32">
        <v>393</v>
      </c>
      <c r="I95" s="50">
        <v>2.8E-3</v>
      </c>
      <c r="J95" s="50">
        <v>0.14460000000000001</v>
      </c>
      <c r="K95" s="44">
        <v>1529529721</v>
      </c>
      <c r="L95" s="30">
        <f>(K95/$K$69)</f>
        <v>5.1143478423482265E-4</v>
      </c>
      <c r="M95" s="60">
        <v>103.8</v>
      </c>
      <c r="N95" s="60">
        <v>103.8</v>
      </c>
      <c r="O95" s="32">
        <v>394</v>
      </c>
      <c r="P95" s="50">
        <v>2.8E-3</v>
      </c>
      <c r="Q95" s="50">
        <v>0.14480000000000001</v>
      </c>
      <c r="R95" s="56">
        <f t="shared" si="40"/>
        <v>-8.313470389115532E-4</v>
      </c>
      <c r="S95" s="56">
        <f t="shared" si="41"/>
        <v>2.8016616752003869E-3</v>
      </c>
      <c r="T95" s="56">
        <f t="shared" si="42"/>
        <v>2.5445292620865142E-3</v>
      </c>
      <c r="U95" s="57">
        <f t="shared" si="43"/>
        <v>0</v>
      </c>
      <c r="V95" s="58">
        <f t="shared" si="44"/>
        <v>2.0000000000000573E-4</v>
      </c>
    </row>
    <row r="96" spans="1:22">
      <c r="A96" s="170">
        <v>85</v>
      </c>
      <c r="B96" s="168" t="s">
        <v>138</v>
      </c>
      <c r="C96" s="169" t="s">
        <v>45</v>
      </c>
      <c r="D96" s="29">
        <v>61926963.609999999</v>
      </c>
      <c r="E96" s="30">
        <f t="shared" ref="E96:E108" si="51">(D96/$D$109)</f>
        <v>2.9626473150489005E-4</v>
      </c>
      <c r="F96" s="29">
        <v>12.668418000000001</v>
      </c>
      <c r="G96" s="29">
        <v>13.104820999999999</v>
      </c>
      <c r="H96" s="32">
        <v>58</v>
      </c>
      <c r="I96" s="50">
        <v>1E-3</v>
      </c>
      <c r="J96" s="50">
        <v>3.6700000000000003E-2</v>
      </c>
      <c r="K96" s="29">
        <v>62160230.950000003</v>
      </c>
      <c r="L96" s="30">
        <f t="shared" ref="L96:L108" si="52">(K96/$K$109)</f>
        <v>2.9719022529811227E-4</v>
      </c>
      <c r="M96" s="29">
        <v>12.696312000000001</v>
      </c>
      <c r="N96" s="29">
        <v>13.13852</v>
      </c>
      <c r="O96" s="32">
        <v>58</v>
      </c>
      <c r="P96" s="50">
        <v>1.1000000000000001E-3</v>
      </c>
      <c r="Q96" s="50">
        <v>3.8699999999999998E-2</v>
      </c>
      <c r="R96" s="56">
        <f t="shared" si="40"/>
        <v>3.7668137819425631E-3</v>
      </c>
      <c r="S96" s="56">
        <f t="shared" si="41"/>
        <v>2.5714963981576223E-3</v>
      </c>
      <c r="T96" s="56">
        <f t="shared" si="42"/>
        <v>0</v>
      </c>
      <c r="U96" s="57">
        <f t="shared" si="43"/>
        <v>1.0000000000000005E-4</v>
      </c>
      <c r="V96" s="58">
        <f t="shared" si="44"/>
        <v>1.9999999999999948E-3</v>
      </c>
    </row>
    <row r="97" spans="1:28">
      <c r="A97" s="170">
        <v>86</v>
      </c>
      <c r="B97" s="168" t="s">
        <v>139</v>
      </c>
      <c r="C97" s="169" t="s">
        <v>140</v>
      </c>
      <c r="D97" s="29">
        <v>533422106.42000002</v>
      </c>
      <c r="E97" s="30">
        <f t="shared" si="51"/>
        <v>2.551944224692695E-3</v>
      </c>
      <c r="F97" s="29">
        <v>140.66</v>
      </c>
      <c r="G97" s="29">
        <v>139.69</v>
      </c>
      <c r="H97" s="32">
        <v>132</v>
      </c>
      <c r="I97" s="50">
        <v>0.20119999999999999</v>
      </c>
      <c r="J97" s="50">
        <v>0.19719999999999999</v>
      </c>
      <c r="K97" s="29">
        <v>539482831.94000006</v>
      </c>
      <c r="L97" s="30">
        <f t="shared" si="52"/>
        <v>2.57928617571702E-3</v>
      </c>
      <c r="M97" s="29">
        <v>141.13999999999999</v>
      </c>
      <c r="N97" s="29">
        <v>141.13999999999999</v>
      </c>
      <c r="O97" s="32">
        <v>134</v>
      </c>
      <c r="P97" s="50">
        <v>0.19370000000000001</v>
      </c>
      <c r="Q97" s="50">
        <v>0.1971</v>
      </c>
      <c r="R97" s="56">
        <f t="shared" si="40"/>
        <v>1.1361969155489055E-2</v>
      </c>
      <c r="S97" s="56">
        <f t="shared" si="41"/>
        <v>1.0380127425012447E-2</v>
      </c>
      <c r="T97" s="56">
        <f t="shared" si="42"/>
        <v>1.5151515151515152E-2</v>
      </c>
      <c r="U97" s="57">
        <f t="shared" si="43"/>
        <v>-7.4999999999999789E-3</v>
      </c>
      <c r="V97" s="58">
        <f t="shared" si="44"/>
        <v>-9.9999999999988987E-5</v>
      </c>
    </row>
    <row r="98" spans="1:28">
      <c r="A98" s="170">
        <v>87</v>
      </c>
      <c r="B98" s="168" t="s">
        <v>141</v>
      </c>
      <c r="C98" s="169" t="s">
        <v>142</v>
      </c>
      <c r="D98" s="29">
        <v>9364024325.6759911</v>
      </c>
      <c r="E98" s="30">
        <f t="shared" si="51"/>
        <v>4.4798420444493947E-2</v>
      </c>
      <c r="F98" s="29">
        <v>1.0655189058718273</v>
      </c>
      <c r="G98" s="29">
        <v>1.0655189058718273</v>
      </c>
      <c r="H98" s="32">
        <v>4706</v>
      </c>
      <c r="I98" s="50">
        <v>0.19040000000000001</v>
      </c>
      <c r="J98" s="50">
        <v>0.19040000000000001</v>
      </c>
      <c r="K98" s="29">
        <v>9538654490.2288723</v>
      </c>
      <c r="L98" s="30">
        <f t="shared" si="52"/>
        <v>4.5604638748401698E-2</v>
      </c>
      <c r="M98" s="29">
        <v>1.0716618674589062</v>
      </c>
      <c r="N98" s="29">
        <v>1.0716618674589062</v>
      </c>
      <c r="O98" s="32">
        <v>4714</v>
      </c>
      <c r="P98" s="50">
        <v>0.1903</v>
      </c>
      <c r="Q98" s="50">
        <v>0.1903</v>
      </c>
      <c r="R98" s="56">
        <f t="shared" si="40"/>
        <v>1.8649050715732165E-2</v>
      </c>
      <c r="S98" s="56">
        <f t="shared" si="41"/>
        <v>5.7652300238189187E-3</v>
      </c>
      <c r="T98" s="56">
        <f t="shared" si="42"/>
        <v>1.6999575010624734E-3</v>
      </c>
      <c r="U98" s="57">
        <f t="shared" si="43"/>
        <v>-1.0000000000001674E-4</v>
      </c>
      <c r="V98" s="58">
        <f t="shared" si="44"/>
        <v>-1.0000000000001674E-4</v>
      </c>
    </row>
    <row r="99" spans="1:28" ht="14.25" customHeight="1">
      <c r="A99" s="170">
        <v>88</v>
      </c>
      <c r="B99" s="168" t="s">
        <v>143</v>
      </c>
      <c r="C99" s="169" t="s">
        <v>49</v>
      </c>
      <c r="D99" s="29">
        <v>8020009419.0699997</v>
      </c>
      <c r="E99" s="30">
        <f t="shared" si="51"/>
        <v>3.8368519925685129E-2</v>
      </c>
      <c r="F99" s="29">
        <v>5173.43</v>
      </c>
      <c r="G99" s="29">
        <v>5173.43</v>
      </c>
      <c r="H99" s="32">
        <v>246</v>
      </c>
      <c r="I99" s="50">
        <v>0</v>
      </c>
      <c r="J99" s="50">
        <v>1.1999999999999999E-3</v>
      </c>
      <c r="K99" s="29">
        <v>8043482988.8299999</v>
      </c>
      <c r="L99" s="30">
        <f t="shared" si="52"/>
        <v>3.8456171817552114E-2</v>
      </c>
      <c r="M99" s="29">
        <v>5173.67</v>
      </c>
      <c r="N99" s="29">
        <v>5173.67</v>
      </c>
      <c r="O99" s="32">
        <v>246</v>
      </c>
      <c r="P99" s="50">
        <v>0</v>
      </c>
      <c r="Q99" s="50">
        <v>1.1999999999999999E-3</v>
      </c>
      <c r="R99" s="56">
        <f t="shared" si="40"/>
        <v>2.9268755849818223E-3</v>
      </c>
      <c r="S99" s="56">
        <f t="shared" si="41"/>
        <v>4.6390885737273282E-5</v>
      </c>
      <c r="T99" s="56">
        <f t="shared" si="42"/>
        <v>0</v>
      </c>
      <c r="U99" s="57">
        <f t="shared" si="43"/>
        <v>0</v>
      </c>
      <c r="V99" s="58">
        <f t="shared" si="44"/>
        <v>0</v>
      </c>
    </row>
    <row r="100" spans="1:28" ht="13.5" customHeight="1">
      <c r="A100" s="170">
        <v>89</v>
      </c>
      <c r="B100" s="168" t="s">
        <v>144</v>
      </c>
      <c r="C100" s="169" t="s">
        <v>49</v>
      </c>
      <c r="D100" s="29">
        <v>17823280710.240002</v>
      </c>
      <c r="E100" s="30">
        <f t="shared" si="51"/>
        <v>8.5268341386963417E-2</v>
      </c>
      <c r="F100" s="60">
        <v>259.08999999999997</v>
      </c>
      <c r="G100" s="60">
        <v>259.08999999999997</v>
      </c>
      <c r="H100" s="32">
        <v>6217</v>
      </c>
      <c r="I100" s="50">
        <v>0</v>
      </c>
      <c r="J100" s="50">
        <v>8.9999999999999998E-4</v>
      </c>
      <c r="K100" s="29">
        <v>17743474961.049999</v>
      </c>
      <c r="L100" s="30">
        <f t="shared" si="52"/>
        <v>8.4832170676577293E-2</v>
      </c>
      <c r="M100" s="60">
        <v>259.08999999999997</v>
      </c>
      <c r="N100" s="60">
        <v>259.08999999999997</v>
      </c>
      <c r="O100" s="32">
        <v>6206</v>
      </c>
      <c r="P100" s="50">
        <v>0</v>
      </c>
      <c r="Q100" s="50">
        <v>8.9999999999999998E-4</v>
      </c>
      <c r="R100" s="56">
        <f t="shared" si="40"/>
        <v>-4.4776127631851572E-3</v>
      </c>
      <c r="S100" s="56">
        <f t="shared" si="41"/>
        <v>0</v>
      </c>
      <c r="T100" s="56">
        <f t="shared" si="42"/>
        <v>-1.7693421264275374E-3</v>
      </c>
      <c r="U100" s="57">
        <f t="shared" si="43"/>
        <v>0</v>
      </c>
      <c r="V100" s="58">
        <f t="shared" si="44"/>
        <v>0</v>
      </c>
    </row>
    <row r="101" spans="1:28" ht="13.5" customHeight="1">
      <c r="A101" s="170">
        <v>90</v>
      </c>
      <c r="B101" s="168" t="s">
        <v>145</v>
      </c>
      <c r="C101" s="169" t="s">
        <v>49</v>
      </c>
      <c r="D101" s="29">
        <v>463018315.81999999</v>
      </c>
      <c r="E101" s="30">
        <f t="shared" si="51"/>
        <v>2.2151255127275033E-3</v>
      </c>
      <c r="F101" s="35">
        <v>7646.81</v>
      </c>
      <c r="G101" s="35">
        <v>7680.76</v>
      </c>
      <c r="H101" s="32">
        <v>15</v>
      </c>
      <c r="I101" s="50">
        <v>4.3E-3</v>
      </c>
      <c r="J101" s="50">
        <v>0.12570000000000001</v>
      </c>
      <c r="K101" s="29">
        <v>466677109.04000002</v>
      </c>
      <c r="L101" s="30">
        <f t="shared" si="52"/>
        <v>2.2311994832938968E-3</v>
      </c>
      <c r="M101" s="35">
        <v>7706.86</v>
      </c>
      <c r="N101" s="35">
        <v>7741.71</v>
      </c>
      <c r="O101" s="32">
        <v>15</v>
      </c>
      <c r="P101" s="50">
        <v>7.9000000000000008E-3</v>
      </c>
      <c r="Q101" s="50">
        <v>0.1346</v>
      </c>
      <c r="R101" s="56">
        <f t="shared" si="40"/>
        <v>7.9020485691162108E-3</v>
      </c>
      <c r="S101" s="56">
        <f t="shared" si="41"/>
        <v>7.935412641457331E-3</v>
      </c>
      <c r="T101" s="56">
        <f t="shared" si="42"/>
        <v>0</v>
      </c>
      <c r="U101" s="57">
        <f t="shared" si="43"/>
        <v>3.6000000000000008E-3</v>
      </c>
      <c r="V101" s="58">
        <f t="shared" si="44"/>
        <v>8.8999999999999913E-3</v>
      </c>
    </row>
    <row r="102" spans="1:28" ht="15" customHeight="1">
      <c r="A102" s="170">
        <v>91</v>
      </c>
      <c r="B102" s="168" t="s">
        <v>146</v>
      </c>
      <c r="C102" s="169" t="s">
        <v>49</v>
      </c>
      <c r="D102" s="29">
        <v>6089227561.7200003</v>
      </c>
      <c r="E102" s="30">
        <f t="shared" si="51"/>
        <v>2.9131468159918589E-2</v>
      </c>
      <c r="F102" s="60">
        <v>146.97</v>
      </c>
      <c r="G102" s="60">
        <v>146.97</v>
      </c>
      <c r="H102" s="32">
        <v>4611</v>
      </c>
      <c r="I102" s="50">
        <v>3.0000000000000001E-3</v>
      </c>
      <c r="J102" s="50">
        <v>6.59E-2</v>
      </c>
      <c r="K102" s="29">
        <v>6198806922.8800001</v>
      </c>
      <c r="L102" s="30">
        <f t="shared" si="52"/>
        <v>2.9636711412350455E-2</v>
      </c>
      <c r="M102" s="60">
        <v>147.41</v>
      </c>
      <c r="N102" s="60">
        <v>147.41</v>
      </c>
      <c r="O102" s="32">
        <v>4618</v>
      </c>
      <c r="P102" s="50">
        <v>3.0000000000000001E-3</v>
      </c>
      <c r="Q102" s="50">
        <v>6.9099999999999995E-2</v>
      </c>
      <c r="R102" s="56">
        <f t="shared" si="40"/>
        <v>1.7995609467590237E-2</v>
      </c>
      <c r="S102" s="56">
        <f t="shared" si="41"/>
        <v>2.9938082601891386E-3</v>
      </c>
      <c r="T102" s="56">
        <f t="shared" si="42"/>
        <v>1.5181088700932553E-3</v>
      </c>
      <c r="U102" s="57">
        <f t="shared" si="43"/>
        <v>0</v>
      </c>
      <c r="V102" s="58">
        <f t="shared" si="44"/>
        <v>3.1999999999999945E-3</v>
      </c>
    </row>
    <row r="103" spans="1:28" ht="15" customHeight="1">
      <c r="A103" s="170">
        <v>92</v>
      </c>
      <c r="B103" s="168" t="s">
        <v>147</v>
      </c>
      <c r="C103" s="169" t="s">
        <v>49</v>
      </c>
      <c r="D103" s="29">
        <v>7535630983.8599997</v>
      </c>
      <c r="E103" s="30">
        <f t="shared" si="51"/>
        <v>3.605120548478985E-2</v>
      </c>
      <c r="F103" s="60">
        <v>366.45</v>
      </c>
      <c r="G103" s="60">
        <v>367</v>
      </c>
      <c r="H103" s="32">
        <v>10232</v>
      </c>
      <c r="I103" s="50">
        <v>-2.3E-3</v>
      </c>
      <c r="J103" s="50">
        <v>3.5999999999999997E-2</v>
      </c>
      <c r="K103" s="29">
        <v>7494233766.2200003</v>
      </c>
      <c r="L103" s="30">
        <f t="shared" si="52"/>
        <v>3.5830192188493502E-2</v>
      </c>
      <c r="M103" s="60">
        <v>367.44</v>
      </c>
      <c r="N103" s="60">
        <v>368</v>
      </c>
      <c r="O103" s="32">
        <v>10237</v>
      </c>
      <c r="P103" s="50">
        <v>2.7000000000000001E-3</v>
      </c>
      <c r="Q103" s="50">
        <v>3.8800000000000001E-2</v>
      </c>
      <c r="R103" s="56">
        <f t="shared" si="40"/>
        <v>-5.4935303664238565E-3</v>
      </c>
      <c r="S103" s="56">
        <f t="shared" si="41"/>
        <v>2.7247956403269754E-3</v>
      </c>
      <c r="T103" s="56">
        <f t="shared" si="42"/>
        <v>4.8866301798279903E-4</v>
      </c>
      <c r="U103" s="57">
        <f t="shared" si="43"/>
        <v>5.0000000000000001E-3</v>
      </c>
      <c r="V103" s="58">
        <f t="shared" si="44"/>
        <v>2.8000000000000039E-3</v>
      </c>
    </row>
    <row r="104" spans="1:28">
      <c r="A104" s="170">
        <v>93</v>
      </c>
      <c r="B104" s="168" t="s">
        <v>148</v>
      </c>
      <c r="C104" s="169" t="s">
        <v>52</v>
      </c>
      <c r="D104" s="29">
        <v>87272158605.259995</v>
      </c>
      <c r="E104" s="30">
        <f t="shared" si="51"/>
        <v>0.41751865632992774</v>
      </c>
      <c r="F104" s="29">
        <v>2.0249000000000001</v>
      </c>
      <c r="G104" s="29">
        <v>2.0249000000000001</v>
      </c>
      <c r="H104" s="32">
        <v>6485</v>
      </c>
      <c r="I104" s="50">
        <v>8.3199999999999996E-2</v>
      </c>
      <c r="J104" s="50">
        <v>8.1799999999999998E-2</v>
      </c>
      <c r="K104" s="29">
        <v>86906112270.039993</v>
      </c>
      <c r="L104" s="30">
        <f t="shared" si="52"/>
        <v>0.41550114422984175</v>
      </c>
      <c r="M104" s="29">
        <v>2.028</v>
      </c>
      <c r="N104" s="29">
        <v>2.028</v>
      </c>
      <c r="O104" s="32">
        <v>6487</v>
      </c>
      <c r="P104" s="50">
        <v>8.3000000000000004E-2</v>
      </c>
      <c r="Q104" s="50">
        <v>8.1799999999999998E-2</v>
      </c>
      <c r="R104" s="56">
        <f t="shared" si="40"/>
        <v>-4.194308254430402E-3</v>
      </c>
      <c r="S104" s="56">
        <f t="shared" si="41"/>
        <v>1.5309397994962123E-3</v>
      </c>
      <c r="T104" s="56">
        <f t="shared" si="42"/>
        <v>3.0840400925212025E-4</v>
      </c>
      <c r="U104" s="57">
        <f t="shared" si="43"/>
        <v>-1.9999999999999185E-4</v>
      </c>
      <c r="V104" s="58">
        <f t="shared" si="44"/>
        <v>0</v>
      </c>
    </row>
    <row r="105" spans="1:28">
      <c r="A105" s="170">
        <v>94</v>
      </c>
      <c r="B105" s="168" t="s">
        <v>149</v>
      </c>
      <c r="C105" s="169" t="s">
        <v>52</v>
      </c>
      <c r="D105" s="29">
        <v>28760741182.299999</v>
      </c>
      <c r="E105" s="30">
        <f t="shared" si="51"/>
        <v>0.1375942362993525</v>
      </c>
      <c r="F105" s="29">
        <v>117.3304</v>
      </c>
      <c r="G105" s="29">
        <v>117.3304</v>
      </c>
      <c r="H105" s="32">
        <v>610</v>
      </c>
      <c r="I105" s="50">
        <v>0.20069999999999999</v>
      </c>
      <c r="J105" s="50">
        <v>0.21529999999999999</v>
      </c>
      <c r="K105" s="29">
        <v>29123562402.720001</v>
      </c>
      <c r="L105" s="30">
        <f t="shared" si="52"/>
        <v>0.13924076438696031</v>
      </c>
      <c r="M105" s="29">
        <v>117.7443</v>
      </c>
      <c r="N105" s="29">
        <v>117.7443</v>
      </c>
      <c r="O105" s="32">
        <v>634</v>
      </c>
      <c r="P105" s="50">
        <v>0.20150000000000001</v>
      </c>
      <c r="Q105" s="50">
        <v>0.2147</v>
      </c>
      <c r="R105" s="56">
        <f t="shared" ref="R105:R107" si="53">((K105-D105)/D105)</f>
        <v>1.261515543428659E-2</v>
      </c>
      <c r="S105" s="56">
        <f t="shared" ref="S105:S107" si="54">((N105-G105)/G105)</f>
        <v>3.5276450093070354E-3</v>
      </c>
      <c r="T105" s="56">
        <f t="shared" ref="T105:T107" si="55">((O105-H105)/H105)</f>
        <v>3.9344262295081971E-2</v>
      </c>
      <c r="U105" s="57">
        <f t="shared" ref="U105:U107" si="56">P105-I105</f>
        <v>8.0000000000002292E-4</v>
      </c>
      <c r="V105" s="58">
        <f t="shared" ref="V105:V107" si="57">Q105-J105</f>
        <v>-5.9999999999998943E-4</v>
      </c>
    </row>
    <row r="106" spans="1:28">
      <c r="A106" s="170">
        <v>95</v>
      </c>
      <c r="B106" s="168" t="s">
        <v>150</v>
      </c>
      <c r="C106" s="168" t="s">
        <v>151</v>
      </c>
      <c r="D106" s="29">
        <v>104610317.73999999</v>
      </c>
      <c r="E106" s="30">
        <f t="shared" si="51"/>
        <v>5.004661280191957E-4</v>
      </c>
      <c r="F106" s="29">
        <v>115.45570606225377</v>
      </c>
      <c r="G106" s="29">
        <v>115.45570606225377</v>
      </c>
      <c r="H106" s="62">
        <v>71</v>
      </c>
      <c r="I106" s="63">
        <v>4.5235197602802538E-3</v>
      </c>
      <c r="J106" s="63">
        <v>4.5762232524122926E-2</v>
      </c>
      <c r="K106" s="29">
        <v>104912992.20999999</v>
      </c>
      <c r="L106" s="64">
        <f t="shared" si="52"/>
        <v>5.0159266326839467E-4</v>
      </c>
      <c r="M106" s="29">
        <v>115.72346647230178</v>
      </c>
      <c r="N106" s="29">
        <v>115.72346647230178</v>
      </c>
      <c r="O106" s="62">
        <v>72</v>
      </c>
      <c r="P106" s="63">
        <v>2.3191613405719063E-3</v>
      </c>
      <c r="Q106" s="63">
        <v>4.8187523865223181E-2</v>
      </c>
      <c r="R106" s="56">
        <f t="shared" si="53"/>
        <v>2.8933519803684216E-3</v>
      </c>
      <c r="S106" s="56">
        <f t="shared" si="54"/>
        <v>2.3191613405719063E-3</v>
      </c>
      <c r="T106" s="56">
        <f t="shared" si="55"/>
        <v>1.4084507042253521E-2</v>
      </c>
      <c r="U106" s="57">
        <f t="shared" si="56"/>
        <v>-2.2043584197083475E-3</v>
      </c>
      <c r="V106" s="58">
        <f t="shared" si="57"/>
        <v>2.4252913411002552E-3</v>
      </c>
    </row>
    <row r="107" spans="1:28">
      <c r="A107" s="170">
        <v>96</v>
      </c>
      <c r="B107" s="168" t="s">
        <v>152</v>
      </c>
      <c r="C107" s="169" t="s">
        <v>107</v>
      </c>
      <c r="D107" s="29">
        <v>291944817.36000001</v>
      </c>
      <c r="E107" s="30">
        <f t="shared" si="51"/>
        <v>1.3966929409637266E-3</v>
      </c>
      <c r="F107" s="29">
        <v>1.2000999999999999</v>
      </c>
      <c r="G107" s="29">
        <v>1.2000999999999999</v>
      </c>
      <c r="H107" s="32">
        <v>492</v>
      </c>
      <c r="I107" s="50">
        <v>5.3799999999999996E-4</v>
      </c>
      <c r="J107" s="50">
        <v>0.114748</v>
      </c>
      <c r="K107" s="29">
        <v>295536409.00999999</v>
      </c>
      <c r="L107" s="30">
        <f t="shared" si="52"/>
        <v>1.4129698463978589E-3</v>
      </c>
      <c r="M107" s="29">
        <v>1.2121</v>
      </c>
      <c r="N107" s="29">
        <v>1.2121</v>
      </c>
      <c r="O107" s="32">
        <v>502</v>
      </c>
      <c r="P107" s="50">
        <v>2.5959999999999998E-3</v>
      </c>
      <c r="Q107" s="50">
        <v>0.12590000000000001</v>
      </c>
      <c r="R107" s="56">
        <f t="shared" si="53"/>
        <v>1.2302296312289556E-2</v>
      </c>
      <c r="S107" s="56">
        <f t="shared" si="54"/>
        <v>9.9991667361053332E-3</v>
      </c>
      <c r="T107" s="56">
        <f t="shared" si="55"/>
        <v>2.032520325203252E-2</v>
      </c>
      <c r="U107" s="57">
        <f t="shared" si="56"/>
        <v>2.0579999999999999E-3</v>
      </c>
      <c r="V107" s="58">
        <f t="shared" si="57"/>
        <v>1.1152000000000009E-2</v>
      </c>
    </row>
    <row r="108" spans="1:28">
      <c r="A108" s="170">
        <v>97</v>
      </c>
      <c r="B108" s="168" t="s">
        <v>153</v>
      </c>
      <c r="C108" s="169" t="s">
        <v>109</v>
      </c>
      <c r="D108" s="29">
        <v>1965684620.98</v>
      </c>
      <c r="E108" s="30">
        <f t="shared" si="51"/>
        <v>9.4040300461928506E-3</v>
      </c>
      <c r="F108" s="60">
        <v>28.792100000000001</v>
      </c>
      <c r="G108" s="60">
        <v>28.792100000000001</v>
      </c>
      <c r="H108" s="32">
        <v>1299</v>
      </c>
      <c r="I108" s="50">
        <v>0</v>
      </c>
      <c r="J108" s="50">
        <v>0.1133</v>
      </c>
      <c r="K108" s="29">
        <v>1970359402.5999999</v>
      </c>
      <c r="L108" s="30">
        <f t="shared" si="52"/>
        <v>9.4203568073607333E-3</v>
      </c>
      <c r="M108" s="60">
        <v>28.85</v>
      </c>
      <c r="N108" s="60">
        <v>28.85</v>
      </c>
      <c r="O108" s="32">
        <v>1302</v>
      </c>
      <c r="P108" s="50">
        <v>0</v>
      </c>
      <c r="Q108" s="50">
        <v>0.115</v>
      </c>
      <c r="R108" s="56">
        <f t="shared" si="40"/>
        <v>2.3781951438727003E-3</v>
      </c>
      <c r="S108" s="56">
        <f t="shared" si="41"/>
        <v>2.010968286439685E-3</v>
      </c>
      <c r="T108" s="56">
        <f t="shared" si="42"/>
        <v>2.3094688221709007E-3</v>
      </c>
      <c r="U108" s="57">
        <f t="shared" si="43"/>
        <v>0</v>
      </c>
      <c r="V108" s="58">
        <f t="shared" si="44"/>
        <v>1.7000000000000071E-3</v>
      </c>
    </row>
    <row r="109" spans="1:28">
      <c r="A109" s="36"/>
      <c r="B109" s="37"/>
      <c r="C109" s="38" t="s">
        <v>53</v>
      </c>
      <c r="D109" s="48">
        <f>SUM(D72:D108)</f>
        <v>209025769943.79047</v>
      </c>
      <c r="E109" s="40">
        <f>(D109/$D$221)</f>
        <v>3.7228043461548246E-2</v>
      </c>
      <c r="F109" s="41"/>
      <c r="G109" s="45"/>
      <c r="H109" s="43">
        <f>SUM(H72:H108)</f>
        <v>51027</v>
      </c>
      <c r="I109" s="53"/>
      <c r="J109" s="53"/>
      <c r="K109" s="48">
        <f>SUM(K72:K108)</f>
        <v>209159742342.28909</v>
      </c>
      <c r="L109" s="40">
        <f>(K109/$K$221)</f>
        <v>3.69474829354033E-2</v>
      </c>
      <c r="M109" s="41"/>
      <c r="N109" s="45"/>
      <c r="O109" s="43">
        <f>SUM(O72:O108)</f>
        <v>51106</v>
      </c>
      <c r="P109" s="53"/>
      <c r="Q109" s="53"/>
      <c r="R109" s="56">
        <f t="shared" si="40"/>
        <v>6.4093723245058965E-4</v>
      </c>
      <c r="S109" s="56" t="e">
        <f t="shared" si="41"/>
        <v>#DIV/0!</v>
      </c>
      <c r="T109" s="56">
        <f t="shared" si="42"/>
        <v>1.5481999725635448E-3</v>
      </c>
      <c r="U109" s="57">
        <f t="shared" si="43"/>
        <v>0</v>
      </c>
      <c r="V109" s="58">
        <f t="shared" si="44"/>
        <v>0</v>
      </c>
    </row>
    <row r="110" spans="1:28" ht="3.75" customHeight="1">
      <c r="A110" s="36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</row>
    <row r="111" spans="1:28" ht="15" customHeight="1">
      <c r="A111" s="179" t="s">
        <v>154</v>
      </c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</row>
    <row r="112" spans="1:28">
      <c r="A112" s="181" t="s">
        <v>155</v>
      </c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Z112" s="65"/>
      <c r="AB112" s="68"/>
    </row>
    <row r="113" spans="1:27" ht="16.5" customHeight="1">
      <c r="A113" s="170">
        <v>98</v>
      </c>
      <c r="B113" s="168" t="s">
        <v>156</v>
      </c>
      <c r="C113" s="169" t="s">
        <v>19</v>
      </c>
      <c r="D113" s="29">
        <v>3177508724.851398</v>
      </c>
      <c r="E113" s="30">
        <f t="shared" ref="E113:E118" si="58">(D113/$D$149)</f>
        <v>1.6471682145962766E-3</v>
      </c>
      <c r="F113" s="29">
        <v>178702.68779453999</v>
      </c>
      <c r="G113" s="29">
        <v>178702.68779453999</v>
      </c>
      <c r="H113" s="32">
        <v>196</v>
      </c>
      <c r="I113" s="50">
        <v>1.1000000000000001E-3</v>
      </c>
      <c r="J113" s="50">
        <v>2.69E-2</v>
      </c>
      <c r="K113" s="29">
        <f>2010520.18*W132</f>
        <v>3188991408.7554317</v>
      </c>
      <c r="L113" s="30">
        <f t="shared" ref="L113:L129" si="59">(K113/$K$149)</f>
        <v>1.6454771066100648E-3</v>
      </c>
      <c r="M113" s="29">
        <f>113.1518*W132</f>
        <v>179475.99913431998</v>
      </c>
      <c r="N113" s="29">
        <f>113.1518*W132</f>
        <v>179475.99913431998</v>
      </c>
      <c r="O113" s="32">
        <v>196</v>
      </c>
      <c r="P113" s="50">
        <v>6.9999999999999999E-4</v>
      </c>
      <c r="Q113" s="50">
        <v>2.76E-2</v>
      </c>
      <c r="R113" s="57">
        <f>((K113-D113)/D113)</f>
        <v>3.6137379621422345E-3</v>
      </c>
      <c r="S113" s="57">
        <f>((N113-G113)/G113)</f>
        <v>4.3273626677013937E-3</v>
      </c>
      <c r="T113" s="57">
        <f>((O113-H113)/H113)</f>
        <v>0</v>
      </c>
      <c r="U113" s="57">
        <f>P113-I113</f>
        <v>-4.0000000000000007E-4</v>
      </c>
      <c r="V113" s="58">
        <f>Q113-J113</f>
        <v>6.9999999999999923E-4</v>
      </c>
      <c r="X113" s="65"/>
      <c r="Y113" s="69"/>
      <c r="Z113" s="65"/>
      <c r="AA113" s="70"/>
    </row>
    <row r="114" spans="1:27" ht="16.5" customHeight="1">
      <c r="A114" s="170">
        <v>99</v>
      </c>
      <c r="B114" s="168" t="s">
        <v>157</v>
      </c>
      <c r="C114" s="169" t="s">
        <v>57</v>
      </c>
      <c r="D114" s="29">
        <v>4435004276.3758411</v>
      </c>
      <c r="E114" s="30">
        <f t="shared" si="58"/>
        <v>2.2990332075284816E-3</v>
      </c>
      <c r="F114" s="29">
        <v>158044.10999999999</v>
      </c>
      <c r="G114" s="29">
        <v>158044.10999999999</v>
      </c>
      <c r="H114" s="32">
        <v>67</v>
      </c>
      <c r="I114" s="50">
        <v>-2.8419999999999999E-3</v>
      </c>
      <c r="J114" s="50">
        <v>6.9959999999999994E-2</v>
      </c>
      <c r="K114" s="29">
        <f>2844363.83*W132</f>
        <v>4511594515.4276924</v>
      </c>
      <c r="L114" s="30">
        <f t="shared" si="59"/>
        <v>2.3279226996541376E-3</v>
      </c>
      <c r="M114" s="29">
        <f>100*W132</f>
        <v>158615.24</v>
      </c>
      <c r="N114" s="29">
        <f>100*W132</f>
        <v>158615.24</v>
      </c>
      <c r="O114" s="32">
        <v>68</v>
      </c>
      <c r="P114" s="50">
        <v>-2.8760000000000001E-3</v>
      </c>
      <c r="Q114" s="50">
        <v>6.7084000000000005E-2</v>
      </c>
      <c r="R114" s="57">
        <f>((K114-D114)/D114)</f>
        <v>1.7269484825488967E-2</v>
      </c>
      <c r="S114" s="57">
        <f>((N114-G114)/G114)</f>
        <v>3.6137379621423711E-3</v>
      </c>
      <c r="T114" s="57">
        <f>((O114-H114)/H114)</f>
        <v>1.4925373134328358E-2</v>
      </c>
      <c r="U114" s="57">
        <f>P114-I114</f>
        <v>-3.4000000000000176E-5</v>
      </c>
      <c r="V114" s="58">
        <f>Q114-J114</f>
        <v>-2.8759999999999897E-3</v>
      </c>
      <c r="X114" s="65"/>
      <c r="Y114" s="69"/>
      <c r="Z114" s="65"/>
      <c r="AA114" s="70"/>
    </row>
    <row r="115" spans="1:27">
      <c r="A115" s="170">
        <v>100</v>
      </c>
      <c r="B115" s="168" t="s">
        <v>158</v>
      </c>
      <c r="C115" s="169" t="s">
        <v>23</v>
      </c>
      <c r="D115" s="29">
        <v>16774722936.016306</v>
      </c>
      <c r="E115" s="30">
        <f t="shared" si="58"/>
        <v>8.6957402233906987E-3</v>
      </c>
      <c r="F115" s="29">
        <v>1855.0679407999999</v>
      </c>
      <c r="G115" s="29">
        <v>1855.0679407999999</v>
      </c>
      <c r="H115" s="32">
        <v>306</v>
      </c>
      <c r="I115" s="50">
        <v>7.5999999999999998E-2</v>
      </c>
      <c r="J115" s="50">
        <v>7.2099999999999997E-2</v>
      </c>
      <c r="K115" s="29">
        <f>10575356.49*1587.8698</f>
        <v>16792289194.705002</v>
      </c>
      <c r="L115" s="30">
        <f t="shared" si="59"/>
        <v>8.6645976409971976E-3</v>
      </c>
      <c r="M115" s="29">
        <f>1.17*1587.8698</f>
        <v>1857.8076659999999</v>
      </c>
      <c r="N115" s="29">
        <f>1.17*1587.8698</f>
        <v>1857.8076659999999</v>
      </c>
      <c r="O115" s="32">
        <v>306</v>
      </c>
      <c r="P115" s="50">
        <v>8.9300000000000004E-2</v>
      </c>
      <c r="Q115" s="50">
        <v>7.2999999999999995E-2</v>
      </c>
      <c r="R115" s="57">
        <f t="shared" ref="R115:R127" si="60">((K115-D115)/D115)</f>
        <v>1.0471862191523968E-3</v>
      </c>
      <c r="S115" s="57">
        <f t="shared" ref="S115:S127" si="61">((N115-G115)/G115)</f>
        <v>1.4768867165148448E-3</v>
      </c>
      <c r="T115" s="57">
        <f t="shared" ref="T115:T127" si="62">((O115-H115)/H115)</f>
        <v>0</v>
      </c>
      <c r="U115" s="57">
        <f t="shared" ref="U115:U127" si="63">P115-I115</f>
        <v>1.3300000000000006E-2</v>
      </c>
      <c r="V115" s="58">
        <f t="shared" ref="V115:V127" si="64">Q115-J115</f>
        <v>8.9999999999999802E-4</v>
      </c>
    </row>
    <row r="116" spans="1:27">
      <c r="A116" s="170">
        <v>101</v>
      </c>
      <c r="B116" s="168" t="s">
        <v>288</v>
      </c>
      <c r="C116" s="169" t="s">
        <v>23</v>
      </c>
      <c r="D116" s="29">
        <v>3201082701.4748912</v>
      </c>
      <c r="E116" s="30">
        <f t="shared" si="58"/>
        <v>1.6593885760014745E-3</v>
      </c>
      <c r="F116" s="29">
        <v>1618.1020702799999</v>
      </c>
      <c r="G116" s="29">
        <v>1618.1020702799999</v>
      </c>
      <c r="H116" s="32">
        <v>67</v>
      </c>
      <c r="I116" s="50">
        <v>5.6399999999999999E-2</v>
      </c>
      <c r="J116" s="50">
        <v>4.8000000000000001E-2</v>
      </c>
      <c r="K116" s="29">
        <f>2043559.65*1587.8698</f>
        <v>3244906652.7335696</v>
      </c>
      <c r="L116" s="30">
        <f t="shared" si="59"/>
        <v>1.6743286280108234E-3</v>
      </c>
      <c r="M116" s="29">
        <f>1.02*1587.8698</f>
        <v>1619.6271959999999</v>
      </c>
      <c r="N116" s="29">
        <f>1.02*1587.8698</f>
        <v>1619.6271959999999</v>
      </c>
      <c r="O116" s="32">
        <v>70</v>
      </c>
      <c r="P116" s="50">
        <v>6.1400000000000003E-2</v>
      </c>
      <c r="Q116" s="50">
        <v>4.87E-2</v>
      </c>
      <c r="R116" s="57">
        <f t="shared" si="60"/>
        <v>1.3690352716750072E-2</v>
      </c>
      <c r="S116" s="57">
        <f t="shared" ref="S116" si="65">((N116-G116)/G116)</f>
        <v>9.4253987310954641E-4</v>
      </c>
      <c r="T116" s="57">
        <f t="shared" ref="T116" si="66">((O116-H116)/H116)</f>
        <v>4.4776119402985072E-2</v>
      </c>
      <c r="U116" s="57">
        <f t="shared" ref="U116" si="67">P116-I116</f>
        <v>5.0000000000000044E-3</v>
      </c>
      <c r="V116" s="58">
        <f t="shared" ref="V116" si="68">Q116-J116</f>
        <v>6.9999999999999923E-4</v>
      </c>
    </row>
    <row r="117" spans="1:27">
      <c r="A117" s="170">
        <v>102</v>
      </c>
      <c r="B117" s="168" t="s">
        <v>159</v>
      </c>
      <c r="C117" s="169" t="s">
        <v>27</v>
      </c>
      <c r="D117" s="29">
        <v>14345853375.392302</v>
      </c>
      <c r="E117" s="30">
        <f t="shared" si="58"/>
        <v>7.4366542273806048E-3</v>
      </c>
      <c r="F117" s="29">
        <v>1697.2356972900002</v>
      </c>
      <c r="G117" s="29">
        <v>1697.2356972900002</v>
      </c>
      <c r="H117" s="32">
        <v>428</v>
      </c>
      <c r="I117" s="50">
        <v>3.6200000000000003E-2</v>
      </c>
      <c r="J117" s="50">
        <v>3.3300000000000003E-2</v>
      </c>
      <c r="K117" s="29">
        <f>9264723.82*W132</f>
        <v>14695263922.430168</v>
      </c>
      <c r="L117" s="30">
        <f t="shared" si="59"/>
        <v>7.5825605216630794E-3</v>
      </c>
      <c r="M117" s="29">
        <f>1.0758*W132</f>
        <v>1706.3827519200001</v>
      </c>
      <c r="N117" s="29">
        <f>1.0758*W132</f>
        <v>1706.3827519200001</v>
      </c>
      <c r="O117" s="32">
        <v>428</v>
      </c>
      <c r="P117" s="50">
        <v>1.8E-3</v>
      </c>
      <c r="Q117" s="50">
        <v>3.5099999999999999E-2</v>
      </c>
      <c r="R117" s="57">
        <f t="shared" si="60"/>
        <v>2.4356205092491517E-2</v>
      </c>
      <c r="S117" s="57">
        <f t="shared" ref="S117:T120" si="69">((N117-G117)/G117)</f>
        <v>5.3893838343166984E-3</v>
      </c>
      <c r="T117" s="57">
        <f t="shared" si="69"/>
        <v>0</v>
      </c>
      <c r="U117" s="57">
        <f t="shared" si="63"/>
        <v>-3.44E-2</v>
      </c>
      <c r="V117" s="58">
        <f t="shared" si="64"/>
        <v>1.799999999999996E-3</v>
      </c>
    </row>
    <row r="118" spans="1:27">
      <c r="A118" s="170">
        <v>103</v>
      </c>
      <c r="B118" s="168" t="s">
        <v>160</v>
      </c>
      <c r="C118" s="169" t="s">
        <v>63</v>
      </c>
      <c r="D118" s="29">
        <v>774443828.32807207</v>
      </c>
      <c r="E118" s="30">
        <f t="shared" si="58"/>
        <v>4.0145893165782363E-4</v>
      </c>
      <c r="F118" s="29">
        <v>1738.4852100000001</v>
      </c>
      <c r="G118" s="29">
        <v>1754.2896210000001</v>
      </c>
      <c r="H118" s="32">
        <v>31</v>
      </c>
      <c r="I118" s="50">
        <v>0.14199999999999999</v>
      </c>
      <c r="J118" s="50">
        <v>0.1225</v>
      </c>
      <c r="K118" s="29">
        <f>503397.59*W132</f>
        <v>798465295.53271604</v>
      </c>
      <c r="L118" s="30">
        <f t="shared" si="59"/>
        <v>4.1199746120811374E-4</v>
      </c>
      <c r="M118" s="29">
        <f>1.13*W132</f>
        <v>1792.3522119999998</v>
      </c>
      <c r="N118" s="29">
        <f>1.13*W132</f>
        <v>1792.3522119999998</v>
      </c>
      <c r="O118" s="32">
        <v>31</v>
      </c>
      <c r="P118" s="50">
        <v>0.01</v>
      </c>
      <c r="Q118" s="50">
        <v>0.192</v>
      </c>
      <c r="R118" s="57">
        <f t="shared" si="60"/>
        <v>3.1017701124306622E-2</v>
      </c>
      <c r="S118" s="57">
        <f t="shared" si="69"/>
        <v>2.1696868375874437E-2</v>
      </c>
      <c r="T118" s="57">
        <f t="shared" si="69"/>
        <v>0</v>
      </c>
      <c r="U118" s="57">
        <f t="shared" si="63"/>
        <v>-0.13199999999999998</v>
      </c>
      <c r="V118" s="58">
        <f t="shared" si="64"/>
        <v>6.9500000000000006E-2</v>
      </c>
    </row>
    <row r="119" spans="1:27">
      <c r="A119" s="170">
        <v>104</v>
      </c>
      <c r="B119" s="168" t="s">
        <v>161</v>
      </c>
      <c r="C119" s="169" t="s">
        <v>29</v>
      </c>
      <c r="D119" s="29">
        <v>448052475.73100698</v>
      </c>
      <c r="E119" s="30">
        <v>0</v>
      </c>
      <c r="F119" s="29">
        <v>2051.2545036900001</v>
      </c>
      <c r="G119" s="29">
        <v>2051.2545036900001</v>
      </c>
      <c r="H119" s="32">
        <v>42</v>
      </c>
      <c r="I119" s="50">
        <v>8.4800000000000001E-4</v>
      </c>
      <c r="J119" s="50">
        <v>4.9500000000000002E-2</v>
      </c>
      <c r="K119" s="29">
        <f>285715.73*W132</f>
        <v>453188690.85725194</v>
      </c>
      <c r="L119" s="30">
        <f t="shared" si="59"/>
        <v>2.3383933043307354E-4</v>
      </c>
      <c r="M119" s="29">
        <f>1.2997*W132</f>
        <v>2061.5222742800001</v>
      </c>
      <c r="N119" s="29">
        <f>1.2997*W132</f>
        <v>2061.5222742800001</v>
      </c>
      <c r="O119" s="32">
        <v>43</v>
      </c>
      <c r="P119" s="50">
        <v>7.6999999999999996E-4</v>
      </c>
      <c r="Q119" s="50">
        <v>5.1999999999999998E-2</v>
      </c>
      <c r="R119" s="57">
        <f t="shared" si="60"/>
        <v>1.1463423157890423E-2</v>
      </c>
      <c r="S119" s="57">
        <f t="shared" si="69"/>
        <v>5.0056053851578975E-3</v>
      </c>
      <c r="T119" s="57">
        <f t="shared" si="69"/>
        <v>2.3809523809523808E-2</v>
      </c>
      <c r="U119" s="57">
        <f t="shared" si="63"/>
        <v>-7.8000000000000053E-5</v>
      </c>
      <c r="V119" s="58">
        <f t="shared" si="64"/>
        <v>2.4999999999999953E-3</v>
      </c>
    </row>
    <row r="120" spans="1:27">
      <c r="A120" s="170">
        <v>105</v>
      </c>
      <c r="B120" s="168" t="s">
        <v>162</v>
      </c>
      <c r="C120" s="169" t="s">
        <v>70</v>
      </c>
      <c r="D120" s="29">
        <v>833952667.00311291</v>
      </c>
      <c r="E120" s="30">
        <f t="shared" ref="E120:E129" si="70">(D120/$D$149)</f>
        <v>4.3230733398837872E-4</v>
      </c>
      <c r="F120" s="29">
        <v>167874.45364200001</v>
      </c>
      <c r="G120" s="29">
        <v>169312.65504300001</v>
      </c>
      <c r="H120" s="32">
        <v>47</v>
      </c>
      <c r="I120" s="50">
        <v>6.9999999999999999E-4</v>
      </c>
      <c r="J120" s="50">
        <v>1.38E-2</v>
      </c>
      <c r="K120" s="29">
        <f>527102.09*W132</f>
        <v>836064245.09851587</v>
      </c>
      <c r="L120" s="30">
        <f t="shared" si="59"/>
        <v>4.3139801856717394E-4</v>
      </c>
      <c r="M120" s="29">
        <f>106.27*W132</f>
        <v>168560.41554799999</v>
      </c>
      <c r="N120" s="29">
        <f>107.24*W132</f>
        <v>170098.98337599999</v>
      </c>
      <c r="O120" s="32">
        <v>52</v>
      </c>
      <c r="P120" s="50">
        <v>6.9999999999999999E-4</v>
      </c>
      <c r="Q120" s="50">
        <v>1.46E-2</v>
      </c>
      <c r="R120" s="57">
        <f t="shared" si="60"/>
        <v>2.5320119222007045E-3</v>
      </c>
      <c r="S120" s="57">
        <f t="shared" si="69"/>
        <v>4.6442383931684303E-3</v>
      </c>
      <c r="T120" s="57">
        <f t="shared" si="69"/>
        <v>0.10638297872340426</v>
      </c>
      <c r="U120" s="57">
        <f t="shared" si="63"/>
        <v>0</v>
      </c>
      <c r="V120" s="58">
        <f t="shared" si="64"/>
        <v>8.0000000000000036E-4</v>
      </c>
    </row>
    <row r="121" spans="1:27">
      <c r="A121" s="170">
        <v>106</v>
      </c>
      <c r="B121" s="168" t="s">
        <v>163</v>
      </c>
      <c r="C121" s="169" t="s">
        <v>73</v>
      </c>
      <c r="D121" s="29">
        <v>5271023733.6186571</v>
      </c>
      <c r="E121" s="30">
        <f t="shared" si="70"/>
        <v>2.7324119315534799E-3</v>
      </c>
      <c r="F121" s="29">
        <v>180579.77768900999</v>
      </c>
      <c r="G121" s="29">
        <v>180579.77768900999</v>
      </c>
      <c r="H121" s="32">
        <v>61</v>
      </c>
      <c r="I121" s="50" t="s">
        <v>313</v>
      </c>
      <c r="J121" s="50">
        <v>7.1800000000000003E-2</v>
      </c>
      <c r="K121" s="29">
        <v>5294462650.980916</v>
      </c>
      <c r="L121" s="30">
        <f t="shared" si="59"/>
        <v>2.7318722339835758E-3</v>
      </c>
      <c r="M121" s="29">
        <v>181382.71293436</v>
      </c>
      <c r="N121" s="29">
        <v>181382.71293436</v>
      </c>
      <c r="O121" s="32">
        <v>61</v>
      </c>
      <c r="P121" s="50">
        <v>8.9999999999999993E-3</v>
      </c>
      <c r="Q121" s="50">
        <v>7.0499999999999993E-2</v>
      </c>
      <c r="R121" s="57">
        <f t="shared" si="60"/>
        <v>4.4467485913154206E-3</v>
      </c>
      <c r="S121" s="57">
        <f t="shared" si="61"/>
        <v>4.446429470817039E-3</v>
      </c>
      <c r="T121" s="57">
        <f t="shared" si="62"/>
        <v>0</v>
      </c>
      <c r="U121" s="57">
        <f t="shared" si="63"/>
        <v>0</v>
      </c>
      <c r="V121" s="58">
        <f t="shared" si="64"/>
        <v>-1.3000000000000095E-3</v>
      </c>
      <c r="X121" s="66"/>
    </row>
    <row r="122" spans="1:27">
      <c r="A122" s="170">
        <v>107</v>
      </c>
      <c r="B122" s="168" t="s">
        <v>164</v>
      </c>
      <c r="C122" s="169" t="s">
        <v>31</v>
      </c>
      <c r="D122" s="29">
        <v>54560812738.400002</v>
      </c>
      <c r="E122" s="30">
        <f t="shared" si="70"/>
        <v>2.8283427139742971E-2</v>
      </c>
      <c r="F122" s="29">
        <v>205427.9</v>
      </c>
      <c r="G122" s="29">
        <v>205427.9</v>
      </c>
      <c r="H122" s="32">
        <v>2413</v>
      </c>
      <c r="I122" s="50">
        <v>1E-3</v>
      </c>
      <c r="J122" s="50">
        <v>2.9399999999999999E-2</v>
      </c>
      <c r="K122" s="29">
        <f>34678052.55*1585.5</f>
        <v>54982052318.024994</v>
      </c>
      <c r="L122" s="30">
        <f t="shared" si="59"/>
        <v>2.8370006929261494E-2</v>
      </c>
      <c r="M122" s="29">
        <f>130.24*1585.5</f>
        <v>206495.52000000002</v>
      </c>
      <c r="N122" s="29">
        <f>130.24*1585.5</f>
        <v>206495.52000000002</v>
      </c>
      <c r="O122" s="32">
        <v>2417</v>
      </c>
      <c r="P122" s="50">
        <v>1.1000000000000001E-3</v>
      </c>
      <c r="Q122" s="50">
        <v>3.0499999999999999E-2</v>
      </c>
      <c r="R122" s="57">
        <f t="shared" si="60"/>
        <v>7.7205517748551271E-3</v>
      </c>
      <c r="S122" s="57">
        <f t="shared" si="61"/>
        <v>5.197054538356399E-3</v>
      </c>
      <c r="T122" s="57">
        <f t="shared" si="62"/>
        <v>1.6576875259013675E-3</v>
      </c>
      <c r="U122" s="57">
        <f t="shared" si="63"/>
        <v>1.0000000000000005E-4</v>
      </c>
      <c r="V122" s="58">
        <f t="shared" si="64"/>
        <v>1.1000000000000003E-3</v>
      </c>
    </row>
    <row r="123" spans="1:27">
      <c r="A123" s="170">
        <v>108</v>
      </c>
      <c r="B123" s="174" t="s">
        <v>165</v>
      </c>
      <c r="C123" s="174" t="s">
        <v>31</v>
      </c>
      <c r="D123" s="29">
        <v>148627593361.66</v>
      </c>
      <c r="E123" s="30">
        <f t="shared" si="70"/>
        <v>7.704609768104291E-2</v>
      </c>
      <c r="F123" s="29">
        <v>193522.24</v>
      </c>
      <c r="G123" s="29">
        <v>193522.24</v>
      </c>
      <c r="H123" s="32">
        <v>850</v>
      </c>
      <c r="I123" s="50">
        <v>1.6999999999999999E-3</v>
      </c>
      <c r="J123" s="50">
        <v>3.2300000000000002E-2</v>
      </c>
      <c r="K123" s="29">
        <f>94466238.68*1585.5</f>
        <v>149776221427.14001</v>
      </c>
      <c r="L123" s="30">
        <f t="shared" si="59"/>
        <v>7.7282536038283695E-2</v>
      </c>
      <c r="M123" s="29">
        <f>122.75*1585.5</f>
        <v>194620.125</v>
      </c>
      <c r="N123" s="29">
        <f>122.75*1585.5</f>
        <v>194620.125</v>
      </c>
      <c r="O123" s="32">
        <v>855</v>
      </c>
      <c r="P123" s="50">
        <v>1.6000000000000001E-3</v>
      </c>
      <c r="Q123" s="50">
        <v>3.39E-2</v>
      </c>
      <c r="R123" s="57">
        <f t="shared" si="60"/>
        <v>7.7282289210255841E-3</v>
      </c>
      <c r="S123" s="57">
        <f t="shared" si="61"/>
        <v>5.6731722410820039E-3</v>
      </c>
      <c r="T123" s="57">
        <f t="shared" si="62"/>
        <v>5.8823529411764705E-3</v>
      </c>
      <c r="U123" s="57">
        <f t="shared" si="63"/>
        <v>-9.9999999999999829E-5</v>
      </c>
      <c r="V123" s="58">
        <f t="shared" si="64"/>
        <v>1.5999999999999973E-3</v>
      </c>
      <c r="X123" s="65"/>
    </row>
    <row r="124" spans="1:27">
      <c r="A124" s="170">
        <v>109</v>
      </c>
      <c r="B124" s="168" t="s">
        <v>300</v>
      </c>
      <c r="C124" s="169" t="s">
        <v>299</v>
      </c>
      <c r="D124" s="29">
        <v>779919140.08373404</v>
      </c>
      <c r="E124" s="30">
        <f t="shared" si="70"/>
        <v>4.0429724313700095E-4</v>
      </c>
      <c r="F124" s="29">
        <v>1580.4411</v>
      </c>
      <c r="G124" s="29">
        <v>1580.4411</v>
      </c>
      <c r="H124" s="32">
        <v>7</v>
      </c>
      <c r="I124" s="50">
        <v>8.8400000000000006E-2</v>
      </c>
      <c r="J124" s="50">
        <v>9.2999999999999999E-2</v>
      </c>
      <c r="K124" s="29">
        <f>489983.4*W132</f>
        <v>777188345.87015998</v>
      </c>
      <c r="L124" s="30">
        <f t="shared" si="59"/>
        <v>4.0101883847739451E-4</v>
      </c>
      <c r="M124" s="29">
        <f>1*W132</f>
        <v>1586.1523999999999</v>
      </c>
      <c r="N124" s="29">
        <f>1*W132</f>
        <v>1586.1523999999999</v>
      </c>
      <c r="O124" s="32">
        <v>7</v>
      </c>
      <c r="P124" s="50">
        <v>8.5699999999999998E-2</v>
      </c>
      <c r="Q124" s="50">
        <v>8.7599999999999997E-2</v>
      </c>
      <c r="R124" s="57">
        <f t="shared" ref="R124" si="71">((K124-D124)/D124)</f>
        <v>-3.5013811986725537E-3</v>
      </c>
      <c r="S124" s="57">
        <f t="shared" ref="S124" si="72">((N124-G124)/G124)</f>
        <v>3.6137379621423017E-3</v>
      </c>
      <c r="T124" s="57">
        <f t="shared" si="62"/>
        <v>0</v>
      </c>
      <c r="U124" s="57">
        <f t="shared" si="63"/>
        <v>-2.7000000000000079E-3</v>
      </c>
      <c r="V124" s="58">
        <f t="shared" si="64"/>
        <v>-5.400000000000002E-3</v>
      </c>
    </row>
    <row r="125" spans="1:27">
      <c r="A125" s="170">
        <v>110</v>
      </c>
      <c r="B125" s="168" t="s">
        <v>166</v>
      </c>
      <c r="C125" s="169" t="s">
        <v>35</v>
      </c>
      <c r="D125" s="29">
        <v>255987363.89331001</v>
      </c>
      <c r="E125" s="30">
        <f t="shared" si="70"/>
        <v>1.3269963536074011E-4</v>
      </c>
      <c r="F125" s="29">
        <v>200494.757946</v>
      </c>
      <c r="G125" s="29">
        <v>200494.757946</v>
      </c>
      <c r="H125" s="32">
        <v>9</v>
      </c>
      <c r="I125" s="50">
        <v>2.0999999999999999E-3</v>
      </c>
      <c r="J125" s="50">
        <v>0.11890000000000001</v>
      </c>
      <c r="K125" s="29">
        <f>162305.63*W132</f>
        <v>257441464.55801201</v>
      </c>
      <c r="L125" s="30">
        <f t="shared" si="59"/>
        <v>1.3283636796867354E-4</v>
      </c>
      <c r="M125" s="29">
        <f>127.12*W132</f>
        <v>201631.693088</v>
      </c>
      <c r="N125" s="29">
        <f>127.12*W132</f>
        <v>201631.693088</v>
      </c>
      <c r="O125" s="32">
        <v>9</v>
      </c>
      <c r="P125" s="50">
        <v>2.0999999999999999E-3</v>
      </c>
      <c r="Q125" s="50">
        <v>0.1212</v>
      </c>
      <c r="R125" s="57">
        <f t="shared" si="60"/>
        <v>5.6803611029333304E-3</v>
      </c>
      <c r="S125" s="57">
        <f t="shared" si="61"/>
        <v>5.6706477199080542E-3</v>
      </c>
      <c r="T125" s="57">
        <f t="shared" si="62"/>
        <v>0</v>
      </c>
      <c r="U125" s="57">
        <f t="shared" si="63"/>
        <v>0</v>
      </c>
      <c r="V125" s="58">
        <f t="shared" si="64"/>
        <v>2.2999999999999965E-3</v>
      </c>
    </row>
    <row r="126" spans="1:27">
      <c r="A126" s="170">
        <v>111</v>
      </c>
      <c r="B126" s="168" t="s">
        <v>167</v>
      </c>
      <c r="C126" s="169" t="s">
        <v>41</v>
      </c>
      <c r="D126" s="29">
        <v>17478914659.794315</v>
      </c>
      <c r="E126" s="30">
        <f t="shared" si="70"/>
        <v>9.0607816205447358E-3</v>
      </c>
      <c r="F126" s="29">
        <v>2228.4219509999998</v>
      </c>
      <c r="G126" s="29">
        <v>2228.4219509999998</v>
      </c>
      <c r="H126" s="46">
        <v>114</v>
      </c>
      <c r="I126" s="53">
        <v>8.9999999999999998E-4</v>
      </c>
      <c r="J126" s="53">
        <v>4.9599999999999998E-2</v>
      </c>
      <c r="K126" s="29">
        <f>11059079.59*W132</f>
        <v>17541385633.469517</v>
      </c>
      <c r="L126" s="30">
        <f t="shared" si="59"/>
        <v>9.0511214294420189E-3</v>
      </c>
      <c r="M126" s="29">
        <f>1.41*W132</f>
        <v>2236.4748839999997</v>
      </c>
      <c r="N126" s="29">
        <f>1.41*W132</f>
        <v>2236.4748839999997</v>
      </c>
      <c r="O126" s="46">
        <v>114</v>
      </c>
      <c r="P126" s="53">
        <v>8.0000000000000004E-4</v>
      </c>
      <c r="Q126" s="53">
        <v>4.9099999999999998E-2</v>
      </c>
      <c r="R126" s="57">
        <f t="shared" si="60"/>
        <v>3.5740762450714174E-3</v>
      </c>
      <c r="S126" s="57">
        <f t="shared" si="61"/>
        <v>3.6137379621423143E-3</v>
      </c>
      <c r="T126" s="57">
        <f t="shared" si="62"/>
        <v>0</v>
      </c>
      <c r="U126" s="57">
        <f t="shared" si="63"/>
        <v>-9.9999999999999937E-5</v>
      </c>
      <c r="V126" s="58">
        <f t="shared" si="64"/>
        <v>-5.0000000000000044E-4</v>
      </c>
    </row>
    <row r="127" spans="1:27">
      <c r="A127" s="170">
        <v>112</v>
      </c>
      <c r="B127" s="168" t="s">
        <v>168</v>
      </c>
      <c r="C127" s="169" t="s">
        <v>87</v>
      </c>
      <c r="D127" s="29">
        <v>30230213311.684216</v>
      </c>
      <c r="E127" s="30">
        <f t="shared" si="70"/>
        <v>1.567084492893098E-2</v>
      </c>
      <c r="F127" s="29">
        <v>165329.94347100001</v>
      </c>
      <c r="G127" s="29">
        <v>165329.94347100001</v>
      </c>
      <c r="H127" s="32">
        <v>639</v>
      </c>
      <c r="I127" s="53">
        <v>2.0999999999999999E-3</v>
      </c>
      <c r="J127" s="50">
        <v>9.6500000000000002E-2</v>
      </c>
      <c r="K127" s="29">
        <f>19365259.11*W132</f>
        <v>30716252213.94836</v>
      </c>
      <c r="L127" s="30">
        <f t="shared" si="59"/>
        <v>1.5849177166218247E-2</v>
      </c>
      <c r="M127" s="29">
        <f>104.72*W132</f>
        <v>166101.87932799998</v>
      </c>
      <c r="N127" s="29">
        <f>104.72*W132</f>
        <v>166101.87932799998</v>
      </c>
      <c r="O127" s="32">
        <v>645</v>
      </c>
      <c r="P127" s="53">
        <v>1.1000000000000001E-3</v>
      </c>
      <c r="Q127" s="50">
        <v>9.4600000000000004E-2</v>
      </c>
      <c r="R127" s="57">
        <f t="shared" si="60"/>
        <v>1.6077918380955885E-2</v>
      </c>
      <c r="S127" s="57">
        <f t="shared" si="61"/>
        <v>4.6690626077385538E-3</v>
      </c>
      <c r="T127" s="57">
        <f t="shared" si="62"/>
        <v>9.3896713615023476E-3</v>
      </c>
      <c r="U127" s="57">
        <f t="shared" si="63"/>
        <v>-9.999999999999998E-4</v>
      </c>
      <c r="V127" s="58">
        <f t="shared" si="64"/>
        <v>-1.8999999999999989E-3</v>
      </c>
    </row>
    <row r="128" spans="1:27">
      <c r="A128" s="170">
        <v>113</v>
      </c>
      <c r="B128" s="168" t="s">
        <v>169</v>
      </c>
      <c r="C128" s="169" t="s">
        <v>45</v>
      </c>
      <c r="D128" s="29">
        <v>2725130708.2649789</v>
      </c>
      <c r="E128" s="30">
        <f t="shared" si="70"/>
        <v>1.4126628978758308E-3</v>
      </c>
      <c r="F128" s="29">
        <v>219849.1051707048</v>
      </c>
      <c r="G128" s="29">
        <v>227456.20754763059</v>
      </c>
      <c r="H128" s="32">
        <v>50</v>
      </c>
      <c r="I128" s="50">
        <v>4.1999999999999997E-3</v>
      </c>
      <c r="J128" s="50">
        <v>1.47E-2</v>
      </c>
      <c r="K128" s="29">
        <f>1726206.43*W132</f>
        <v>2738026471.839932</v>
      </c>
      <c r="L128" s="30">
        <f t="shared" si="59"/>
        <v>1.4127852036024276E-3</v>
      </c>
      <c r="M128" s="29">
        <f>139.216483*W132</f>
        <v>220818.55863000921</v>
      </c>
      <c r="N128" s="29">
        <f>144.05959*W132</f>
        <v>228500.46442151596</v>
      </c>
      <c r="O128" s="32">
        <v>50</v>
      </c>
      <c r="P128" s="50">
        <v>8.0000000000000004E-4</v>
      </c>
      <c r="Q128" s="50">
        <v>1.5599999999999999E-2</v>
      </c>
      <c r="R128" s="57">
        <f t="shared" ref="R128:R129" si="73">((K128-D128)/D128)</f>
        <v>4.7321633182004262E-3</v>
      </c>
      <c r="S128" s="57">
        <f t="shared" ref="S128:S129" si="74">((N128-G128)/G128)</f>
        <v>4.5910238508953425E-3</v>
      </c>
      <c r="T128" s="57">
        <f t="shared" ref="T128:T129" si="75">((O128-H128)/H128)</f>
        <v>0</v>
      </c>
      <c r="U128" s="57">
        <f t="shared" ref="U128:U129" si="76">P128-I128</f>
        <v>-3.3999999999999998E-3</v>
      </c>
      <c r="V128" s="58">
        <f t="shared" ref="V128:V129" si="77">Q128-J128</f>
        <v>8.9999999999999976E-4</v>
      </c>
    </row>
    <row r="129" spans="1:24">
      <c r="A129" s="170">
        <v>114</v>
      </c>
      <c r="B129" s="168" t="s">
        <v>170</v>
      </c>
      <c r="C129" s="169" t="s">
        <v>52</v>
      </c>
      <c r="D129" s="33">
        <v>177211395683.52441</v>
      </c>
      <c r="E129" s="30">
        <f t="shared" si="70"/>
        <v>9.1863470256182009E-2</v>
      </c>
      <c r="F129" s="29">
        <v>202703.505122</v>
      </c>
      <c r="G129" s="29">
        <v>202703.505122</v>
      </c>
      <c r="H129" s="32">
        <v>3695</v>
      </c>
      <c r="I129" s="50">
        <v>6.0999999999999999E-2</v>
      </c>
      <c r="J129" s="50">
        <v>6.59E-2</v>
      </c>
      <c r="K129" s="33">
        <f>111979547.22*1589</f>
        <v>177935500532.57999</v>
      </c>
      <c r="L129" s="30">
        <f t="shared" si="59"/>
        <v>9.1812349125716244E-2</v>
      </c>
      <c r="M129" s="29">
        <f>127.8088*1589</f>
        <v>203088.1832</v>
      </c>
      <c r="N129" s="29">
        <f>127.8088*1589</f>
        <v>203088.1832</v>
      </c>
      <c r="O129" s="32">
        <v>3713</v>
      </c>
      <c r="P129" s="50">
        <v>4.6699999999999998E-2</v>
      </c>
      <c r="Q129" s="50">
        <v>6.5000000000000002E-2</v>
      </c>
      <c r="R129" s="57">
        <f t="shared" si="73"/>
        <v>4.0861077035289862E-3</v>
      </c>
      <c r="S129" s="57">
        <f t="shared" si="74"/>
        <v>1.8977376724120937E-3</v>
      </c>
      <c r="T129" s="57">
        <f t="shared" si="75"/>
        <v>4.8714479025710423E-3</v>
      </c>
      <c r="U129" s="57">
        <f t="shared" si="76"/>
        <v>-1.43E-2</v>
      </c>
      <c r="V129" s="58">
        <f t="shared" si="77"/>
        <v>-8.9999999999999802E-4</v>
      </c>
    </row>
    <row r="130" spans="1:24" ht="6" customHeight="1">
      <c r="A130" s="36"/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</row>
    <row r="131" spans="1:24">
      <c r="A131" s="181" t="s">
        <v>171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</row>
    <row r="132" spans="1:24">
      <c r="A132" s="170">
        <v>115</v>
      </c>
      <c r="B132" s="168" t="s">
        <v>172</v>
      </c>
      <c r="C132" s="169" t="s">
        <v>115</v>
      </c>
      <c r="D132" s="33">
        <v>1861389192.0149822</v>
      </c>
      <c r="E132" s="30">
        <f t="shared" ref="E132:E145" si="78">(D132/$D$149)</f>
        <v>9.649135148239482E-4</v>
      </c>
      <c r="F132" s="29">
        <v>167574.16983299999</v>
      </c>
      <c r="G132" s="29">
        <v>167574.16983299999</v>
      </c>
      <c r="H132" s="32">
        <v>23</v>
      </c>
      <c r="I132" s="50">
        <v>1.9E-3</v>
      </c>
      <c r="J132" s="50">
        <v>2.7199999999999998E-2</v>
      </c>
      <c r="K132" s="33">
        <f>1173630.34*W132</f>
        <v>1861556580.5038161</v>
      </c>
      <c r="L132" s="30">
        <f t="shared" ref="L132:L148" si="79">(K132/$K$149)</f>
        <v>9.6053840956373138E-4</v>
      </c>
      <c r="M132" s="29">
        <f>105.66*W132</f>
        <v>167592.86258399999</v>
      </c>
      <c r="N132" s="29">
        <f>105.66*W132</f>
        <v>167592.86258399999</v>
      </c>
      <c r="O132" s="32">
        <v>20</v>
      </c>
      <c r="P132" s="50">
        <v>6.6E-3</v>
      </c>
      <c r="Q132" s="50">
        <v>8.1000000000000003E-2</v>
      </c>
      <c r="R132" s="57">
        <f>((K132-D132)/D132)</f>
        <v>8.9926647018243229E-5</v>
      </c>
      <c r="S132" s="57">
        <f>((N132-G132)/G132)</f>
        <v>1.1154911892819607E-4</v>
      </c>
      <c r="T132" s="57">
        <f>((O132-H132)/H132)</f>
        <v>-0.13043478260869565</v>
      </c>
      <c r="U132" s="57">
        <f>P132-I132</f>
        <v>4.7000000000000002E-3</v>
      </c>
      <c r="V132" s="58">
        <f>Q132-J132</f>
        <v>5.3800000000000001E-2</v>
      </c>
      <c r="W132" s="138">
        <v>1586.1523999999999</v>
      </c>
    </row>
    <row r="133" spans="1:24">
      <c r="A133" s="170">
        <v>116</v>
      </c>
      <c r="B133" s="169" t="s">
        <v>173</v>
      </c>
      <c r="C133" s="169" t="s">
        <v>25</v>
      </c>
      <c r="D133" s="29">
        <v>19377912786.836624</v>
      </c>
      <c r="E133" s="30">
        <f t="shared" si="78"/>
        <v>1.004519098816598E-2</v>
      </c>
      <c r="F133" s="33">
        <v>216062.10278100002</v>
      </c>
      <c r="G133" s="33">
        <v>216062.10278100002</v>
      </c>
      <c r="H133" s="32">
        <v>572</v>
      </c>
      <c r="I133" s="50">
        <v>5.0000000000000001E-4</v>
      </c>
      <c r="J133" s="50">
        <v>2.2200000000000001E-2</v>
      </c>
      <c r="K133" s="29">
        <f>12320042.42*W132</f>
        <v>19541464852.584808</v>
      </c>
      <c r="L133" s="30">
        <f t="shared" si="79"/>
        <v>1.0083135676148679E-2</v>
      </c>
      <c r="M133" s="33">
        <f>136.86*W132</f>
        <v>217080.81746400002</v>
      </c>
      <c r="N133" s="33">
        <f>136.86*W132</f>
        <v>217080.81746400002</v>
      </c>
      <c r="O133" s="32">
        <v>574</v>
      </c>
      <c r="P133" s="50">
        <v>5.0000000000000001E-4</v>
      </c>
      <c r="Q133" s="50">
        <v>2.3300000000000001E-2</v>
      </c>
      <c r="R133" s="57">
        <f t="shared" ref="R133:R149" si="80">((K133-D133)/D133)</f>
        <v>8.4401280750569171E-3</v>
      </c>
      <c r="S133" s="57">
        <f t="shared" ref="S133:S149" si="81">((N133-G133)/G133)</f>
        <v>4.7149160814775777E-3</v>
      </c>
      <c r="T133" s="57">
        <f t="shared" ref="T133:T149" si="82">((O133-H133)/H133)</f>
        <v>3.4965034965034965E-3</v>
      </c>
      <c r="U133" s="57">
        <f t="shared" ref="U133:U149" si="83">P133-I133</f>
        <v>0</v>
      </c>
      <c r="V133" s="58">
        <f t="shared" ref="V133:V149" si="84">Q133-J133</f>
        <v>1.1000000000000003E-3</v>
      </c>
    </row>
    <row r="134" spans="1:24">
      <c r="A134" s="170">
        <v>117</v>
      </c>
      <c r="B134" s="168" t="s">
        <v>174</v>
      </c>
      <c r="C134" s="169" t="s">
        <v>67</v>
      </c>
      <c r="D134" s="33">
        <v>15432120607.76</v>
      </c>
      <c r="E134" s="30">
        <f t="shared" si="78"/>
        <v>7.9997572784342944E-3</v>
      </c>
      <c r="F134" s="33">
        <v>171212.12</v>
      </c>
      <c r="G134" s="33">
        <v>171212.12</v>
      </c>
      <c r="H134" s="32">
        <v>696</v>
      </c>
      <c r="I134" s="50">
        <v>2E-3</v>
      </c>
      <c r="J134" s="50">
        <v>6.3700000000000007E-2</v>
      </c>
      <c r="K134" s="33">
        <v>16005773437.299999</v>
      </c>
      <c r="L134" s="30">
        <f t="shared" si="79"/>
        <v>8.258765982359053E-3</v>
      </c>
      <c r="M134" s="33">
        <v>171407.14</v>
      </c>
      <c r="N134" s="33">
        <v>171407.14</v>
      </c>
      <c r="O134" s="32">
        <v>698</v>
      </c>
      <c r="P134" s="50">
        <v>1.1000000000000001E-3</v>
      </c>
      <c r="Q134" s="50">
        <v>6.3500000000000001E-2</v>
      </c>
      <c r="R134" s="57">
        <f t="shared" si="80"/>
        <v>3.717265074065966E-2</v>
      </c>
      <c r="S134" s="57">
        <f t="shared" si="81"/>
        <v>1.1390548753208512E-3</v>
      </c>
      <c r="T134" s="57">
        <f t="shared" si="82"/>
        <v>2.8735632183908046E-3</v>
      </c>
      <c r="U134" s="57">
        <f t="shared" si="83"/>
        <v>-8.9999999999999998E-4</v>
      </c>
      <c r="V134" s="58">
        <f t="shared" si="84"/>
        <v>-2.0000000000000573E-4</v>
      </c>
    </row>
    <row r="135" spans="1:24">
      <c r="A135" s="170">
        <v>118</v>
      </c>
      <c r="B135" s="168" t="s">
        <v>295</v>
      </c>
      <c r="C135" s="169" t="s">
        <v>296</v>
      </c>
      <c r="D135" s="29">
        <v>195525424.408503</v>
      </c>
      <c r="E135" s="30">
        <f t="shared" ref="E135" si="85">(D135/$D$109)</f>
        <v>9.3541300893704214E-4</v>
      </c>
      <c r="F135" s="35">
        <v>1531.2893817899999</v>
      </c>
      <c r="G135" s="35">
        <v>1531.2893817899999</v>
      </c>
      <c r="H135" s="32">
        <v>3</v>
      </c>
      <c r="I135" s="50">
        <v>4.1335124522068334E-4</v>
      </c>
      <c r="J135" s="50">
        <v>2.76E-2</v>
      </c>
      <c r="K135" s="29">
        <f>123784.51*W132</f>
        <v>196341097.619324</v>
      </c>
      <c r="L135" s="30">
        <f t="shared" ref="L135" si="86">(K135/$K$109)</f>
        <v>9.3871361391339146E-4</v>
      </c>
      <c r="M135" s="35">
        <v>0.96909999999999996</v>
      </c>
      <c r="N135" s="35">
        <v>0.96909999999999996</v>
      </c>
      <c r="O135" s="32">
        <v>3</v>
      </c>
      <c r="P135" s="50">
        <v>2.0000000000000001E-4</v>
      </c>
      <c r="Q135" s="50">
        <v>2.5600000000000001E-2</v>
      </c>
      <c r="R135" s="56">
        <f t="shared" si="80"/>
        <v>4.1716989659454778E-3</v>
      </c>
      <c r="S135" s="56">
        <f t="shared" si="81"/>
        <v>-0.99936713464383387</v>
      </c>
      <c r="T135" s="56">
        <f t="shared" si="82"/>
        <v>0</v>
      </c>
      <c r="U135" s="57">
        <f t="shared" si="83"/>
        <v>-2.1335124522068333E-4</v>
      </c>
      <c r="V135" s="58">
        <f t="shared" si="84"/>
        <v>-1.9999999999999983E-3</v>
      </c>
    </row>
    <row r="136" spans="1:24">
      <c r="A136" s="170">
        <v>119</v>
      </c>
      <c r="B136" s="168" t="s">
        <v>175</v>
      </c>
      <c r="C136" s="169" t="s">
        <v>65</v>
      </c>
      <c r="D136" s="33">
        <v>9419676904.6773014</v>
      </c>
      <c r="E136" s="30">
        <f t="shared" si="78"/>
        <v>4.8830054400170733E-3</v>
      </c>
      <c r="F136" s="33">
        <v>2052.8981264042782</v>
      </c>
      <c r="G136" s="33">
        <v>2052.8981264042782</v>
      </c>
      <c r="H136" s="32">
        <v>254</v>
      </c>
      <c r="I136" s="50">
        <v>0.11051501794972712</v>
      </c>
      <c r="J136" s="50">
        <v>6.42536092119671E-2</v>
      </c>
      <c r="K136" s="33">
        <v>9248182733.9808788</v>
      </c>
      <c r="L136" s="30">
        <f t="shared" si="79"/>
        <v>4.7719391544083899E-3</v>
      </c>
      <c r="M136" s="33">
        <v>2057.9390218683343</v>
      </c>
      <c r="N136" s="33">
        <v>2057.9390218683343</v>
      </c>
      <c r="O136" s="32">
        <v>257</v>
      </c>
      <c r="P136" s="50">
        <v>7.4746236774428418E-2</v>
      </c>
      <c r="Q136" s="50">
        <v>6.4831073716539928E-2</v>
      </c>
      <c r="R136" s="57">
        <f t="shared" si="80"/>
        <v>-1.8205950419729139E-2</v>
      </c>
      <c r="S136" s="57">
        <f t="shared" si="81"/>
        <v>2.4555020043227488E-3</v>
      </c>
      <c r="T136" s="56">
        <f t="shared" si="82"/>
        <v>1.1811023622047244E-2</v>
      </c>
      <c r="U136" s="57">
        <f t="shared" si="83"/>
        <v>-3.5768781175298706E-2</v>
      </c>
      <c r="V136" s="58">
        <f t="shared" si="84"/>
        <v>5.7746450457282772E-4</v>
      </c>
    </row>
    <row r="137" spans="1:24">
      <c r="A137" s="170">
        <v>120</v>
      </c>
      <c r="B137" s="168" t="s">
        <v>302</v>
      </c>
      <c r="C137" s="169" t="s">
        <v>37</v>
      </c>
      <c r="D137" s="33">
        <v>95725173093.319809</v>
      </c>
      <c r="E137" s="30">
        <f t="shared" si="78"/>
        <v>4.9622353897208295E-2</v>
      </c>
      <c r="F137" s="33">
        <v>158044.10999999999</v>
      </c>
      <c r="G137" s="33">
        <v>158044.10999999999</v>
      </c>
      <c r="H137" s="32">
        <v>1839</v>
      </c>
      <c r="I137" s="50">
        <v>4.3799999999999999E-2</v>
      </c>
      <c r="J137" s="50">
        <v>4.7843900000000002E-2</v>
      </c>
      <c r="K137" s="33">
        <v>95782842669.206665</v>
      </c>
      <c r="L137" s="30">
        <f t="shared" si="79"/>
        <v>4.9422671502186058E-2</v>
      </c>
      <c r="M137" s="33">
        <f>100*W132</f>
        <v>158615.24</v>
      </c>
      <c r="N137" s="33">
        <f>100*W132</f>
        <v>158615.24</v>
      </c>
      <c r="O137" s="32">
        <v>1854</v>
      </c>
      <c r="P137" s="50">
        <v>4.8000000000000001E-2</v>
      </c>
      <c r="Q137" s="50">
        <v>4.7849799999999998E-2</v>
      </c>
      <c r="R137" s="57">
        <f t="shared" si="80"/>
        <v>6.0244942916567632E-4</v>
      </c>
      <c r="S137" s="57">
        <f t="shared" si="81"/>
        <v>3.6137379621423711E-3</v>
      </c>
      <c r="T137" s="57">
        <f t="shared" si="82"/>
        <v>8.1566068515497546E-3</v>
      </c>
      <c r="U137" s="57">
        <f t="shared" si="83"/>
        <v>4.2000000000000023E-3</v>
      </c>
      <c r="V137" s="58">
        <f t="shared" si="84"/>
        <v>5.8999999999961861E-6</v>
      </c>
    </row>
    <row r="138" spans="1:24" ht="15.6">
      <c r="A138" s="170">
        <v>121</v>
      </c>
      <c r="B138" s="168" t="s">
        <v>176</v>
      </c>
      <c r="C138" s="169" t="s">
        <v>132</v>
      </c>
      <c r="D138" s="33">
        <v>1568222204.114748</v>
      </c>
      <c r="E138" s="30">
        <f t="shared" si="78"/>
        <v>8.1294057443154048E-4</v>
      </c>
      <c r="F138" s="33">
        <v>1738.4852100000001</v>
      </c>
      <c r="G138" s="33">
        <v>1801.7028539999999</v>
      </c>
      <c r="H138" s="32">
        <v>51</v>
      </c>
      <c r="I138" s="50">
        <v>1.9E-3</v>
      </c>
      <c r="J138" s="50">
        <v>9.2299999999999993E-2</v>
      </c>
      <c r="K138" s="33">
        <f>995892.72*W132</f>
        <v>1579637627.9705279</v>
      </c>
      <c r="L138" s="30">
        <f t="shared" si="79"/>
        <v>8.150719837090257E-4</v>
      </c>
      <c r="M138" s="33">
        <f>1.11*W132</f>
        <v>1760.6291640000002</v>
      </c>
      <c r="N138" s="33">
        <f>1.15*W132</f>
        <v>1824.0752599999998</v>
      </c>
      <c r="O138" s="32">
        <v>53</v>
      </c>
      <c r="P138" s="50">
        <v>1.9E-3</v>
      </c>
      <c r="Q138" s="50">
        <v>9.2299999999999993E-2</v>
      </c>
      <c r="R138" s="57">
        <f t="shared" si="80"/>
        <v>7.2792132555117243E-3</v>
      </c>
      <c r="S138" s="57">
        <f t="shared" si="81"/>
        <v>1.2417367242511987E-2</v>
      </c>
      <c r="T138" s="57">
        <f t="shared" si="82"/>
        <v>3.9215686274509803E-2</v>
      </c>
      <c r="U138" s="57">
        <f t="shared" si="83"/>
        <v>0</v>
      </c>
      <c r="V138" s="58">
        <f t="shared" si="84"/>
        <v>0</v>
      </c>
      <c r="X138" s="67"/>
    </row>
    <row r="139" spans="1:24" ht="15.6">
      <c r="A139" s="170">
        <v>122</v>
      </c>
      <c r="B139" s="168" t="s">
        <v>177</v>
      </c>
      <c r="C139" s="169" t="s">
        <v>43</v>
      </c>
      <c r="D139" s="29">
        <v>5185142817.1152325</v>
      </c>
      <c r="E139" s="30">
        <f t="shared" si="78"/>
        <v>2.6878926782156454E-3</v>
      </c>
      <c r="F139" s="33">
        <v>16832.804023770001</v>
      </c>
      <c r="G139" s="33">
        <v>16832.804023770001</v>
      </c>
      <c r="H139" s="32">
        <v>68</v>
      </c>
      <c r="I139" s="50">
        <v>7.7200000000000005E-2</v>
      </c>
      <c r="J139" s="50">
        <v>9.7100000000000006E-2</v>
      </c>
      <c r="K139" s="29">
        <f>3285401.18*W132</f>
        <v>5211146966.619832</v>
      </c>
      <c r="L139" s="30">
        <f t="shared" si="79"/>
        <v>2.6888824501725187E-3</v>
      </c>
      <c r="M139" s="33">
        <f>10.66635*W132</f>
        <v>16918.456651739998</v>
      </c>
      <c r="N139" s="33">
        <f>10.66635*W132</f>
        <v>16918.456651739998</v>
      </c>
      <c r="O139" s="32">
        <v>68</v>
      </c>
      <c r="P139" s="50">
        <v>7.6899999999999996E-2</v>
      </c>
      <c r="Q139" s="50">
        <v>9.69E-2</v>
      </c>
      <c r="R139" s="57">
        <f t="shared" si="80"/>
        <v>5.0151269544137737E-3</v>
      </c>
      <c r="S139" s="57">
        <f t="shared" si="81"/>
        <v>5.088434930332778E-3</v>
      </c>
      <c r="T139" s="57">
        <f t="shared" si="82"/>
        <v>0</v>
      </c>
      <c r="U139" s="57">
        <f t="shared" si="83"/>
        <v>-3.0000000000000859E-4</v>
      </c>
      <c r="V139" s="58">
        <f t="shared" si="84"/>
        <v>-2.0000000000000573E-4</v>
      </c>
      <c r="X139" s="67"/>
    </row>
    <row r="140" spans="1:24" ht="15.6">
      <c r="A140" s="170">
        <v>123</v>
      </c>
      <c r="B140" s="169" t="s">
        <v>178</v>
      </c>
      <c r="C140" s="173" t="s">
        <v>47</v>
      </c>
      <c r="D140" s="33">
        <v>24937578765.18</v>
      </c>
      <c r="E140" s="30">
        <f t="shared" si="78"/>
        <v>1.2927230307736313E-2</v>
      </c>
      <c r="F140" s="33">
        <v>1643.6587440000001</v>
      </c>
      <c r="G140" s="33">
        <v>1643.6587440000001</v>
      </c>
      <c r="H140" s="32">
        <v>460</v>
      </c>
      <c r="I140" s="50">
        <v>8.0999999999999996E-3</v>
      </c>
      <c r="J140" s="50">
        <v>3.2000000000000002E-3</v>
      </c>
      <c r="K140" s="33">
        <v>25269801956.189999</v>
      </c>
      <c r="L140" s="30">
        <f t="shared" si="79"/>
        <v>1.3038881350799452E-2</v>
      </c>
      <c r="M140" s="33">
        <f>1.05*W132</f>
        <v>1665.46002</v>
      </c>
      <c r="N140" s="33">
        <f>1.05*W132</f>
        <v>1665.46002</v>
      </c>
      <c r="O140" s="32">
        <v>460</v>
      </c>
      <c r="P140" s="50">
        <v>2.7000000000000001E-3</v>
      </c>
      <c r="Q140" s="50">
        <v>6.4000000000000003E-3</v>
      </c>
      <c r="R140" s="57">
        <f t="shared" si="80"/>
        <v>1.3322191145271771E-2</v>
      </c>
      <c r="S140" s="57">
        <f t="shared" si="81"/>
        <v>1.326387005793212E-2</v>
      </c>
      <c r="T140" s="57">
        <f t="shared" si="82"/>
        <v>0</v>
      </c>
      <c r="U140" s="57">
        <f t="shared" si="83"/>
        <v>-5.3999999999999994E-3</v>
      </c>
      <c r="V140" s="58">
        <f t="shared" si="84"/>
        <v>3.2000000000000002E-3</v>
      </c>
      <c r="X140" s="67"/>
    </row>
    <row r="141" spans="1:24">
      <c r="A141" s="170">
        <v>124</v>
      </c>
      <c r="B141" s="168" t="s">
        <v>179</v>
      </c>
      <c r="C141" s="169" t="s">
        <v>89</v>
      </c>
      <c r="D141" s="29">
        <v>430207289.13249999</v>
      </c>
      <c r="E141" s="30">
        <f t="shared" si="78"/>
        <v>2.2301237658437089E-4</v>
      </c>
      <c r="F141" s="33">
        <v>1793.9600000000003</v>
      </c>
      <c r="G141" s="33">
        <v>1793.9600000000003</v>
      </c>
      <c r="H141" s="32">
        <v>2</v>
      </c>
      <c r="I141" s="50">
        <v>2.9624000000000001E-2</v>
      </c>
      <c r="J141" s="50">
        <v>7.9649999999999999E-3</v>
      </c>
      <c r="K141" s="29">
        <f>272859.33*1589</f>
        <v>433573475.37</v>
      </c>
      <c r="L141" s="30">
        <f t="shared" si="79"/>
        <v>2.2371814041140058E-4</v>
      </c>
      <c r="M141" s="33">
        <f>1.14*1589</f>
        <v>1811.4599999999998</v>
      </c>
      <c r="N141" s="33">
        <f>1.14*1589</f>
        <v>1811.4599999999998</v>
      </c>
      <c r="O141" s="32">
        <v>2</v>
      </c>
      <c r="P141" s="50">
        <v>1.0181000000000001E-2</v>
      </c>
      <c r="Q141" s="50">
        <v>2.4003E-2</v>
      </c>
      <c r="R141" s="57">
        <f t="shared" si="80"/>
        <v>7.8245681152632838E-3</v>
      </c>
      <c r="S141" s="57">
        <f t="shared" si="81"/>
        <v>9.7549555174025852E-3</v>
      </c>
      <c r="T141" s="57">
        <f t="shared" si="82"/>
        <v>0</v>
      </c>
      <c r="U141" s="57">
        <f t="shared" ref="U141" si="87">P141-I141</f>
        <v>-1.9443000000000002E-2</v>
      </c>
      <c r="V141" s="58">
        <f t="shared" ref="V141" si="88">Q141-J141</f>
        <v>1.6038E-2</v>
      </c>
    </row>
    <row r="142" spans="1:24">
      <c r="A142" s="170">
        <v>125</v>
      </c>
      <c r="B142" s="168" t="s">
        <v>305</v>
      </c>
      <c r="C142" s="169" t="s">
        <v>303</v>
      </c>
      <c r="D142" s="29">
        <v>661415833.09405804</v>
      </c>
      <c r="E142" s="30">
        <f t="shared" si="78"/>
        <v>3.4286707960312499E-4</v>
      </c>
      <c r="F142" s="33">
        <v>1597.8259520999998</v>
      </c>
      <c r="G142" s="33">
        <v>1597.8259520999998</v>
      </c>
      <c r="H142" s="32">
        <v>5</v>
      </c>
      <c r="I142" s="50">
        <v>8.1699999999999995E-2</v>
      </c>
      <c r="J142" s="50">
        <v>5.4300000000000001E-2</v>
      </c>
      <c r="K142" s="29">
        <f>419155.1049*W132</f>
        <v>664843875.60938668</v>
      </c>
      <c r="L142" s="30">
        <f t="shared" si="79"/>
        <v>3.4305058765025188E-4</v>
      </c>
      <c r="M142" s="33">
        <f>1.012586545816*W132</f>
        <v>1606.1165798537581</v>
      </c>
      <c r="N142" s="33">
        <f>1.012586545816*W132</f>
        <v>1606.1165798537581</v>
      </c>
      <c r="O142" s="32">
        <v>5</v>
      </c>
      <c r="P142" s="50">
        <v>8.2500000000000004E-2</v>
      </c>
      <c r="Q142" s="50">
        <v>5.7500000000000002E-2</v>
      </c>
      <c r="R142" s="57">
        <f t="shared" ref="R142" si="89">((K142-D142)/D142)</f>
        <v>5.1828854765881508E-3</v>
      </c>
      <c r="S142" s="57">
        <f t="shared" ref="S142" si="90">((N142-G142)/G142)</f>
        <v>5.1886926375567495E-3</v>
      </c>
      <c r="T142" s="57">
        <f t="shared" si="82"/>
        <v>0</v>
      </c>
      <c r="U142" s="57">
        <f t="shared" si="83"/>
        <v>8.0000000000000904E-4</v>
      </c>
      <c r="V142" s="58">
        <f t="shared" si="84"/>
        <v>3.2000000000000015E-3</v>
      </c>
    </row>
    <row r="143" spans="1:24">
      <c r="A143" s="170">
        <v>126</v>
      </c>
      <c r="B143" s="168" t="s">
        <v>180</v>
      </c>
      <c r="C143" s="169" t="s">
        <v>49</v>
      </c>
      <c r="D143" s="29">
        <v>1076709744643.48</v>
      </c>
      <c r="E143" s="30">
        <f t="shared" si="78"/>
        <v>0.55814860675347344</v>
      </c>
      <c r="F143" s="33">
        <v>2566.63</v>
      </c>
      <c r="G143" s="33">
        <v>2566.63</v>
      </c>
      <c r="H143" s="32">
        <v>10908</v>
      </c>
      <c r="I143" s="50">
        <v>1.4E-3</v>
      </c>
      <c r="J143" s="50">
        <v>2.69E-2</v>
      </c>
      <c r="K143" s="29">
        <v>1077211041532.15</v>
      </c>
      <c r="L143" s="30">
        <f t="shared" si="79"/>
        <v>0.55582655474148823</v>
      </c>
      <c r="M143" s="33">
        <v>2572.59</v>
      </c>
      <c r="N143" s="33">
        <v>2572.59</v>
      </c>
      <c r="O143" s="32">
        <v>10980</v>
      </c>
      <c r="P143" s="50">
        <v>1.2999999999999999E-3</v>
      </c>
      <c r="Q143" s="50">
        <v>2.8199999999999999E-2</v>
      </c>
      <c r="R143" s="57">
        <f t="shared" si="80"/>
        <v>4.6558219721140663E-4</v>
      </c>
      <c r="S143" s="57">
        <f t="shared" si="81"/>
        <v>2.3221110950935805E-3</v>
      </c>
      <c r="T143" s="57">
        <f t="shared" si="82"/>
        <v>6.6006600660066007E-3</v>
      </c>
      <c r="U143" s="57">
        <f t="shared" si="83"/>
        <v>-1.0000000000000005E-4</v>
      </c>
      <c r="V143" s="58">
        <f t="shared" si="84"/>
        <v>1.2999999999999991E-3</v>
      </c>
    </row>
    <row r="144" spans="1:24">
      <c r="A144" s="170">
        <v>127</v>
      </c>
      <c r="B144" s="168" t="s">
        <v>287</v>
      </c>
      <c r="C144" s="168" t="s">
        <v>99</v>
      </c>
      <c r="D144" s="29">
        <v>509354751.55309504</v>
      </c>
      <c r="E144" s="30">
        <f t="shared" si="78"/>
        <v>2.6404111817224945E-4</v>
      </c>
      <c r="F144" s="33">
        <v>162184.865682</v>
      </c>
      <c r="G144" s="33">
        <v>162184.865682</v>
      </c>
      <c r="H144" s="32">
        <v>24</v>
      </c>
      <c r="I144" s="50">
        <v>0</v>
      </c>
      <c r="J144" s="50">
        <v>7.2800000000000004E-2</v>
      </c>
      <c r="K144" s="29">
        <f>324706.15*W132</f>
        <v>515033439.11726004</v>
      </c>
      <c r="L144" s="30">
        <f t="shared" si="79"/>
        <v>2.6575039709399672E-4</v>
      </c>
      <c r="M144" s="33">
        <f>102.62*W132</f>
        <v>162770.95928800001</v>
      </c>
      <c r="N144" s="33">
        <f>102.62*W132</f>
        <v>162770.95928800001</v>
      </c>
      <c r="O144" s="32">
        <v>24</v>
      </c>
      <c r="P144" s="50">
        <v>0</v>
      </c>
      <c r="Q144" s="50">
        <v>7.2800000000000004E-2</v>
      </c>
      <c r="R144" s="57">
        <f t="shared" ref="R144" si="91">((K144-D144)/D144)</f>
        <v>1.114878686583343E-2</v>
      </c>
      <c r="S144" s="57">
        <f t="shared" ref="S144" si="92">((N144-G144)/G144)</f>
        <v>3.6137379621423993E-3</v>
      </c>
      <c r="T144" s="57">
        <f t="shared" ref="T144" si="93">((O144-H144)/H144)</f>
        <v>0</v>
      </c>
      <c r="U144" s="57">
        <f t="shared" ref="U144" si="94">P144-I144</f>
        <v>0</v>
      </c>
      <c r="V144" s="58">
        <f t="shared" ref="V144" si="95">Q144-J144</f>
        <v>0</v>
      </c>
    </row>
    <row r="145" spans="1:22" ht="16.5" customHeight="1">
      <c r="A145" s="170">
        <v>128</v>
      </c>
      <c r="B145" s="168" t="s">
        <v>181</v>
      </c>
      <c r="C145" s="169" t="s">
        <v>52</v>
      </c>
      <c r="D145" s="29">
        <v>192428326648.49542</v>
      </c>
      <c r="E145" s="30">
        <f t="shared" si="78"/>
        <v>9.9751676766261149E-2</v>
      </c>
      <c r="F145" s="33">
        <v>1913.9040660000001</v>
      </c>
      <c r="G145" s="33">
        <v>1913.9040660000001</v>
      </c>
      <c r="H145" s="32">
        <v>693</v>
      </c>
      <c r="I145" s="50">
        <v>6.2600000000000003E-2</v>
      </c>
      <c r="J145" s="50">
        <v>8.2799999999999999E-2</v>
      </c>
      <c r="K145" s="29">
        <f>123632262.18*1589</f>
        <v>196451664604.02002</v>
      </c>
      <c r="L145" s="30">
        <f t="shared" si="79"/>
        <v>0.10136644325031631</v>
      </c>
      <c r="M145" s="33">
        <f>1.207*1589</f>
        <v>1917.9230000000002</v>
      </c>
      <c r="N145" s="33">
        <f>1.207*1589</f>
        <v>1917.9230000000002</v>
      </c>
      <c r="O145" s="32">
        <v>697</v>
      </c>
      <c r="P145" s="50">
        <v>5.7799999999999997E-2</v>
      </c>
      <c r="Q145" s="50">
        <v>8.1600000000000006E-2</v>
      </c>
      <c r="R145" s="57">
        <f t="shared" si="80"/>
        <v>2.0908241658588757E-2</v>
      </c>
      <c r="S145" s="57">
        <f t="shared" si="81"/>
        <v>2.0998617806375318E-3</v>
      </c>
      <c r="T145" s="57">
        <f t="shared" si="82"/>
        <v>5.772005772005772E-3</v>
      </c>
      <c r="U145" s="57">
        <f t="shared" si="83"/>
        <v>-4.8000000000000057E-3</v>
      </c>
      <c r="V145" s="58">
        <f t="shared" si="84"/>
        <v>-1.1999999999999927E-3</v>
      </c>
    </row>
    <row r="146" spans="1:22" ht="16.5" customHeight="1">
      <c r="A146" s="170">
        <v>129</v>
      </c>
      <c r="B146" s="168" t="s">
        <v>182</v>
      </c>
      <c r="C146" s="169" t="s">
        <v>94</v>
      </c>
      <c r="D146" s="33">
        <v>1234696072.1709278</v>
      </c>
      <c r="E146" s="30">
        <v>0</v>
      </c>
      <c r="F146" s="33">
        <v>167579.7066</v>
      </c>
      <c r="G146" s="33">
        <v>167579.7066</v>
      </c>
      <c r="H146" s="32">
        <v>25</v>
      </c>
      <c r="I146" s="50">
        <v>2.0999999999999999E-3</v>
      </c>
      <c r="J146" s="50">
        <v>6.3200000000000006E-2</v>
      </c>
      <c r="K146" s="33">
        <v>1230240925.0167725</v>
      </c>
      <c r="L146" s="30">
        <f t="shared" si="79"/>
        <v>6.3478793708005802E-4</v>
      </c>
      <c r="M146" s="33">
        <v>168060.73810000002</v>
      </c>
      <c r="N146" s="33">
        <v>168060.73810000002</v>
      </c>
      <c r="O146" s="32">
        <v>25</v>
      </c>
      <c r="P146" s="50">
        <v>1.1000000000000001E-3</v>
      </c>
      <c r="Q146" s="50">
        <v>6.3200000000000006E-2</v>
      </c>
      <c r="R146" s="57">
        <f t="shared" si="80"/>
        <v>-3.6082945872840653E-3</v>
      </c>
      <c r="S146" s="57">
        <f t="shared" si="81"/>
        <v>2.870463910932828E-3</v>
      </c>
      <c r="T146" s="57">
        <f t="shared" si="82"/>
        <v>0</v>
      </c>
      <c r="U146" s="57">
        <f t="shared" si="83"/>
        <v>-9.999999999999998E-4</v>
      </c>
      <c r="V146" s="58">
        <f t="shared" si="84"/>
        <v>0</v>
      </c>
    </row>
    <row r="147" spans="1:22" ht="16.5" customHeight="1">
      <c r="A147" s="170">
        <v>130</v>
      </c>
      <c r="B147" s="168" t="s">
        <v>307</v>
      </c>
      <c r="C147" s="169" t="s">
        <v>105</v>
      </c>
      <c r="D147" s="33">
        <v>561199825.87689304</v>
      </c>
      <c r="E147" s="30"/>
      <c r="F147" s="33">
        <v>1580.4411</v>
      </c>
      <c r="G147" s="33">
        <v>1580.4411</v>
      </c>
      <c r="H147" s="32">
        <v>13</v>
      </c>
      <c r="I147" s="50">
        <v>8.8999999999999996E-2</v>
      </c>
      <c r="J147" s="50">
        <v>0</v>
      </c>
      <c r="K147" s="33">
        <f>358065.75*W132</f>
        <v>567946848.72029996</v>
      </c>
      <c r="L147" s="30">
        <f t="shared" si="79"/>
        <v>2.9305301192558177E-4</v>
      </c>
      <c r="M147" s="33">
        <f>1.01*W132</f>
        <v>1602.0139239999999</v>
      </c>
      <c r="N147" s="33">
        <f>1.01*W132</f>
        <v>1602.0139239999999</v>
      </c>
      <c r="O147" s="32">
        <v>13</v>
      </c>
      <c r="P147" s="50">
        <v>9.1700000000000004E-2</v>
      </c>
      <c r="Q147" s="50">
        <v>0</v>
      </c>
      <c r="R147" s="57">
        <f t="shared" ref="R147" si="96">((K147-D147)/D147)</f>
        <v>1.2022496323594671E-2</v>
      </c>
      <c r="S147" s="57">
        <f t="shared" ref="S147" si="97">((N147-G147)/G147)</f>
        <v>1.3649875341763673E-2</v>
      </c>
      <c r="T147" s="57">
        <f t="shared" si="82"/>
        <v>0</v>
      </c>
      <c r="U147" s="57">
        <f t="shared" si="83"/>
        <v>2.7000000000000079E-3</v>
      </c>
      <c r="V147" s="58">
        <f t="shared" si="84"/>
        <v>0</v>
      </c>
    </row>
    <row r="148" spans="1:22">
      <c r="A148" s="170">
        <v>131</v>
      </c>
      <c r="B148" s="168" t="s">
        <v>183</v>
      </c>
      <c r="C148" s="169" t="s">
        <v>107</v>
      </c>
      <c r="D148" s="33">
        <v>1704305895.377316</v>
      </c>
      <c r="E148" s="30">
        <f>(D148/$D$149)</f>
        <v>8.8348411976299122E-4</v>
      </c>
      <c r="F148" s="33">
        <v>1993.0942712100002</v>
      </c>
      <c r="G148" s="33">
        <v>1993.0942712100002</v>
      </c>
      <c r="H148" s="32">
        <v>97</v>
      </c>
      <c r="I148" s="50">
        <v>-3.5950000000000001E-3</v>
      </c>
      <c r="J148" s="50">
        <v>1.4071999999999999E-2</v>
      </c>
      <c r="K148" s="33">
        <f>1086980.52*W132</f>
        <v>1724116760.5512481</v>
      </c>
      <c r="L148" s="30">
        <f t="shared" si="79"/>
        <v>8.8962129243144619E-4</v>
      </c>
      <c r="M148" s="33">
        <f>1.2708*W132</f>
        <v>2015.6824699199999</v>
      </c>
      <c r="N148" s="33">
        <f>1.2708*W132</f>
        <v>2015.6824699199999</v>
      </c>
      <c r="O148" s="32">
        <v>97</v>
      </c>
      <c r="P148" s="50">
        <v>3.441E-3</v>
      </c>
      <c r="Q148" s="50">
        <v>2.1545999999999999E-2</v>
      </c>
      <c r="R148" s="57">
        <f t="shared" si="80"/>
        <v>1.1624007889467608E-2</v>
      </c>
      <c r="S148" s="57">
        <f t="shared" si="81"/>
        <v>1.1333231466410505E-2</v>
      </c>
      <c r="T148" s="57">
        <f t="shared" si="82"/>
        <v>0</v>
      </c>
      <c r="U148" s="57">
        <f t="shared" si="83"/>
        <v>7.0360000000000006E-3</v>
      </c>
      <c r="V148" s="58">
        <f t="shared" si="84"/>
        <v>7.4739999999999997E-3</v>
      </c>
    </row>
    <row r="149" spans="1:22">
      <c r="A149" s="36"/>
      <c r="B149" s="37"/>
      <c r="C149" s="71" t="s">
        <v>53</v>
      </c>
      <c r="D149" s="48">
        <f>SUM(D113:D148)</f>
        <v>1929073604440.7039</v>
      </c>
      <c r="E149" s="40">
        <f>(D149/$D$221)</f>
        <v>0.34357312022319608</v>
      </c>
      <c r="F149" s="41"/>
      <c r="G149" s="45"/>
      <c r="H149" s="43">
        <f>SUM(H113:H148)</f>
        <v>24755</v>
      </c>
      <c r="I149" s="80"/>
      <c r="J149" s="80"/>
      <c r="K149" s="48">
        <f>SUM(K113:K148)</f>
        <v>1938034504366.4832</v>
      </c>
      <c r="L149" s="40">
        <f>(K149/$K$221)</f>
        <v>0.34234836960700266</v>
      </c>
      <c r="M149" s="41"/>
      <c r="N149" s="45"/>
      <c r="O149" s="43">
        <f>SUM(O113:O148)</f>
        <v>24895</v>
      </c>
      <c r="P149" s="80"/>
      <c r="Q149" s="80"/>
      <c r="R149" s="57">
        <f t="shared" si="80"/>
        <v>4.6451830065744586E-3</v>
      </c>
      <c r="S149" s="57" t="e">
        <f t="shared" si="81"/>
        <v>#DIV/0!</v>
      </c>
      <c r="T149" s="57">
        <f t="shared" si="82"/>
        <v>5.6554231468390224E-3</v>
      </c>
      <c r="U149" s="57">
        <f t="shared" si="83"/>
        <v>0</v>
      </c>
      <c r="V149" s="58">
        <f t="shared" si="84"/>
        <v>0</v>
      </c>
    </row>
    <row r="150" spans="1:22" ht="6" customHeight="1">
      <c r="A150" s="36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</row>
    <row r="151" spans="1:22">
      <c r="A151" s="182" t="s">
        <v>184</v>
      </c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</row>
    <row r="152" spans="1:22">
      <c r="A152" s="170">
        <v>132</v>
      </c>
      <c r="B152" s="168" t="s">
        <v>185</v>
      </c>
      <c r="C152" s="169" t="s">
        <v>186</v>
      </c>
      <c r="D152" s="72">
        <v>2413795699.2335496</v>
      </c>
      <c r="E152" s="30">
        <f>(D152/$D$158)</f>
        <v>6.8077184476970747E-3</v>
      </c>
      <c r="F152" s="60">
        <v>113.75097545869697</v>
      </c>
      <c r="G152" s="60">
        <v>113.75097545869697</v>
      </c>
      <c r="H152" s="32">
        <v>8</v>
      </c>
      <c r="I152" s="50">
        <v>3.0000000000000001E-3</v>
      </c>
      <c r="J152" s="50">
        <v>7.8843013971777731E-2</v>
      </c>
      <c r="K152" s="72">
        <v>2421037086.3312502</v>
      </c>
      <c r="L152" s="30">
        <f>(K152/$K$158)</f>
        <v>6.8059170617765204E-3</v>
      </c>
      <c r="M152" s="60">
        <v>114.09222838507306</v>
      </c>
      <c r="N152" s="60">
        <v>114.09222838507306</v>
      </c>
      <c r="O152" s="32">
        <v>8</v>
      </c>
      <c r="P152" s="50">
        <v>3.0000000000000001E-3</v>
      </c>
      <c r="Q152" s="50">
        <v>8.2079543013692913E-2</v>
      </c>
      <c r="R152" s="57">
        <f t="shared" ref="R152:R158" si="98">((K152-D152)/D152)</f>
        <v>2.9999999999999779E-3</v>
      </c>
      <c r="S152" s="57">
        <f t="shared" ref="S152:T158" si="99">((N152-G152)/G152)</f>
        <v>2.9999999999999563E-3</v>
      </c>
      <c r="T152" s="57">
        <f t="shared" si="99"/>
        <v>0</v>
      </c>
      <c r="U152" s="57">
        <f t="shared" ref="U152:V158" si="100">P152-I152</f>
        <v>0</v>
      </c>
      <c r="V152" s="58">
        <f t="shared" si="100"/>
        <v>3.2365290419151815E-3</v>
      </c>
    </row>
    <row r="153" spans="1:22">
      <c r="A153" s="170">
        <v>133</v>
      </c>
      <c r="B153" s="168" t="s">
        <v>315</v>
      </c>
      <c r="C153" s="169" t="s">
        <v>23</v>
      </c>
      <c r="D153" s="72">
        <v>253190501701.63</v>
      </c>
      <c r="E153" s="30">
        <v>0</v>
      </c>
      <c r="F153" s="60">
        <v>101.2762</v>
      </c>
      <c r="G153" s="60">
        <v>101.2762</v>
      </c>
      <c r="H153" s="32">
        <v>45</v>
      </c>
      <c r="I153" s="50">
        <v>0.1273</v>
      </c>
      <c r="J153" s="50">
        <v>6.9500000000000006E-2</v>
      </c>
      <c r="K153" s="72">
        <v>254333990495.38</v>
      </c>
      <c r="L153" s="30">
        <f t="shared" ref="L153:L154" si="101">(K153/$K$158)</f>
        <v>0.71497295728140664</v>
      </c>
      <c r="M153" s="60">
        <v>101.7336</v>
      </c>
      <c r="N153" s="60">
        <v>101.7336</v>
      </c>
      <c r="O153" s="32">
        <v>45</v>
      </c>
      <c r="P153" s="50">
        <v>0.23549999999999999</v>
      </c>
      <c r="Q153" s="50">
        <v>8.5500000000000007E-2</v>
      </c>
      <c r="R153" s="57">
        <f t="shared" ref="R153" si="102">((K153-D153)/D153)</f>
        <v>4.5163178952800278E-3</v>
      </c>
      <c r="S153" s="57">
        <f t="shared" ref="S153" si="103">((N153-G153)/G153)</f>
        <v>4.5163621857849398E-3</v>
      </c>
      <c r="T153" s="57">
        <f t="shared" ref="T153" si="104">((O153-H153)/H153)</f>
        <v>0</v>
      </c>
      <c r="U153" s="57">
        <f t="shared" ref="U153" si="105">P153-I153</f>
        <v>0.10819999999999999</v>
      </c>
      <c r="V153" s="58">
        <f t="shared" ref="V153" si="106">Q153-J153</f>
        <v>1.6E-2</v>
      </c>
    </row>
    <row r="154" spans="1:22">
      <c r="A154" s="170">
        <v>134</v>
      </c>
      <c r="B154" s="168" t="s">
        <v>187</v>
      </c>
      <c r="C154" s="169" t="s">
        <v>47</v>
      </c>
      <c r="D154" s="29">
        <v>54160728474</v>
      </c>
      <c r="E154" s="30">
        <f>(D154/$D$158)</f>
        <v>0.1527515317432368</v>
      </c>
      <c r="F154" s="60">
        <v>102.07</v>
      </c>
      <c r="G154" s="60">
        <v>102.07</v>
      </c>
      <c r="H154" s="32">
        <v>645</v>
      </c>
      <c r="I154" s="50">
        <v>8.3900000000000002E-2</v>
      </c>
      <c r="J154" s="50">
        <v>8.3900000000000002E-2</v>
      </c>
      <c r="K154" s="29">
        <v>54160728474</v>
      </c>
      <c r="L154" s="30">
        <f t="shared" si="101"/>
        <v>0.15225434921280992</v>
      </c>
      <c r="M154" s="60">
        <v>102.07</v>
      </c>
      <c r="N154" s="60">
        <v>102.07</v>
      </c>
      <c r="O154" s="32">
        <v>645</v>
      </c>
      <c r="P154" s="50">
        <v>8.3900000000000002E-2</v>
      </c>
      <c r="Q154" s="50">
        <v>8.3900000000000002E-2</v>
      </c>
      <c r="R154" s="57">
        <f t="shared" si="98"/>
        <v>0</v>
      </c>
      <c r="S154" s="57">
        <f t="shared" si="99"/>
        <v>0</v>
      </c>
      <c r="T154" s="57">
        <f t="shared" si="99"/>
        <v>0</v>
      </c>
      <c r="U154" s="57">
        <f t="shared" si="100"/>
        <v>0</v>
      </c>
      <c r="V154" s="58">
        <f t="shared" si="100"/>
        <v>0</v>
      </c>
    </row>
    <row r="155" spans="1:22" ht="15.75" customHeight="1">
      <c r="A155" s="170">
        <v>135</v>
      </c>
      <c r="B155" s="168" t="s">
        <v>188</v>
      </c>
      <c r="C155" s="169" t="s">
        <v>142</v>
      </c>
      <c r="D155" s="29">
        <v>2484042738.7825699</v>
      </c>
      <c r="E155" s="30">
        <f>(D155/$D$158)</f>
        <v>7.0058388052674442E-3</v>
      </c>
      <c r="F155" s="60">
        <v>206</v>
      </c>
      <c r="G155" s="60">
        <v>206</v>
      </c>
      <c r="H155" s="32">
        <v>3250</v>
      </c>
      <c r="I155" s="50">
        <v>0.17578259373924726</v>
      </c>
      <c r="J155" s="50">
        <v>5.9413991983023884E-2</v>
      </c>
      <c r="K155" s="29">
        <v>2485720033.0825701</v>
      </c>
      <c r="L155" s="30">
        <f>(K155/$K$158)</f>
        <v>6.9877510259839393E-3</v>
      </c>
      <c r="M155" s="60">
        <v>206</v>
      </c>
      <c r="N155" s="60">
        <v>206</v>
      </c>
      <c r="O155" s="32">
        <v>3250</v>
      </c>
      <c r="P155" s="50">
        <v>4.3089366858921473E-2</v>
      </c>
      <c r="Q155" s="50">
        <v>5.7372011386692921E-2</v>
      </c>
      <c r="R155" s="57">
        <f t="shared" si="98"/>
        <v>6.7522763349161749E-4</v>
      </c>
      <c r="S155" s="57">
        <f t="shared" si="99"/>
        <v>0</v>
      </c>
      <c r="T155" s="57">
        <f t="shared" si="99"/>
        <v>0</v>
      </c>
      <c r="U155" s="57">
        <f t="shared" si="100"/>
        <v>-0.13269322688032578</v>
      </c>
      <c r="V155" s="58">
        <f t="shared" si="100"/>
        <v>-2.0419805963309626E-3</v>
      </c>
    </row>
    <row r="156" spans="1:22">
      <c r="A156" s="170">
        <v>136</v>
      </c>
      <c r="B156" s="168" t="s">
        <v>189</v>
      </c>
      <c r="C156" s="169" t="s">
        <v>142</v>
      </c>
      <c r="D156" s="29">
        <v>11004594270.26</v>
      </c>
      <c r="E156" s="30">
        <f>(D156/$D$158)</f>
        <v>3.1036669527109772E-2</v>
      </c>
      <c r="F156" s="60">
        <v>50.75</v>
      </c>
      <c r="G156" s="60">
        <v>50.75</v>
      </c>
      <c r="H156" s="32">
        <v>5344</v>
      </c>
      <c r="I156" s="50">
        <v>4.2323747680888132E-2</v>
      </c>
      <c r="J156" s="50">
        <v>0.14452895082983117</v>
      </c>
      <c r="K156" s="29">
        <v>11023805653.610001</v>
      </c>
      <c r="L156" s="30">
        <f>(K156/$K$158)</f>
        <v>3.0989656212704313E-2</v>
      </c>
      <c r="M156" s="60">
        <v>45.7</v>
      </c>
      <c r="N156" s="60">
        <v>45.7</v>
      </c>
      <c r="O156" s="32">
        <v>5344</v>
      </c>
      <c r="P156" s="50">
        <v>8.4578843702932491E-2</v>
      </c>
      <c r="Q156" s="50">
        <v>0.14800348866233265</v>
      </c>
      <c r="R156" s="57">
        <f t="shared" si="98"/>
        <v>1.7457602595962389E-3</v>
      </c>
      <c r="S156" s="57">
        <f t="shared" si="99"/>
        <v>-9.9507389162561521E-2</v>
      </c>
      <c r="T156" s="57">
        <f t="shared" si="99"/>
        <v>0</v>
      </c>
      <c r="U156" s="57">
        <f t="shared" si="100"/>
        <v>4.2255096022044358E-2</v>
      </c>
      <c r="V156" s="58">
        <f t="shared" si="100"/>
        <v>3.4745378325014842E-3</v>
      </c>
    </row>
    <row r="157" spans="1:22">
      <c r="A157" s="170">
        <v>137</v>
      </c>
      <c r="B157" s="168" t="s">
        <v>190</v>
      </c>
      <c r="C157" s="169" t="s">
        <v>49</v>
      </c>
      <c r="D157" s="29">
        <v>31313835431.200001</v>
      </c>
      <c r="E157" s="30">
        <f>(D157/$D$158)</f>
        <v>8.8315583295147992E-2</v>
      </c>
      <c r="F157" s="60">
        <v>6.45</v>
      </c>
      <c r="G157" s="60">
        <v>6.45</v>
      </c>
      <c r="H157" s="32">
        <v>208222</v>
      </c>
      <c r="I157" s="50">
        <v>0</v>
      </c>
      <c r="J157" s="50">
        <v>0.28999999999999998</v>
      </c>
      <c r="K157" s="29">
        <v>31300047314.029999</v>
      </c>
      <c r="L157" s="30">
        <f>(K157/$K$158)</f>
        <v>8.7989369205318579E-2</v>
      </c>
      <c r="M157" s="60">
        <v>5.95</v>
      </c>
      <c r="N157" s="60">
        <v>5.95</v>
      </c>
      <c r="O157" s="32">
        <v>208295</v>
      </c>
      <c r="P157" s="50">
        <v>-7.7499999999999999E-2</v>
      </c>
      <c r="Q157" s="50">
        <v>0.19</v>
      </c>
      <c r="R157" s="57">
        <f t="shared" si="98"/>
        <v>-4.4032029229686728E-4</v>
      </c>
      <c r="S157" s="57">
        <f t="shared" si="99"/>
        <v>-7.7519379844961239E-2</v>
      </c>
      <c r="T157" s="57">
        <f t="shared" si="99"/>
        <v>3.5058735388191452E-4</v>
      </c>
      <c r="U157" s="57">
        <f t="shared" si="100"/>
        <v>-7.7499999999999999E-2</v>
      </c>
      <c r="V157" s="58">
        <f t="shared" si="100"/>
        <v>-9.9999999999999978E-2</v>
      </c>
    </row>
    <row r="158" spans="1:22">
      <c r="A158" s="36"/>
      <c r="B158" s="73"/>
      <c r="C158" s="38" t="s">
        <v>53</v>
      </c>
      <c r="D158" s="39">
        <f>SUM(D152:D157)</f>
        <v>354567498315.10614</v>
      </c>
      <c r="E158" s="40">
        <f>(D158/$D$221)</f>
        <v>6.3149410911758894E-2</v>
      </c>
      <c r="F158" s="41"/>
      <c r="G158" s="74"/>
      <c r="H158" s="43">
        <f>SUM(H152:H157)</f>
        <v>217514</v>
      </c>
      <c r="I158" s="81"/>
      <c r="J158" s="81"/>
      <c r="K158" s="39">
        <f>SUM(K152:K157)</f>
        <v>355725329056.43384</v>
      </c>
      <c r="L158" s="40">
        <f>(K158/$K$221)</f>
        <v>6.28378835134277E-2</v>
      </c>
      <c r="M158" s="41"/>
      <c r="N158" s="74"/>
      <c r="O158" s="43">
        <f>SUM(O152:O157)</f>
        <v>217587</v>
      </c>
      <c r="P158" s="81"/>
      <c r="Q158" s="81"/>
      <c r="R158" s="57">
        <f t="shared" si="98"/>
        <v>3.2654734199543778E-3</v>
      </c>
      <c r="S158" s="57" t="e">
        <f t="shared" si="99"/>
        <v>#DIV/0!</v>
      </c>
      <c r="T158" s="57">
        <f t="shared" si="99"/>
        <v>3.3561058138786468E-4</v>
      </c>
      <c r="U158" s="57">
        <f t="shared" si="100"/>
        <v>0</v>
      </c>
      <c r="V158" s="58">
        <f t="shared" si="100"/>
        <v>0</v>
      </c>
    </row>
    <row r="159" spans="1:22" ht="5.25" customHeight="1">
      <c r="A159" s="36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</row>
    <row r="160" spans="1:22" ht="15" customHeight="1">
      <c r="A160" s="182" t="s">
        <v>191</v>
      </c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</row>
    <row r="161" spans="1:22">
      <c r="A161" s="171">
        <v>138</v>
      </c>
      <c r="B161" s="168" t="s">
        <v>192</v>
      </c>
      <c r="C161" s="169" t="s">
        <v>57</v>
      </c>
      <c r="D161" s="33">
        <v>300847869.24000001</v>
      </c>
      <c r="E161" s="30">
        <f t="shared" ref="E161:E188" si="107">(D161/$D$189)</f>
        <v>4.94526092542571E-3</v>
      </c>
      <c r="F161" s="33">
        <v>6.3747999999999996</v>
      </c>
      <c r="G161" s="33">
        <v>6.4669999999999996</v>
      </c>
      <c r="H161" s="34">
        <v>11843</v>
      </c>
      <c r="I161" s="51">
        <v>2.6429999999999999E-2</v>
      </c>
      <c r="J161" s="51">
        <v>0.115596</v>
      </c>
      <c r="K161" s="33">
        <v>301791691.16000003</v>
      </c>
      <c r="L161" s="54">
        <f t="shared" ref="L161:L187" si="108">(K161/$K$189)</f>
        <v>4.9602841893011326E-3</v>
      </c>
      <c r="M161" s="33">
        <v>6.4451999999999998</v>
      </c>
      <c r="N161" s="33">
        <v>6.5346000000000002</v>
      </c>
      <c r="O161" s="34">
        <v>11843</v>
      </c>
      <c r="P161" s="51">
        <v>1.2322E-2</v>
      </c>
      <c r="Q161" s="51">
        <v>0.127918</v>
      </c>
      <c r="R161" s="57">
        <f>((K161-D161)/D161)</f>
        <v>3.1372065967570045E-3</v>
      </c>
      <c r="S161" s="57">
        <f>((N161-G161)/G161)</f>
        <v>1.045306942941094E-2</v>
      </c>
      <c r="T161" s="57">
        <f>((O161-H161)/H161)</f>
        <v>0</v>
      </c>
      <c r="U161" s="57">
        <f>P161-I161</f>
        <v>-1.4107999999999999E-2</v>
      </c>
      <c r="V161" s="58">
        <f>Q161-J161</f>
        <v>1.2322E-2</v>
      </c>
    </row>
    <row r="162" spans="1:22">
      <c r="A162" s="171">
        <v>139</v>
      </c>
      <c r="B162" s="168" t="s">
        <v>193</v>
      </c>
      <c r="C162" s="168" t="s">
        <v>194</v>
      </c>
      <c r="D162" s="33">
        <v>737969307.35381985</v>
      </c>
      <c r="E162" s="30">
        <f t="shared" si="107"/>
        <v>1.2130552192506933E-2</v>
      </c>
      <c r="F162" s="33">
        <v>1704.0687061936076</v>
      </c>
      <c r="G162" s="33">
        <v>1724.3180809839328</v>
      </c>
      <c r="H162" s="34">
        <v>160</v>
      </c>
      <c r="I162" s="51">
        <v>6.1999999999999998E-3</v>
      </c>
      <c r="J162" s="51">
        <v>0.52329999999999999</v>
      </c>
      <c r="K162" s="33">
        <v>728999945.40452206</v>
      </c>
      <c r="L162" s="54">
        <f t="shared" si="108"/>
        <v>1.1981929950729924E-2</v>
      </c>
      <c r="M162" s="33">
        <v>1683.4220190244619</v>
      </c>
      <c r="N162" s="33">
        <v>1703.3182507654769</v>
      </c>
      <c r="O162" s="34">
        <v>160</v>
      </c>
      <c r="P162" s="51">
        <v>-1.2200000000000001E-2</v>
      </c>
      <c r="Q162" s="51">
        <v>0.50480000000000003</v>
      </c>
      <c r="R162" s="57">
        <f>((K162-D162)/D162)</f>
        <v>-1.2154112454161214E-2</v>
      </c>
      <c r="S162" s="57">
        <f>((N162-G162)/G162)</f>
        <v>-1.2178629018651172E-2</v>
      </c>
      <c r="T162" s="57">
        <f>((O162-H162)/H162)</f>
        <v>0</v>
      </c>
      <c r="U162" s="57">
        <f>P162-I162</f>
        <v>-1.84E-2</v>
      </c>
      <c r="V162" s="58">
        <f>Q162-J162</f>
        <v>-1.8499999999999961E-2</v>
      </c>
    </row>
    <row r="163" spans="1:22">
      <c r="A163" s="171">
        <v>140</v>
      </c>
      <c r="B163" s="168" t="s">
        <v>195</v>
      </c>
      <c r="C163" s="169" t="s">
        <v>23</v>
      </c>
      <c r="D163" s="33">
        <v>7153167868.29</v>
      </c>
      <c r="E163" s="30">
        <f t="shared" si="107"/>
        <v>0.11758195808874281</v>
      </c>
      <c r="F163" s="33">
        <v>837.73260000000005</v>
      </c>
      <c r="G163" s="33">
        <v>862.99090000000001</v>
      </c>
      <c r="H163" s="34">
        <v>21475</v>
      </c>
      <c r="I163" s="51">
        <v>-0.1216</v>
      </c>
      <c r="J163" s="51">
        <v>0.1376</v>
      </c>
      <c r="K163" s="33">
        <v>7236145066.3900003</v>
      </c>
      <c r="L163" s="54">
        <f t="shared" si="108"/>
        <v>0.11893414237595509</v>
      </c>
      <c r="M163" s="33">
        <v>844.35929999999996</v>
      </c>
      <c r="N163" s="33">
        <v>869.81740000000002</v>
      </c>
      <c r="O163" s="34">
        <v>21478</v>
      </c>
      <c r="P163" s="51">
        <v>0.41249999999999998</v>
      </c>
      <c r="Q163" s="51">
        <v>0.1515</v>
      </c>
      <c r="R163" s="57">
        <f t="shared" ref="R163:R188" si="109">((K163-D163)/D163)</f>
        <v>1.1600063024920523E-2</v>
      </c>
      <c r="S163" s="57">
        <f t="shared" ref="S163:T188" si="110">((N163-G163)/G163)</f>
        <v>7.9102803980899573E-3</v>
      </c>
      <c r="T163" s="57">
        <f t="shared" si="110"/>
        <v>1.3969732246798603E-4</v>
      </c>
      <c r="U163" s="57">
        <f t="shared" ref="U163:V188" si="111">P163-I163</f>
        <v>0.53410000000000002</v>
      </c>
      <c r="V163" s="58">
        <f t="shared" si="111"/>
        <v>1.3899999999999996E-2</v>
      </c>
    </row>
    <row r="164" spans="1:22">
      <c r="A164" s="171">
        <v>141</v>
      </c>
      <c r="B164" s="168" t="s">
        <v>196</v>
      </c>
      <c r="C164" s="169" t="s">
        <v>109</v>
      </c>
      <c r="D164" s="33">
        <v>4293804295.04</v>
      </c>
      <c r="E164" s="30">
        <f t="shared" si="107"/>
        <v>7.0580465320653762E-2</v>
      </c>
      <c r="F164" s="33">
        <v>25.4663</v>
      </c>
      <c r="G164" s="33">
        <v>25.788399999999999</v>
      </c>
      <c r="H164" s="32">
        <v>6150</v>
      </c>
      <c r="I164" s="50">
        <v>2.5999999999999999E-2</v>
      </c>
      <c r="J164" s="50">
        <v>0.19789999999999999</v>
      </c>
      <c r="K164" s="33">
        <v>4322023888.1999998</v>
      </c>
      <c r="L164" s="54">
        <f t="shared" si="108"/>
        <v>7.1037299522783398E-2</v>
      </c>
      <c r="M164" s="33">
        <v>25.622</v>
      </c>
      <c r="N164" s="33">
        <v>25.947199999999999</v>
      </c>
      <c r="O164" s="32">
        <v>6153</v>
      </c>
      <c r="P164" s="50">
        <v>1.29E-2</v>
      </c>
      <c r="Q164" s="50">
        <v>0.20519999999999999</v>
      </c>
      <c r="R164" s="57">
        <f t="shared" si="109"/>
        <v>6.5721656649786742E-3</v>
      </c>
      <c r="S164" s="57">
        <f t="shared" si="110"/>
        <v>6.1578073862666701E-3</v>
      </c>
      <c r="T164" s="57">
        <f t="shared" si="110"/>
        <v>4.8780487804878049E-4</v>
      </c>
      <c r="U164" s="57">
        <f t="shared" si="111"/>
        <v>-1.3099999999999999E-2</v>
      </c>
      <c r="V164" s="58">
        <f t="shared" si="111"/>
        <v>7.3000000000000009E-3</v>
      </c>
    </row>
    <row r="165" spans="1:22">
      <c r="A165" s="171">
        <v>142</v>
      </c>
      <c r="B165" s="168" t="s">
        <v>197</v>
      </c>
      <c r="C165" s="169" t="s">
        <v>118</v>
      </c>
      <c r="D165" s="29">
        <v>2102698101.5757997</v>
      </c>
      <c r="E165" s="30">
        <f t="shared" si="107"/>
        <v>3.4563617771194363E-2</v>
      </c>
      <c r="F165" s="33">
        <v>5.0171999999999999</v>
      </c>
      <c r="G165" s="33">
        <v>5.1322999999999999</v>
      </c>
      <c r="H165" s="32">
        <v>2739</v>
      </c>
      <c r="I165" s="50">
        <v>0.45710000000000001</v>
      </c>
      <c r="J165" s="50">
        <v>0.25580000000000003</v>
      </c>
      <c r="K165" s="29">
        <v>2135889785.6499267</v>
      </c>
      <c r="L165" s="54">
        <f t="shared" si="108"/>
        <v>3.5105738972224375E-2</v>
      </c>
      <c r="M165" s="33">
        <v>5.0959000000000003</v>
      </c>
      <c r="N165" s="33">
        <v>5.2138</v>
      </c>
      <c r="O165" s="32">
        <v>2739</v>
      </c>
      <c r="P165" s="50">
        <v>0.82799999999999996</v>
      </c>
      <c r="Q165" s="50">
        <v>0.28639999999999999</v>
      </c>
      <c r="R165" s="57">
        <f t="shared" si="109"/>
        <v>1.5785282751362411E-2</v>
      </c>
      <c r="S165" s="57">
        <f t="shared" si="110"/>
        <v>1.5879819963758965E-2</v>
      </c>
      <c r="T165" s="57">
        <f t="shared" si="110"/>
        <v>0</v>
      </c>
      <c r="U165" s="57">
        <f t="shared" si="111"/>
        <v>0.37089999999999995</v>
      </c>
      <c r="V165" s="58">
        <f t="shared" si="111"/>
        <v>3.0599999999999961E-2</v>
      </c>
    </row>
    <row r="166" spans="1:22">
      <c r="A166" s="171">
        <v>143</v>
      </c>
      <c r="B166" s="168" t="s">
        <v>306</v>
      </c>
      <c r="C166" s="169" t="s">
        <v>27</v>
      </c>
      <c r="D166" s="29">
        <v>822055791.41999996</v>
      </c>
      <c r="E166" s="30">
        <f t="shared" si="107"/>
        <v>1.3512744478127496E-2</v>
      </c>
      <c r="F166" s="33">
        <v>1.0349999999999999</v>
      </c>
      <c r="G166" s="33">
        <v>1.0349999999999999</v>
      </c>
      <c r="H166" s="32">
        <v>196</v>
      </c>
      <c r="I166" s="50">
        <v>7.9000000000000008E-3</v>
      </c>
      <c r="J166" s="50">
        <v>3.5000000000000003E-2</v>
      </c>
      <c r="K166" s="29">
        <v>833780306.96000004</v>
      </c>
      <c r="L166" s="54">
        <f t="shared" si="108"/>
        <v>1.3704112456070484E-2</v>
      </c>
      <c r="M166" s="33">
        <v>1.0465</v>
      </c>
      <c r="N166" s="33">
        <v>1.0465</v>
      </c>
      <c r="O166" s="32">
        <v>199</v>
      </c>
      <c r="P166" s="50">
        <v>1.11E-2</v>
      </c>
      <c r="Q166" s="50">
        <v>4.65E-2</v>
      </c>
      <c r="R166" s="57">
        <f t="shared" ref="R166" si="112">((K166-D166)/D166)</f>
        <v>1.4262432869364532E-2</v>
      </c>
      <c r="S166" s="57">
        <f t="shared" ref="S166" si="113">((N166-G166)/G166)</f>
        <v>1.1111111111111176E-2</v>
      </c>
      <c r="T166" s="57">
        <f t="shared" ref="T166" si="114">((O166-H166)/H166)</f>
        <v>1.5306122448979591E-2</v>
      </c>
      <c r="U166" s="57">
        <f t="shared" ref="U166" si="115">P166-I166</f>
        <v>3.1999999999999997E-3</v>
      </c>
      <c r="V166" s="58">
        <f t="shared" ref="V166" si="116">Q166-J166</f>
        <v>1.1499999999999996E-2</v>
      </c>
    </row>
    <row r="167" spans="1:22">
      <c r="A167" s="171">
        <v>144</v>
      </c>
      <c r="B167" s="168" t="s">
        <v>198</v>
      </c>
      <c r="C167" s="169" t="s">
        <v>65</v>
      </c>
      <c r="D167" s="33">
        <v>4125226017.8427501</v>
      </c>
      <c r="E167" s="30">
        <f t="shared" si="107"/>
        <v>6.7809418381863273E-2</v>
      </c>
      <c r="F167" s="33">
        <v>9107.3767930068407</v>
      </c>
      <c r="G167" s="33">
        <v>9186.7230599231898</v>
      </c>
      <c r="H167" s="32">
        <v>1027</v>
      </c>
      <c r="I167" s="50">
        <v>0.28790939120370507</v>
      </c>
      <c r="J167" s="50">
        <v>0.4896508143605276</v>
      </c>
      <c r="K167" s="33">
        <v>4188266946.7979298</v>
      </c>
      <c r="L167" s="54">
        <f t="shared" si="108"/>
        <v>6.8838854499012961E-2</v>
      </c>
      <c r="M167" s="33">
        <v>9192.3457048421205</v>
      </c>
      <c r="N167" s="33">
        <v>9272.20225950026</v>
      </c>
      <c r="O167" s="32">
        <v>1032</v>
      </c>
      <c r="P167" s="50">
        <v>0.48647617553421391</v>
      </c>
      <c r="Q167" s="50">
        <v>0.49385776334265741</v>
      </c>
      <c r="R167" s="57">
        <f t="shared" si="109"/>
        <v>1.5281812119508152E-2</v>
      </c>
      <c r="S167" s="57">
        <f t="shared" si="110"/>
        <v>9.304645303826636E-3</v>
      </c>
      <c r="T167" s="57">
        <f t="shared" si="110"/>
        <v>4.8685491723466411E-3</v>
      </c>
      <c r="U167" s="57">
        <f t="shared" si="111"/>
        <v>0.19856678433050884</v>
      </c>
      <c r="V167" s="58">
        <f t="shared" si="111"/>
        <v>4.2069489821298101E-3</v>
      </c>
    </row>
    <row r="168" spans="1:22">
      <c r="A168" s="171">
        <v>145</v>
      </c>
      <c r="B168" s="168" t="s">
        <v>199</v>
      </c>
      <c r="C168" s="169" t="s">
        <v>67</v>
      </c>
      <c r="D168" s="33">
        <v>881626665.13</v>
      </c>
      <c r="E168" s="30">
        <f t="shared" si="107"/>
        <v>1.4491955382282254E-2</v>
      </c>
      <c r="F168" s="33">
        <v>196.47</v>
      </c>
      <c r="G168" s="33">
        <v>197.86</v>
      </c>
      <c r="H168" s="32">
        <v>700</v>
      </c>
      <c r="I168" s="50">
        <v>1.5E-3</v>
      </c>
      <c r="J168" s="50">
        <v>8.4000000000000005E-2</v>
      </c>
      <c r="K168" s="33">
        <v>882464654.77999997</v>
      </c>
      <c r="L168" s="54">
        <f t="shared" si="108"/>
        <v>1.4504294196759806E-2</v>
      </c>
      <c r="M168" s="33">
        <v>196.25</v>
      </c>
      <c r="N168" s="33">
        <v>197.63</v>
      </c>
      <c r="O168" s="32">
        <v>700</v>
      </c>
      <c r="P168" s="50">
        <v>-1.1000000000000001E-3</v>
      </c>
      <c r="Q168" s="50">
        <v>8.2900000000000001E-2</v>
      </c>
      <c r="R168" s="57">
        <f t="shared" si="109"/>
        <v>9.5050397537194576E-4</v>
      </c>
      <c r="S168" s="57">
        <f t="shared" si="110"/>
        <v>-1.162438087536734E-3</v>
      </c>
      <c r="T168" s="57">
        <f t="shared" si="110"/>
        <v>0</v>
      </c>
      <c r="U168" s="57">
        <f t="shared" si="111"/>
        <v>-2.5999999999999999E-3</v>
      </c>
      <c r="V168" s="58">
        <f t="shared" si="111"/>
        <v>-1.1000000000000038E-3</v>
      </c>
    </row>
    <row r="169" spans="1:22">
      <c r="A169" s="171">
        <v>146</v>
      </c>
      <c r="B169" s="168" t="s">
        <v>200</v>
      </c>
      <c r="C169" s="169" t="s">
        <v>123</v>
      </c>
      <c r="D169" s="33">
        <v>251161164.25</v>
      </c>
      <c r="E169" s="30">
        <f t="shared" si="107"/>
        <v>4.1285234782869875E-3</v>
      </c>
      <c r="F169" s="33">
        <v>1.6376999999999999</v>
      </c>
      <c r="G169" s="33">
        <v>1.6537999999999999</v>
      </c>
      <c r="H169" s="32">
        <v>406</v>
      </c>
      <c r="I169" s="50">
        <v>1.3451543870375282E-3</v>
      </c>
      <c r="J169" s="50">
        <v>0.11872395655440937</v>
      </c>
      <c r="K169" s="33">
        <v>254276119.63</v>
      </c>
      <c r="L169" s="54">
        <f t="shared" si="108"/>
        <v>4.1793125949542535E-3</v>
      </c>
      <c r="M169" s="33">
        <v>1.6539999999999999</v>
      </c>
      <c r="N169" s="33">
        <v>1.6704000000000001</v>
      </c>
      <c r="O169" s="32">
        <v>412</v>
      </c>
      <c r="P169" s="50">
        <v>9.9529828417903587E-3</v>
      </c>
      <c r="Q169" s="50">
        <v>0.12985859689869517</v>
      </c>
      <c r="R169" s="57">
        <f t="shared" si="109"/>
        <v>1.2402217473794797E-2</v>
      </c>
      <c r="S169" s="57">
        <f t="shared" si="110"/>
        <v>1.0037489418309451E-2</v>
      </c>
      <c r="T169" s="57">
        <f t="shared" si="110"/>
        <v>1.4778325123152709E-2</v>
      </c>
      <c r="U169" s="57">
        <f t="shared" si="111"/>
        <v>8.6078284547528305E-3</v>
      </c>
      <c r="V169" s="58">
        <f t="shared" si="111"/>
        <v>1.1134640344285796E-2</v>
      </c>
    </row>
    <row r="170" spans="1:22">
      <c r="A170" s="171">
        <v>147</v>
      </c>
      <c r="B170" s="168" t="s">
        <v>201</v>
      </c>
      <c r="C170" s="169" t="s">
        <v>29</v>
      </c>
      <c r="D170" s="44">
        <v>132433172.59999999</v>
      </c>
      <c r="E170" s="30">
        <f t="shared" si="107"/>
        <v>2.1769028823218355E-3</v>
      </c>
      <c r="F170" s="33">
        <v>159.02099999999999</v>
      </c>
      <c r="G170" s="33">
        <v>159.88460000000001</v>
      </c>
      <c r="H170" s="32">
        <v>112</v>
      </c>
      <c r="I170" s="50">
        <v>3.4789999999999999E-3</v>
      </c>
      <c r="J170" s="50">
        <v>5.3900000000000003E-2</v>
      </c>
      <c r="K170" s="44">
        <v>136414421.06999999</v>
      </c>
      <c r="L170" s="54">
        <f t="shared" si="108"/>
        <v>2.2421236761864605E-3</v>
      </c>
      <c r="M170" s="33">
        <v>163.5069</v>
      </c>
      <c r="N170" s="33">
        <v>164.39160000000001</v>
      </c>
      <c r="O170" s="32">
        <v>112</v>
      </c>
      <c r="P170" s="50">
        <v>2.5357000000000001E-2</v>
      </c>
      <c r="Q170" s="50">
        <v>8.3599999999999994E-2</v>
      </c>
      <c r="R170" s="57">
        <f t="shared" si="109"/>
        <v>3.0062320428016379E-2</v>
      </c>
      <c r="S170" s="57">
        <f t="shared" si="110"/>
        <v>2.8189081374941707E-2</v>
      </c>
      <c r="T170" s="57">
        <f t="shared" si="110"/>
        <v>0</v>
      </c>
      <c r="U170" s="57">
        <f t="shared" si="111"/>
        <v>2.1878000000000002E-2</v>
      </c>
      <c r="V170" s="58">
        <f t="shared" si="111"/>
        <v>2.969999999999999E-2</v>
      </c>
    </row>
    <row r="171" spans="1:22">
      <c r="A171" s="171">
        <v>148</v>
      </c>
      <c r="B171" s="168" t="s">
        <v>202</v>
      </c>
      <c r="C171" s="169" t="s">
        <v>70</v>
      </c>
      <c r="D171" s="44">
        <v>268340308.78</v>
      </c>
      <c r="E171" s="30">
        <f t="shared" si="107"/>
        <v>4.4109098963495902E-3</v>
      </c>
      <c r="F171" s="33">
        <v>133.31</v>
      </c>
      <c r="G171" s="33">
        <v>134.21</v>
      </c>
      <c r="H171" s="32">
        <v>34</v>
      </c>
      <c r="I171" s="50">
        <v>2.06E-2</v>
      </c>
      <c r="J171" s="50">
        <v>0.12529999999999999</v>
      </c>
      <c r="K171" s="44">
        <v>273920513.54000002</v>
      </c>
      <c r="L171" s="54">
        <f t="shared" si="108"/>
        <v>4.5021901935575767E-3</v>
      </c>
      <c r="M171" s="33">
        <v>136.21</v>
      </c>
      <c r="N171" s="33">
        <v>137.16</v>
      </c>
      <c r="O171" s="32">
        <v>47</v>
      </c>
      <c r="P171" s="50">
        <v>2.46E-2</v>
      </c>
      <c r="Q171" s="50">
        <v>0.14990000000000001</v>
      </c>
      <c r="R171" s="57">
        <f t="shared" si="109"/>
        <v>2.0795253554600983E-2</v>
      </c>
      <c r="S171" s="57">
        <f t="shared" si="110"/>
        <v>2.1980478354816993E-2</v>
      </c>
      <c r="T171" s="57">
        <f t="shared" si="110"/>
        <v>0.38235294117647056</v>
      </c>
      <c r="U171" s="57">
        <f t="shared" si="111"/>
        <v>4.0000000000000001E-3</v>
      </c>
      <c r="V171" s="58">
        <f t="shared" si="111"/>
        <v>2.4600000000000011E-2</v>
      </c>
    </row>
    <row r="172" spans="1:22" ht="15.75" customHeight="1">
      <c r="A172" s="171">
        <v>149</v>
      </c>
      <c r="B172" s="168" t="s">
        <v>203</v>
      </c>
      <c r="C172" s="169" t="s">
        <v>73</v>
      </c>
      <c r="D172" s="29">
        <v>367004898.93000001</v>
      </c>
      <c r="E172" s="30">
        <f t="shared" si="107"/>
        <v>6.032733390145718E-3</v>
      </c>
      <c r="F172" s="33">
        <v>1.4726999999999999</v>
      </c>
      <c r="G172" s="33">
        <v>1.4874000000000001</v>
      </c>
      <c r="H172" s="32">
        <v>97</v>
      </c>
      <c r="I172" s="50">
        <v>3.6999999999999998E-2</v>
      </c>
      <c r="J172" s="50">
        <v>0.1555</v>
      </c>
      <c r="K172" s="29">
        <v>371197357.66000003</v>
      </c>
      <c r="L172" s="54">
        <f t="shared" si="108"/>
        <v>6.1010439924109395E-3</v>
      </c>
      <c r="M172" s="33">
        <v>1.4883</v>
      </c>
      <c r="N172" s="33">
        <v>1.5035000000000001</v>
      </c>
      <c r="O172" s="32">
        <v>98</v>
      </c>
      <c r="P172" s="50">
        <v>3.6999999999999998E-2</v>
      </c>
      <c r="Q172" s="50">
        <v>0.1678</v>
      </c>
      <c r="R172" s="57">
        <f t="shared" si="109"/>
        <v>1.1423440783006169E-2</v>
      </c>
      <c r="S172" s="57">
        <f t="shared" si="110"/>
        <v>1.0824257092913811E-2</v>
      </c>
      <c r="T172" s="57">
        <f t="shared" si="110"/>
        <v>1.0309278350515464E-2</v>
      </c>
      <c r="U172" s="57">
        <f t="shared" si="111"/>
        <v>0</v>
      </c>
      <c r="V172" s="58">
        <f t="shared" si="111"/>
        <v>1.2300000000000005E-2</v>
      </c>
    </row>
    <row r="173" spans="1:22">
      <c r="A173" s="171">
        <v>150</v>
      </c>
      <c r="B173" s="168" t="s">
        <v>204</v>
      </c>
      <c r="C173" s="169" t="s">
        <v>31</v>
      </c>
      <c r="D173" s="33">
        <v>10524784151.4</v>
      </c>
      <c r="E173" s="30">
        <f t="shared" si="107"/>
        <v>0.17300373090207033</v>
      </c>
      <c r="F173" s="33">
        <v>362.63</v>
      </c>
      <c r="G173" s="33">
        <v>365.77</v>
      </c>
      <c r="H173" s="32">
        <v>5483</v>
      </c>
      <c r="I173" s="50">
        <v>8.3000000000000001E-3</v>
      </c>
      <c r="J173" s="50">
        <v>0.1188</v>
      </c>
      <c r="K173" s="33">
        <v>10629864249.959999</v>
      </c>
      <c r="L173" s="54">
        <f t="shared" si="108"/>
        <v>0.17471371518157444</v>
      </c>
      <c r="M173" s="33">
        <v>366.17</v>
      </c>
      <c r="N173" s="33">
        <v>369.22</v>
      </c>
      <c r="O173" s="32">
        <v>5485</v>
      </c>
      <c r="P173" s="50">
        <v>9.5999999999999992E-3</v>
      </c>
      <c r="Q173" s="50">
        <v>0.12970000000000001</v>
      </c>
      <c r="R173" s="57">
        <f t="shared" si="109"/>
        <v>9.984062100316023E-3</v>
      </c>
      <c r="S173" s="57">
        <f t="shared" si="110"/>
        <v>9.4321568198595992E-3</v>
      </c>
      <c r="T173" s="57">
        <f t="shared" si="110"/>
        <v>3.6476381542950939E-4</v>
      </c>
      <c r="U173" s="57">
        <f t="shared" si="111"/>
        <v>1.2999999999999991E-3</v>
      </c>
      <c r="V173" s="58">
        <f t="shared" si="111"/>
        <v>1.0900000000000007E-2</v>
      </c>
    </row>
    <row r="174" spans="1:22">
      <c r="A174" s="171">
        <v>151</v>
      </c>
      <c r="B174" s="168" t="s">
        <v>205</v>
      </c>
      <c r="C174" s="169" t="s">
        <v>78</v>
      </c>
      <c r="D174" s="33">
        <v>3656071156.3699999</v>
      </c>
      <c r="E174" s="30">
        <f t="shared" si="107"/>
        <v>6.0097569831046846E-2</v>
      </c>
      <c r="F174" s="33">
        <v>2.5589</v>
      </c>
      <c r="G174" s="33">
        <v>2.6042999999999998</v>
      </c>
      <c r="H174" s="32">
        <v>10304</v>
      </c>
      <c r="I174" s="50">
        <v>2.8999999999999998E-3</v>
      </c>
      <c r="J174" s="50">
        <v>0.10390000000000001</v>
      </c>
      <c r="K174" s="33">
        <v>3644009462.1300001</v>
      </c>
      <c r="L174" s="54">
        <f t="shared" si="108"/>
        <v>5.9893373641901303E-2</v>
      </c>
      <c r="M174" s="33">
        <v>2.5507</v>
      </c>
      <c r="N174" s="33">
        <v>2.5956000000000001</v>
      </c>
      <c r="O174" s="32">
        <v>10304</v>
      </c>
      <c r="P174" s="50">
        <v>-3.3999999999999998E-3</v>
      </c>
      <c r="Q174" s="50">
        <v>0.10009999999999999</v>
      </c>
      <c r="R174" s="57">
        <f t="shared" si="109"/>
        <v>-3.2990862934887334E-3</v>
      </c>
      <c r="S174" s="57">
        <f t="shared" si="110"/>
        <v>-3.3406289597971463E-3</v>
      </c>
      <c r="T174" s="57">
        <f t="shared" si="110"/>
        <v>0</v>
      </c>
      <c r="U174" s="57">
        <f t="shared" si="111"/>
        <v>-6.3E-3</v>
      </c>
      <c r="V174" s="58">
        <f t="shared" si="111"/>
        <v>-3.8000000000000117E-3</v>
      </c>
    </row>
    <row r="175" spans="1:22">
      <c r="A175" s="171">
        <v>152</v>
      </c>
      <c r="B175" s="168" t="s">
        <v>206</v>
      </c>
      <c r="C175" s="169" t="s">
        <v>80</v>
      </c>
      <c r="D175" s="33">
        <v>264931108.38999999</v>
      </c>
      <c r="E175" s="30">
        <f t="shared" si="107"/>
        <v>4.3548703255252954E-3</v>
      </c>
      <c r="F175" s="33">
        <v>344.56220000000002</v>
      </c>
      <c r="G175" s="33">
        <v>346.69670000000002</v>
      </c>
      <c r="H175" s="32">
        <v>32</v>
      </c>
      <c r="I175" s="50">
        <v>0.12189999999999999</v>
      </c>
      <c r="J175" s="50">
        <v>0.19370000000000001</v>
      </c>
      <c r="K175" s="33">
        <v>267130865.69999999</v>
      </c>
      <c r="L175" s="54">
        <f t="shared" si="108"/>
        <v>4.3905947327871888E-3</v>
      </c>
      <c r="M175" s="33">
        <v>304.52</v>
      </c>
      <c r="N175" s="33">
        <v>306.42</v>
      </c>
      <c r="O175" s="32">
        <v>32</v>
      </c>
      <c r="P175" s="50">
        <v>1.7086E-2</v>
      </c>
      <c r="Q175" s="50">
        <v>7.1400000000000005E-2</v>
      </c>
      <c r="R175" s="57">
        <f t="shared" si="109"/>
        <v>8.3031295319301729E-3</v>
      </c>
      <c r="S175" s="57">
        <f t="shared" si="110"/>
        <v>-0.11617272388228675</v>
      </c>
      <c r="T175" s="57">
        <f t="shared" si="110"/>
        <v>0</v>
      </c>
      <c r="U175" s="57">
        <f t="shared" si="111"/>
        <v>-0.10481399999999999</v>
      </c>
      <c r="V175" s="58">
        <f t="shared" si="111"/>
        <v>-0.12230000000000001</v>
      </c>
    </row>
    <row r="176" spans="1:22">
      <c r="A176" s="171">
        <v>153</v>
      </c>
      <c r="B176" s="168" t="s">
        <v>207</v>
      </c>
      <c r="C176" s="168" t="s">
        <v>82</v>
      </c>
      <c r="D176" s="132">
        <v>60840032.176495858</v>
      </c>
      <c r="E176" s="30">
        <f t="shared" si="107"/>
        <v>1.000073008940111E-3</v>
      </c>
      <c r="F176" s="33">
        <v>1.1834940955105648</v>
      </c>
      <c r="G176" s="33">
        <v>1.1961785257460551</v>
      </c>
      <c r="H176" s="32">
        <v>33</v>
      </c>
      <c r="I176" s="50">
        <v>8.5499703970343404E-4</v>
      </c>
      <c r="J176" s="50">
        <v>-4.2627053145520219E-3</v>
      </c>
      <c r="K176" s="132">
        <v>61008332.895292252</v>
      </c>
      <c r="L176" s="54">
        <f t="shared" si="108"/>
        <v>1.0027402275820108E-3</v>
      </c>
      <c r="M176" s="33">
        <v>1.1867658717815806</v>
      </c>
      <c r="N176" s="33">
        <v>1.1994874935176016</v>
      </c>
      <c r="O176" s="32">
        <v>33</v>
      </c>
      <c r="P176" s="50">
        <v>2.7662825408796194E-3</v>
      </c>
      <c r="Q176" s="50">
        <v>-1.5082146209609627E-3</v>
      </c>
      <c r="R176" s="57">
        <f t="shared" si="109"/>
        <v>2.7662825408796194E-3</v>
      </c>
      <c r="S176" s="57">
        <f t="shared" si="110"/>
        <v>2.7662825408797118E-3</v>
      </c>
      <c r="T176" s="57">
        <f t="shared" si="110"/>
        <v>0</v>
      </c>
      <c r="U176" s="57">
        <f t="shared" si="111"/>
        <v>1.9112855011761854E-3</v>
      </c>
      <c r="V176" s="58">
        <f t="shared" si="111"/>
        <v>2.7544906935910592E-3</v>
      </c>
    </row>
    <row r="177" spans="1:22" ht="13.5" customHeight="1">
      <c r="A177" s="171">
        <v>154</v>
      </c>
      <c r="B177" s="168" t="s">
        <v>208</v>
      </c>
      <c r="C177" s="169" t="s">
        <v>37</v>
      </c>
      <c r="D177" s="29">
        <v>3619632552.6900001</v>
      </c>
      <c r="E177" s="30">
        <f t="shared" si="107"/>
        <v>5.9498601311140112E-2</v>
      </c>
      <c r="F177" s="33">
        <v>5.0934460000000001</v>
      </c>
      <c r="G177" s="33">
        <v>5.2241569999999999</v>
      </c>
      <c r="H177" s="32">
        <v>2404</v>
      </c>
      <c r="I177" s="50">
        <v>1.9440935746019239E-2</v>
      </c>
      <c r="J177" s="50">
        <v>0.20148675979870201</v>
      </c>
      <c r="K177" s="29">
        <v>3647664814.4299998</v>
      </c>
      <c r="L177" s="54">
        <f t="shared" si="108"/>
        <v>5.9953453447777735E-2</v>
      </c>
      <c r="M177" s="33">
        <v>5.131405</v>
      </c>
      <c r="N177" s="33">
        <v>5.2648159999999997</v>
      </c>
      <c r="O177" s="32">
        <v>2414</v>
      </c>
      <c r="P177" s="50">
        <v>7.4525183932450112E-3</v>
      </c>
      <c r="Q177" s="50">
        <v>0.21044086197534217</v>
      </c>
      <c r="R177" s="57">
        <f t="shared" si="109"/>
        <v>7.7445048169784677E-3</v>
      </c>
      <c r="S177" s="57">
        <f t="shared" si="110"/>
        <v>7.7828824822837022E-3</v>
      </c>
      <c r="T177" s="57">
        <f t="shared" si="110"/>
        <v>4.1597337770382693E-3</v>
      </c>
      <c r="U177" s="57">
        <f t="shared" si="111"/>
        <v>-1.1988417352774228E-2</v>
      </c>
      <c r="V177" s="58">
        <f t="shared" si="111"/>
        <v>8.9541021766401663E-3</v>
      </c>
    </row>
    <row r="178" spans="1:22" ht="13.5" customHeight="1">
      <c r="A178" s="171">
        <v>155</v>
      </c>
      <c r="B178" s="168" t="s">
        <v>209</v>
      </c>
      <c r="C178" s="169" t="s">
        <v>210</v>
      </c>
      <c r="D178" s="29">
        <v>84159907.799999997</v>
      </c>
      <c r="E178" s="30">
        <f t="shared" si="107"/>
        <v>1.3833992063236272E-3</v>
      </c>
      <c r="F178" s="33">
        <v>2.3363999999999998</v>
      </c>
      <c r="G178" s="33">
        <v>2.3473000000000002</v>
      </c>
      <c r="H178" s="32">
        <v>97</v>
      </c>
      <c r="I178" s="50">
        <v>1.11E-2</v>
      </c>
      <c r="J178" s="50">
        <v>0.1106</v>
      </c>
      <c r="K178" s="29">
        <v>84353621.290000007</v>
      </c>
      <c r="L178" s="54">
        <f t="shared" si="108"/>
        <v>1.3864461688352149E-3</v>
      </c>
      <c r="M178" s="33">
        <v>2.3416999999999999</v>
      </c>
      <c r="N178" s="33">
        <v>2.3525999999999998</v>
      </c>
      <c r="O178" s="32">
        <v>97</v>
      </c>
      <c r="P178" s="50">
        <v>2.2000000000000001E-3</v>
      </c>
      <c r="Q178" s="50">
        <v>0.113</v>
      </c>
      <c r="R178" s="57">
        <f t="shared" si="109"/>
        <v>2.3017312526096845E-3</v>
      </c>
      <c r="S178" s="57">
        <f t="shared" si="110"/>
        <v>2.2579133472498776E-3</v>
      </c>
      <c r="T178" s="57">
        <f t="shared" si="110"/>
        <v>0</v>
      </c>
      <c r="U178" s="57">
        <f t="shared" si="111"/>
        <v>-8.8999999999999999E-3</v>
      </c>
      <c r="V178" s="58">
        <f t="shared" si="111"/>
        <v>2.3999999999999994E-3</v>
      </c>
    </row>
    <row r="179" spans="1:22">
      <c r="A179" s="171">
        <v>156</v>
      </c>
      <c r="B179" s="168" t="s">
        <v>211</v>
      </c>
      <c r="C179" s="169" t="s">
        <v>132</v>
      </c>
      <c r="D179" s="29">
        <v>561226882.67999995</v>
      </c>
      <c r="E179" s="30">
        <f t="shared" si="107"/>
        <v>9.2253050693930933E-3</v>
      </c>
      <c r="F179" s="33">
        <v>274.44</v>
      </c>
      <c r="G179" s="33">
        <v>275.98</v>
      </c>
      <c r="H179" s="32">
        <v>147</v>
      </c>
      <c r="I179" s="50">
        <v>1.37E-2</v>
      </c>
      <c r="J179" s="50">
        <v>0.13539999999999999</v>
      </c>
      <c r="K179" s="29">
        <v>573409902.54999995</v>
      </c>
      <c r="L179" s="54">
        <f t="shared" si="108"/>
        <v>9.4246334704407957E-3</v>
      </c>
      <c r="M179" s="33">
        <v>280.34840000000003</v>
      </c>
      <c r="N179" s="33">
        <v>281.99149999999997</v>
      </c>
      <c r="O179" s="32">
        <v>151</v>
      </c>
      <c r="P179" s="50">
        <v>1.37E-2</v>
      </c>
      <c r="Q179" s="50">
        <v>0.13539999999999999</v>
      </c>
      <c r="R179" s="57">
        <f t="shared" si="109"/>
        <v>2.1707833758466827E-2</v>
      </c>
      <c r="S179" s="57">
        <f t="shared" si="110"/>
        <v>2.1782375534458855E-2</v>
      </c>
      <c r="T179" s="57">
        <f t="shared" si="110"/>
        <v>2.7210884353741496E-2</v>
      </c>
      <c r="U179" s="57">
        <f t="shared" si="111"/>
        <v>0</v>
      </c>
      <c r="V179" s="58">
        <f t="shared" si="111"/>
        <v>0</v>
      </c>
    </row>
    <row r="180" spans="1:22">
      <c r="A180" s="171">
        <v>157</v>
      </c>
      <c r="B180" s="168" t="s">
        <v>212</v>
      </c>
      <c r="C180" s="169" t="s">
        <v>33</v>
      </c>
      <c r="D180" s="29">
        <v>2200669351.04</v>
      </c>
      <c r="E180" s="30">
        <f t="shared" si="107"/>
        <v>3.6174044306753243E-2</v>
      </c>
      <c r="F180" s="33">
        <v>552.22</v>
      </c>
      <c r="G180" s="33">
        <v>552.22</v>
      </c>
      <c r="H180" s="32">
        <v>823</v>
      </c>
      <c r="I180" s="50">
        <v>-1.2200000000000001E-2</v>
      </c>
      <c r="J180" s="50">
        <v>6.6E-3</v>
      </c>
      <c r="K180" s="29">
        <v>1953490571.54</v>
      </c>
      <c r="L180" s="54">
        <f t="shared" si="108"/>
        <v>3.2107803759320347E-2</v>
      </c>
      <c r="M180" s="33">
        <v>552.22</v>
      </c>
      <c r="N180" s="33">
        <v>552.22</v>
      </c>
      <c r="O180" s="32">
        <v>823</v>
      </c>
      <c r="P180" s="50">
        <v>-0.1065</v>
      </c>
      <c r="Q180" s="50">
        <v>-0.1123</v>
      </c>
      <c r="R180" s="57">
        <f t="shared" si="109"/>
        <v>-0.11231981732430063</v>
      </c>
      <c r="S180" s="57">
        <f t="shared" si="110"/>
        <v>0</v>
      </c>
      <c r="T180" s="57">
        <f t="shared" si="110"/>
        <v>0</v>
      </c>
      <c r="U180" s="57">
        <f t="shared" si="111"/>
        <v>-9.4299999999999995E-2</v>
      </c>
      <c r="V180" s="58">
        <f t="shared" si="111"/>
        <v>-0.11889999999999999</v>
      </c>
    </row>
    <row r="181" spans="1:22">
      <c r="A181" s="171">
        <v>158</v>
      </c>
      <c r="B181" s="168" t="s">
        <v>213</v>
      </c>
      <c r="C181" s="169" t="s">
        <v>89</v>
      </c>
      <c r="D181" s="33">
        <v>36574263.049999997</v>
      </c>
      <c r="E181" s="30">
        <f t="shared" si="107"/>
        <v>6.0119845420317296E-4</v>
      </c>
      <c r="F181" s="33">
        <v>1.99</v>
      </c>
      <c r="G181" s="33">
        <v>1.99</v>
      </c>
      <c r="H181" s="32">
        <v>9</v>
      </c>
      <c r="I181" s="50">
        <v>-2.2039999999999998E-3</v>
      </c>
      <c r="J181" s="50">
        <v>6.2517000000000003E-2</v>
      </c>
      <c r="K181" s="33">
        <v>37106775.479999997</v>
      </c>
      <c r="L181" s="54">
        <f t="shared" si="108"/>
        <v>6.0989138243639808E-4</v>
      </c>
      <c r="M181" s="33">
        <v>2.0099999999999998</v>
      </c>
      <c r="N181" s="33">
        <v>2.0099999999999998</v>
      </c>
      <c r="O181" s="32">
        <v>9</v>
      </c>
      <c r="P181" s="50">
        <v>4.5450000000000004E-3</v>
      </c>
      <c r="Q181" s="50">
        <v>7.0710999999999996E-2</v>
      </c>
      <c r="R181" s="57">
        <f t="shared" si="109"/>
        <v>1.4559758299764285E-2</v>
      </c>
      <c r="S181" s="57">
        <f t="shared" si="110"/>
        <v>1.0050251256281305E-2</v>
      </c>
      <c r="T181" s="57">
        <f t="shared" si="110"/>
        <v>0</v>
      </c>
      <c r="U181" s="57">
        <f t="shared" si="111"/>
        <v>6.7489999999999998E-3</v>
      </c>
      <c r="V181" s="58">
        <f t="shared" si="111"/>
        <v>8.193999999999993E-3</v>
      </c>
    </row>
    <row r="182" spans="1:22">
      <c r="A182" s="171">
        <v>159</v>
      </c>
      <c r="B182" s="168" t="s">
        <v>214</v>
      </c>
      <c r="C182" s="169" t="s">
        <v>45</v>
      </c>
      <c r="D182" s="33">
        <v>294357785.12</v>
      </c>
      <c r="E182" s="30">
        <f t="shared" si="107"/>
        <v>4.8385785697140325E-3</v>
      </c>
      <c r="F182" s="33">
        <v>2.9505279999999998</v>
      </c>
      <c r="G182" s="33">
        <v>3.0194510000000001</v>
      </c>
      <c r="H182" s="32">
        <v>123</v>
      </c>
      <c r="I182" s="50">
        <v>-5.5999999999999999E-3</v>
      </c>
      <c r="J182" s="50">
        <v>0.12970000000000001</v>
      </c>
      <c r="K182" s="33">
        <v>298823769.52999997</v>
      </c>
      <c r="L182" s="54">
        <f t="shared" si="108"/>
        <v>4.9115030758125934E-3</v>
      </c>
      <c r="M182" s="33">
        <v>2.9954290000000001</v>
      </c>
      <c r="N182" s="33">
        <v>3.0652509999999999</v>
      </c>
      <c r="O182" s="32">
        <v>123</v>
      </c>
      <c r="P182" s="50">
        <v>1.47E-2</v>
      </c>
      <c r="Q182" s="50">
        <v>0.1469</v>
      </c>
      <c r="R182" s="57">
        <f t="shared" si="109"/>
        <v>1.5171959553165313E-2</v>
      </c>
      <c r="S182" s="57">
        <f t="shared" si="110"/>
        <v>1.5168320333729489E-2</v>
      </c>
      <c r="T182" s="57">
        <f t="shared" si="110"/>
        <v>0</v>
      </c>
      <c r="U182" s="57">
        <f t="shared" si="111"/>
        <v>2.0299999999999999E-2</v>
      </c>
      <c r="V182" s="58">
        <f t="shared" si="111"/>
        <v>1.7199999999999993E-2</v>
      </c>
    </row>
    <row r="183" spans="1:22">
      <c r="A183" s="171">
        <v>160</v>
      </c>
      <c r="B183" s="168" t="s">
        <v>215</v>
      </c>
      <c r="C183" s="169" t="s">
        <v>49</v>
      </c>
      <c r="D183" s="29">
        <v>3007475896.9200001</v>
      </c>
      <c r="E183" s="30">
        <f t="shared" si="107"/>
        <v>4.9436125556646192E-2</v>
      </c>
      <c r="F183" s="33">
        <v>7292.81</v>
      </c>
      <c r="G183" s="33">
        <v>7356.14</v>
      </c>
      <c r="H183" s="32">
        <v>2373</v>
      </c>
      <c r="I183" s="50">
        <v>-3.8999999999999998E-3</v>
      </c>
      <c r="J183" s="50">
        <v>0.1429</v>
      </c>
      <c r="K183" s="29">
        <v>2873915643.4899998</v>
      </c>
      <c r="L183" s="30">
        <f t="shared" si="108"/>
        <v>4.7236019895030415E-2</v>
      </c>
      <c r="M183" s="33">
        <v>7329.84</v>
      </c>
      <c r="N183" s="33">
        <v>7401.58</v>
      </c>
      <c r="O183" s="32">
        <v>2379</v>
      </c>
      <c r="P183" s="50">
        <v>6.1999999999999998E-3</v>
      </c>
      <c r="Q183" s="50">
        <v>0.14990000000000001</v>
      </c>
      <c r="R183" s="57">
        <f t="shared" si="109"/>
        <v>-4.4409417733582271E-2</v>
      </c>
      <c r="S183" s="57">
        <f t="shared" si="110"/>
        <v>6.1771526914930382E-3</v>
      </c>
      <c r="T183" s="57">
        <f t="shared" si="110"/>
        <v>2.5284450063211127E-3</v>
      </c>
      <c r="U183" s="57">
        <f t="shared" si="111"/>
        <v>1.01E-2</v>
      </c>
      <c r="V183" s="58">
        <f t="shared" si="111"/>
        <v>7.0000000000000062E-3</v>
      </c>
    </row>
    <row r="184" spans="1:22">
      <c r="A184" s="171">
        <v>161</v>
      </c>
      <c r="B184" s="168" t="s">
        <v>216</v>
      </c>
      <c r="C184" s="168" t="s">
        <v>99</v>
      </c>
      <c r="D184" s="29">
        <v>113034286.76000001</v>
      </c>
      <c r="E184" s="30">
        <f t="shared" si="107"/>
        <v>1.8580289199311754E-3</v>
      </c>
      <c r="F184" s="33">
        <v>1191.17</v>
      </c>
      <c r="G184" s="33">
        <v>1207.42</v>
      </c>
      <c r="H184" s="32">
        <v>11</v>
      </c>
      <c r="I184" s="50">
        <v>3.731364768262857E-3</v>
      </c>
      <c r="J184" s="50">
        <v>7.5785000000000005E-2</v>
      </c>
      <c r="K184" s="29">
        <v>114277545.26000001</v>
      </c>
      <c r="L184" s="30">
        <f t="shared" si="108"/>
        <v>1.8782793481375132E-3</v>
      </c>
      <c r="M184" s="33">
        <v>1204.1600000000001</v>
      </c>
      <c r="N184" s="33">
        <v>1220.77</v>
      </c>
      <c r="O184" s="32">
        <v>11</v>
      </c>
      <c r="P184" s="50">
        <v>1.02672293967212E-2</v>
      </c>
      <c r="Q184" s="50">
        <v>8.8082999999999995E-2</v>
      </c>
      <c r="R184" s="57">
        <f t="shared" si="109"/>
        <v>1.099895027992478E-2</v>
      </c>
      <c r="S184" s="57">
        <f t="shared" si="110"/>
        <v>1.1056633151678711E-2</v>
      </c>
      <c r="T184" s="57">
        <f t="shared" si="110"/>
        <v>0</v>
      </c>
      <c r="U184" s="57">
        <f t="shared" si="111"/>
        <v>6.5358646284583433E-3</v>
      </c>
      <c r="V184" s="58">
        <f t="shared" si="111"/>
        <v>1.2297999999999989E-2</v>
      </c>
    </row>
    <row r="185" spans="1:22">
      <c r="A185" s="171">
        <v>162</v>
      </c>
      <c r="B185" s="168" t="s">
        <v>217</v>
      </c>
      <c r="C185" s="168" t="s">
        <v>82</v>
      </c>
      <c r="D185" s="29">
        <v>760398945.10372758</v>
      </c>
      <c r="E185" s="30">
        <f t="shared" si="107"/>
        <v>1.2499244885648747E-2</v>
      </c>
      <c r="F185" s="33">
        <v>1.4514379688360444</v>
      </c>
      <c r="G185" s="33">
        <v>1.4514379688360444</v>
      </c>
      <c r="H185" s="32">
        <v>43</v>
      </c>
      <c r="I185" s="50">
        <v>2.2925166308694019E-3</v>
      </c>
      <c r="J185" s="50">
        <v>7.8593007704978637E-2</v>
      </c>
      <c r="K185" s="29">
        <v>762312331.91812122</v>
      </c>
      <c r="L185" s="30">
        <f t="shared" si="108"/>
        <v>1.2529456304077041E-2</v>
      </c>
      <c r="M185" s="33">
        <v>1.4514379688360444</v>
      </c>
      <c r="N185" s="33">
        <v>1.4514379688360444</v>
      </c>
      <c r="O185" s="32">
        <v>43</v>
      </c>
      <c r="P185" s="50">
        <v>2.5162933572095243E-3</v>
      </c>
      <c r="Q185" s="50">
        <v>8.1307064125399314E-2</v>
      </c>
      <c r="R185" s="57">
        <f t="shared" si="109"/>
        <v>2.5162933572095243E-3</v>
      </c>
      <c r="S185" s="57">
        <f t="shared" si="110"/>
        <v>0</v>
      </c>
      <c r="T185" s="57">
        <f t="shared" si="110"/>
        <v>0</v>
      </c>
      <c r="U185" s="57">
        <f t="shared" si="111"/>
        <v>2.2377672634012235E-4</v>
      </c>
      <c r="V185" s="58">
        <f t="shared" si="111"/>
        <v>2.7140564204206769E-3</v>
      </c>
    </row>
    <row r="186" spans="1:22">
      <c r="A186" s="171">
        <v>163</v>
      </c>
      <c r="B186" s="168" t="s">
        <v>218</v>
      </c>
      <c r="C186" s="169" t="s">
        <v>52</v>
      </c>
      <c r="D186" s="33">
        <v>2440658880.02</v>
      </c>
      <c r="E186" s="30">
        <f t="shared" si="107"/>
        <v>4.0118931279608423E-2</v>
      </c>
      <c r="F186" s="33">
        <v>2.1934999999999998</v>
      </c>
      <c r="G186" s="33">
        <v>2.2086999999999999</v>
      </c>
      <c r="H186" s="32">
        <v>2343</v>
      </c>
      <c r="I186" s="50">
        <v>8.0999999999999996E-3</v>
      </c>
      <c r="J186" s="50">
        <v>0.10929999999999999</v>
      </c>
      <c r="K186" s="33">
        <v>2443119906.8499999</v>
      </c>
      <c r="L186" s="54">
        <f t="shared" si="108"/>
        <v>4.0155409845561464E-2</v>
      </c>
      <c r="M186" s="33">
        <v>2.1919</v>
      </c>
      <c r="N186" s="33">
        <v>2.2069999999999999</v>
      </c>
      <c r="O186" s="32">
        <v>4890</v>
      </c>
      <c r="P186" s="50">
        <v>1.6000000000000001E-3</v>
      </c>
      <c r="Q186" s="50">
        <v>0.14180000000000001</v>
      </c>
      <c r="R186" s="57">
        <f t="shared" si="109"/>
        <v>1.0083452669878048E-3</v>
      </c>
      <c r="S186" s="57">
        <f t="shared" si="110"/>
        <v>-7.6968352424504685E-4</v>
      </c>
      <c r="T186" s="57">
        <f t="shared" si="110"/>
        <v>1.087067861715749</v>
      </c>
      <c r="U186" s="57">
        <f t="shared" si="111"/>
        <v>-6.4999999999999997E-3</v>
      </c>
      <c r="V186" s="58">
        <f t="shared" si="111"/>
        <v>3.2500000000000015E-2</v>
      </c>
    </row>
    <row r="187" spans="1:22">
      <c r="A187" s="171">
        <v>164</v>
      </c>
      <c r="B187" s="168" t="s">
        <v>219</v>
      </c>
      <c r="C187" s="169" t="s">
        <v>52</v>
      </c>
      <c r="D187" s="33">
        <v>1377890240.47</v>
      </c>
      <c r="E187" s="30">
        <f t="shared" si="107"/>
        <v>2.2649410092001904E-2</v>
      </c>
      <c r="F187" s="33">
        <v>1.6870000000000001</v>
      </c>
      <c r="G187" s="33">
        <v>1.6971000000000001</v>
      </c>
      <c r="H187" s="32">
        <v>938</v>
      </c>
      <c r="I187" s="50">
        <v>9.7000000000000003E-3</v>
      </c>
      <c r="J187" s="50">
        <v>0.1104</v>
      </c>
      <c r="K187" s="33">
        <v>1389404804.8099999</v>
      </c>
      <c r="L187" s="54">
        <f t="shared" si="108"/>
        <v>2.2836422896030762E-2</v>
      </c>
      <c r="M187" s="33">
        <v>1.7008000000000001</v>
      </c>
      <c r="N187" s="33">
        <v>1.7110000000000001</v>
      </c>
      <c r="O187" s="32">
        <v>2352</v>
      </c>
      <c r="P187" s="50">
        <v>-6.9999999999999999E-4</v>
      </c>
      <c r="Q187" s="50">
        <v>0.1085</v>
      </c>
      <c r="R187" s="57">
        <f t="shared" si="109"/>
        <v>8.3566629632794865E-3</v>
      </c>
      <c r="S187" s="57">
        <f t="shared" si="110"/>
        <v>8.190442519592259E-3</v>
      </c>
      <c r="T187" s="57">
        <f t="shared" si="110"/>
        <v>1.5074626865671641</v>
      </c>
      <c r="U187" s="57">
        <f t="shared" si="111"/>
        <v>-1.04E-2</v>
      </c>
      <c r="V187" s="58">
        <f t="shared" si="111"/>
        <v>-1.8999999999999989E-3</v>
      </c>
    </row>
    <row r="188" spans="1:22">
      <c r="A188" s="171">
        <v>165</v>
      </c>
      <c r="B188" s="168" t="s">
        <v>220</v>
      </c>
      <c r="C188" s="169" t="s">
        <v>103</v>
      </c>
      <c r="D188" s="29">
        <v>10396549734.059999</v>
      </c>
      <c r="E188" s="30">
        <f t="shared" si="107"/>
        <v>0.1708958460931527</v>
      </c>
      <c r="F188" s="33">
        <v>603.55999999999995</v>
      </c>
      <c r="G188" s="33">
        <v>610.69000000000005</v>
      </c>
      <c r="H188" s="32">
        <v>35</v>
      </c>
      <c r="I188" s="50">
        <v>-1.1183090510286098E-3</v>
      </c>
      <c r="J188" s="50">
        <v>0.16679736069672457</v>
      </c>
      <c r="K188" s="29">
        <v>10396549734.059999</v>
      </c>
      <c r="L188" s="54">
        <v>5.2058</v>
      </c>
      <c r="M188" s="33">
        <v>603.55999999999995</v>
      </c>
      <c r="N188" s="33">
        <v>610.69000000000005</v>
      </c>
      <c r="O188" s="32">
        <v>35</v>
      </c>
      <c r="P188" s="50">
        <v>-1.1183090510286098E-3</v>
      </c>
      <c r="Q188" s="50">
        <v>0.16679736069672457</v>
      </c>
      <c r="R188" s="57">
        <f t="shared" si="109"/>
        <v>0</v>
      </c>
      <c r="S188" s="57">
        <f t="shared" si="110"/>
        <v>0</v>
      </c>
      <c r="T188" s="57">
        <f t="shared" si="110"/>
        <v>0</v>
      </c>
      <c r="U188" s="57">
        <f t="shared" si="111"/>
        <v>0</v>
      </c>
      <c r="V188" s="58">
        <f t="shared" si="111"/>
        <v>0</v>
      </c>
    </row>
    <row r="189" spans="1:22">
      <c r="A189" s="36"/>
      <c r="B189" s="37"/>
      <c r="C189" s="38" t="s">
        <v>53</v>
      </c>
      <c r="D189" s="75">
        <f>SUM(D161:D188)</f>
        <v>60835590634.502609</v>
      </c>
      <c r="E189" s="40">
        <f>(D189/$D$221)</f>
        <v>1.0834979881950679E-2</v>
      </c>
      <c r="F189" s="41"/>
      <c r="G189" s="76"/>
      <c r="H189" s="43">
        <f>SUM(H161:H188)</f>
        <v>70137</v>
      </c>
      <c r="I189" s="82"/>
      <c r="J189" s="82"/>
      <c r="K189" s="75">
        <f>SUM(K161:K188)</f>
        <v>60841613029.135788</v>
      </c>
      <c r="L189" s="40">
        <f>(K189/$K$221)</f>
        <v>1.0747500613562879E-2</v>
      </c>
      <c r="M189" s="41"/>
      <c r="N189" s="76"/>
      <c r="O189" s="43">
        <f>SUM(O161:O188)</f>
        <v>74154</v>
      </c>
      <c r="P189" s="82"/>
      <c r="Q189" s="82"/>
      <c r="R189" s="57">
        <f t="shared" ref="R189" si="117">((K189-D189)/D189)</f>
        <v>9.89945946174991E-5</v>
      </c>
      <c r="S189" s="57" t="e">
        <f t="shared" ref="S189" si="118">((N189-G189)/G189)</f>
        <v>#DIV/0!</v>
      </c>
      <c r="T189" s="57">
        <f t="shared" ref="T189" si="119">((O189-H189)/H189)</f>
        <v>5.7273621626245774E-2</v>
      </c>
      <c r="U189" s="57">
        <f t="shared" ref="U189" si="120">P189-I189</f>
        <v>0</v>
      </c>
      <c r="V189" s="58">
        <f t="shared" ref="V189" si="121">Q189-J189</f>
        <v>0</v>
      </c>
    </row>
    <row r="190" spans="1:22" ht="5.25" customHeight="1">
      <c r="A190" s="36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</row>
    <row r="191" spans="1:22" ht="15" customHeight="1">
      <c r="A191" s="182" t="s">
        <v>221</v>
      </c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</row>
    <row r="192" spans="1:22">
      <c r="A192" s="170">
        <v>166</v>
      </c>
      <c r="B192" s="168" t="s">
        <v>222</v>
      </c>
      <c r="C192" s="169" t="s">
        <v>223</v>
      </c>
      <c r="D192" s="78">
        <v>1154089120.8699999</v>
      </c>
      <c r="E192" s="30">
        <f>(D192/$D$194)</f>
        <v>0.19254949820290013</v>
      </c>
      <c r="F192" s="77">
        <v>32.04</v>
      </c>
      <c r="G192" s="77">
        <v>32.356200000000001</v>
      </c>
      <c r="H192" s="32">
        <v>1491</v>
      </c>
      <c r="I192" s="50">
        <v>2.3099999999999999E-2</v>
      </c>
      <c r="J192" s="50">
        <v>0.2036</v>
      </c>
      <c r="K192" s="78">
        <v>1151298974.0899999</v>
      </c>
      <c r="L192" s="54">
        <f>(K192/$K$194)</f>
        <v>0.19211799525668566</v>
      </c>
      <c r="M192" s="77">
        <v>32.164700000000003</v>
      </c>
      <c r="N192" s="77">
        <v>32.483199999999997</v>
      </c>
      <c r="O192" s="32">
        <v>1492</v>
      </c>
      <c r="P192" s="50">
        <v>2.3E-3</v>
      </c>
      <c r="Q192" s="50">
        <v>0.20830000000000001</v>
      </c>
      <c r="R192" s="57">
        <f>((K192-D192)/D192)</f>
        <v>-2.4176181280494559E-3</v>
      </c>
      <c r="S192" s="57">
        <f t="shared" ref="S192:T194" si="122">((N192-G192)/G192)</f>
        <v>3.9250591849474079E-3</v>
      </c>
      <c r="T192" s="57">
        <f t="shared" si="122"/>
        <v>6.7069081153588194E-4</v>
      </c>
      <c r="U192" s="57">
        <f t="shared" ref="U192:V194" si="123">P192-I192</f>
        <v>-2.0799999999999999E-2</v>
      </c>
      <c r="V192" s="58">
        <f t="shared" si="123"/>
        <v>4.7000000000000097E-3</v>
      </c>
    </row>
    <row r="193" spans="1:24">
      <c r="A193" s="170">
        <v>167</v>
      </c>
      <c r="B193" s="168" t="s">
        <v>224</v>
      </c>
      <c r="C193" s="169" t="s">
        <v>49</v>
      </c>
      <c r="D193" s="44">
        <v>4839637851.3699999</v>
      </c>
      <c r="E193" s="30">
        <f>(D193/$D$194)</f>
        <v>0.80745050179709987</v>
      </c>
      <c r="F193" s="77">
        <v>3.38</v>
      </c>
      <c r="G193" s="77">
        <v>3.42</v>
      </c>
      <c r="H193" s="32">
        <v>10425</v>
      </c>
      <c r="I193" s="50">
        <v>5.8999999999999999E-3</v>
      </c>
      <c r="J193" s="50">
        <v>0.17929999999999999</v>
      </c>
      <c r="K193" s="44">
        <v>4841367004.71</v>
      </c>
      <c r="L193" s="54">
        <f>(K193/$K$194)</f>
        <v>0.80788200474331429</v>
      </c>
      <c r="M193" s="77">
        <v>3.37</v>
      </c>
      <c r="N193" s="77">
        <v>3.42</v>
      </c>
      <c r="O193" s="32">
        <v>10440</v>
      </c>
      <c r="P193" s="50">
        <v>0</v>
      </c>
      <c r="Q193" s="50">
        <v>0.17929999999999999</v>
      </c>
      <c r="R193" s="57">
        <f>((K193-D193)/D193)</f>
        <v>3.5728982066512798E-4</v>
      </c>
      <c r="S193" s="57">
        <f t="shared" si="122"/>
        <v>0</v>
      </c>
      <c r="T193" s="57">
        <f t="shared" si="122"/>
        <v>1.4388489208633094E-3</v>
      </c>
      <c r="U193" s="57">
        <f t="shared" si="123"/>
        <v>-5.8999999999999999E-3</v>
      </c>
      <c r="V193" s="58">
        <f t="shared" si="123"/>
        <v>0</v>
      </c>
    </row>
    <row r="194" spans="1:24">
      <c r="A194" s="36"/>
      <c r="B194" s="37"/>
      <c r="C194" s="71" t="s">
        <v>53</v>
      </c>
      <c r="D194" s="75">
        <f>SUM(D192:D193)</f>
        <v>5993726972.2399998</v>
      </c>
      <c r="E194" s="40">
        <f>(D194/$D$221)</f>
        <v>1.0674986547314633E-3</v>
      </c>
      <c r="F194" s="41"/>
      <c r="G194" s="76"/>
      <c r="H194" s="43">
        <f>SUM(H192:H193)</f>
        <v>11916</v>
      </c>
      <c r="I194" s="82"/>
      <c r="J194" s="82"/>
      <c r="K194" s="75">
        <f>SUM(K192:K193)</f>
        <v>5992665978.8000002</v>
      </c>
      <c r="L194" s="40">
        <f>(K194/$K$221)</f>
        <v>1.0585876684956988E-3</v>
      </c>
      <c r="M194" s="41"/>
      <c r="N194" s="76"/>
      <c r="O194" s="43">
        <f>SUM(O192:O193)</f>
        <v>11932</v>
      </c>
      <c r="P194" s="82"/>
      <c r="Q194" s="82"/>
      <c r="R194" s="57">
        <f>((K194-D194)/D194)</f>
        <v>-1.770173124190643E-4</v>
      </c>
      <c r="S194" s="57" t="e">
        <f t="shared" si="122"/>
        <v>#DIV/0!</v>
      </c>
      <c r="T194" s="57">
        <f t="shared" si="122"/>
        <v>1.342732460557234E-3</v>
      </c>
      <c r="U194" s="57">
        <f t="shared" si="123"/>
        <v>0</v>
      </c>
      <c r="V194" s="58">
        <f t="shared" si="123"/>
        <v>0</v>
      </c>
    </row>
    <row r="195" spans="1:24" ht="6" customHeight="1">
      <c r="A195" s="36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</row>
    <row r="196" spans="1:24" ht="15" customHeight="1">
      <c r="A196" s="183" t="s">
        <v>225</v>
      </c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</row>
    <row r="197" spans="1:24">
      <c r="A197" s="184" t="s">
        <v>226</v>
      </c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</row>
    <row r="198" spans="1:24">
      <c r="A198" s="170">
        <v>168</v>
      </c>
      <c r="B198" s="168" t="s">
        <v>227</v>
      </c>
      <c r="C198" s="169" t="s">
        <v>228</v>
      </c>
      <c r="D198" s="47">
        <v>5624264190.5299997</v>
      </c>
      <c r="E198" s="30">
        <f>(D198/$D$220)</f>
        <v>9.6809335563022916E-2</v>
      </c>
      <c r="F198" s="79">
        <v>2.42</v>
      </c>
      <c r="G198" s="79">
        <v>2.46</v>
      </c>
      <c r="H198" s="46">
        <v>15031</v>
      </c>
      <c r="I198" s="53">
        <v>-3.8E-3</v>
      </c>
      <c r="J198" s="53">
        <v>6.4100000000000004E-2</v>
      </c>
      <c r="K198" s="47">
        <v>5812855353.4200001</v>
      </c>
      <c r="L198" s="30">
        <f>(K198/$K$220)</f>
        <v>9.9125586360059498E-2</v>
      </c>
      <c r="M198" s="79">
        <v>2.5</v>
      </c>
      <c r="N198" s="79">
        <v>2.54</v>
      </c>
      <c r="O198" s="46">
        <v>15035</v>
      </c>
      <c r="P198" s="53">
        <v>3.3000000000000002E-2</v>
      </c>
      <c r="Q198" s="53">
        <v>9.9299999999999999E-2</v>
      </c>
      <c r="R198" s="57">
        <f>((K198-D198)/D198)</f>
        <v>3.3531704148525882E-2</v>
      </c>
      <c r="S198" s="57">
        <f>((N198-G198)/G198)</f>
        <v>3.2520325203252064E-2</v>
      </c>
      <c r="T198" s="57">
        <f>((O198-H198)/H198)</f>
        <v>2.6611669216951631E-4</v>
      </c>
      <c r="U198" s="57">
        <f>P198-I198</f>
        <v>3.6799999999999999E-2</v>
      </c>
      <c r="V198" s="58">
        <f>Q198-J198</f>
        <v>3.5199999999999995E-2</v>
      </c>
    </row>
    <row r="199" spans="1:24">
      <c r="A199" s="170">
        <v>169</v>
      </c>
      <c r="B199" s="168" t="s">
        <v>229</v>
      </c>
      <c r="C199" s="169" t="s">
        <v>49</v>
      </c>
      <c r="D199" s="47">
        <v>1057800477.95</v>
      </c>
      <c r="E199" s="30">
        <f>(D199/$D$220)</f>
        <v>1.8207708236930721E-2</v>
      </c>
      <c r="F199" s="79">
        <v>603.77</v>
      </c>
      <c r="G199" s="79">
        <v>611.34</v>
      </c>
      <c r="H199" s="46">
        <v>992</v>
      </c>
      <c r="I199" s="53">
        <v>6.1000000000000004E-3</v>
      </c>
      <c r="J199" s="53">
        <v>0.21129999999999999</v>
      </c>
      <c r="K199" s="47">
        <v>1095046341.28</v>
      </c>
      <c r="L199" s="30">
        <f>(K199/$K$220)</f>
        <v>1.8673630095913878E-2</v>
      </c>
      <c r="M199" s="79">
        <v>623.87</v>
      </c>
      <c r="N199" s="79">
        <v>631.91999999999996</v>
      </c>
      <c r="O199" s="46">
        <v>1002</v>
      </c>
      <c r="P199" s="53">
        <v>3.3700000000000001E-2</v>
      </c>
      <c r="Q199" s="53">
        <v>0.25209999999999999</v>
      </c>
      <c r="R199" s="57">
        <f>((K199-D199)/D199)</f>
        <v>3.5210669787351385E-2</v>
      </c>
      <c r="S199" s="57">
        <f>((N199-G199)/G199)</f>
        <v>3.3663755029934121E-2</v>
      </c>
      <c r="T199" s="57">
        <f>((O199-H199)/H199)</f>
        <v>1.0080645161290322E-2</v>
      </c>
      <c r="U199" s="57">
        <f>P199-I199</f>
        <v>2.76E-2</v>
      </c>
      <c r="V199" s="58">
        <f>Q199-J199</f>
        <v>4.0800000000000003E-2</v>
      </c>
    </row>
    <row r="200" spans="1:24" ht="6" customHeight="1">
      <c r="A200" s="36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</row>
    <row r="201" spans="1:24" ht="15" customHeight="1">
      <c r="A201" s="184" t="s">
        <v>171</v>
      </c>
      <c r="B201" s="184"/>
      <c r="C201" s="184"/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</row>
    <row r="202" spans="1:24">
      <c r="A202" s="170">
        <v>170</v>
      </c>
      <c r="B202" s="168" t="s">
        <v>289</v>
      </c>
      <c r="C202" s="169" t="s">
        <v>23</v>
      </c>
      <c r="D202" s="29">
        <v>1300917152.23</v>
      </c>
      <c r="E202" s="30">
        <f>(D202/$D$220)</f>
        <v>2.2392426967065757E-2</v>
      </c>
      <c r="F202" s="77">
        <v>1.073</v>
      </c>
      <c r="G202" s="77">
        <v>1.073</v>
      </c>
      <c r="H202" s="32">
        <v>608</v>
      </c>
      <c r="I202" s="50">
        <v>6.8099999999999994E-2</v>
      </c>
      <c r="J202" s="50">
        <v>0.15090000000000001</v>
      </c>
      <c r="K202" s="29">
        <v>1296994562.27</v>
      </c>
      <c r="L202" s="30">
        <f t="shared" ref="L202:L214" si="124">(K202/$K$220)</f>
        <v>2.2117417116732634E-2</v>
      </c>
      <c r="M202" s="77">
        <v>1.075</v>
      </c>
      <c r="N202" s="77">
        <v>1.075</v>
      </c>
      <c r="O202" s="32">
        <v>614</v>
      </c>
      <c r="P202" s="50">
        <v>9.7199999999999995E-2</v>
      </c>
      <c r="Q202" s="50">
        <v>0.1487</v>
      </c>
      <c r="R202" s="57">
        <f>((K202-D202)/D202)</f>
        <v>-3.015249628522486E-3</v>
      </c>
      <c r="S202" s="57">
        <f>((N202-G202)/G202)</f>
        <v>1.8639328984156587E-3</v>
      </c>
      <c r="T202" s="57">
        <f>((O202-H202)/H202)</f>
        <v>9.8684210526315784E-3</v>
      </c>
      <c r="U202" s="57">
        <f>P202-I202</f>
        <v>2.9100000000000001E-2</v>
      </c>
      <c r="V202" s="58">
        <f>Q202-J202</f>
        <v>-2.2000000000000075E-3</v>
      </c>
      <c r="X202" s="83"/>
    </row>
    <row r="203" spans="1:24">
      <c r="A203" s="170">
        <v>171</v>
      </c>
      <c r="B203" s="168" t="s">
        <v>230</v>
      </c>
      <c r="C203" s="169" t="s">
        <v>231</v>
      </c>
      <c r="D203" s="29">
        <v>348976957.85000002</v>
      </c>
      <c r="E203" s="30">
        <f>(D203/$D$220)</f>
        <v>6.0068706361889298E-3</v>
      </c>
      <c r="F203" s="77">
        <v>1066.5</v>
      </c>
      <c r="G203" s="77">
        <v>1066.5</v>
      </c>
      <c r="H203" s="32">
        <v>18</v>
      </c>
      <c r="I203" s="50">
        <v>1.4E-3</v>
      </c>
      <c r="J203" s="50">
        <v>3.6700000000000003E-2</v>
      </c>
      <c r="K203" s="29">
        <v>349299855.76999998</v>
      </c>
      <c r="L203" s="30">
        <f t="shared" si="124"/>
        <v>5.9565481873403341E-3</v>
      </c>
      <c r="M203" s="77">
        <v>1067.49</v>
      </c>
      <c r="N203" s="77">
        <v>1067.49</v>
      </c>
      <c r="O203" s="32">
        <v>18</v>
      </c>
      <c r="P203" s="50">
        <v>1.4E-3</v>
      </c>
      <c r="Q203" s="50">
        <v>3.8100000000000002E-2</v>
      </c>
      <c r="R203" s="57">
        <f>((K203-D203)/D203)</f>
        <v>9.2527002925719688E-4</v>
      </c>
      <c r="S203" s="57">
        <f>((N203-G203)/G203)</f>
        <v>9.2827004219410132E-4</v>
      </c>
      <c r="T203" s="57">
        <f>((O203-H203)/H203)</f>
        <v>0</v>
      </c>
      <c r="U203" s="57">
        <f>P203-I203</f>
        <v>0</v>
      </c>
      <c r="V203" s="58">
        <f>Q203-J203</f>
        <v>1.3999999999999985E-3</v>
      </c>
      <c r="X203" s="83"/>
    </row>
    <row r="204" spans="1:24">
      <c r="A204" s="170">
        <v>172</v>
      </c>
      <c r="B204" s="168" t="s">
        <v>232</v>
      </c>
      <c r="C204" s="169" t="s">
        <v>67</v>
      </c>
      <c r="D204" s="29">
        <v>212567670.24000001</v>
      </c>
      <c r="E204" s="30">
        <f>(D204/$D$220)</f>
        <v>3.6588848284836617E-3</v>
      </c>
      <c r="F204" s="77">
        <v>117.04</v>
      </c>
      <c r="G204" s="77">
        <v>117.04</v>
      </c>
      <c r="H204" s="32">
        <v>75</v>
      </c>
      <c r="I204" s="50">
        <v>1.9E-3</v>
      </c>
      <c r="J204" s="50">
        <v>0.11360000000000001</v>
      </c>
      <c r="K204" s="29">
        <v>213213128.63</v>
      </c>
      <c r="L204" s="30">
        <f t="shared" si="124"/>
        <v>3.6358854831432903E-3</v>
      </c>
      <c r="M204" s="77">
        <v>117.04</v>
      </c>
      <c r="N204" s="77">
        <v>117.04</v>
      </c>
      <c r="O204" s="32">
        <v>75</v>
      </c>
      <c r="P204" s="50">
        <v>2E-3</v>
      </c>
      <c r="Q204" s="50">
        <v>0.1263</v>
      </c>
      <c r="R204" s="57">
        <f t="shared" ref="R204:R221" si="125">((K204-D204)/D204)</f>
        <v>3.0364842841398669E-3</v>
      </c>
      <c r="S204" s="57">
        <f t="shared" ref="S204:S220" si="126">((N204-G204)/G204)</f>
        <v>0</v>
      </c>
      <c r="T204" s="57">
        <f t="shared" ref="T204:T220" si="127">((O204-H204)/H204)</f>
        <v>0</v>
      </c>
      <c r="U204" s="57">
        <f t="shared" ref="U204:U220" si="128">P204-I204</f>
        <v>1.0000000000000005E-4</v>
      </c>
      <c r="V204" s="58">
        <f t="shared" ref="V204:V220" si="129">Q204-J204</f>
        <v>1.2699999999999989E-2</v>
      </c>
    </row>
    <row r="205" spans="1:24">
      <c r="A205" s="170">
        <v>173</v>
      </c>
      <c r="B205" s="175" t="s">
        <v>233</v>
      </c>
      <c r="C205" s="169" t="s">
        <v>70</v>
      </c>
      <c r="D205" s="44">
        <v>61851028.310000002</v>
      </c>
      <c r="E205" s="30">
        <f>(D205/$D$220)</f>
        <v>1.0646293900387646E-3</v>
      </c>
      <c r="F205" s="77">
        <v>101.44</v>
      </c>
      <c r="G205" s="77">
        <v>101.44</v>
      </c>
      <c r="H205" s="32">
        <v>15</v>
      </c>
      <c r="I205" s="50">
        <v>2.0999999999999999E-3</v>
      </c>
      <c r="J205" s="50">
        <v>4.4999999999999998E-2</v>
      </c>
      <c r="K205" s="44">
        <v>61851028.310000002</v>
      </c>
      <c r="L205" s="30">
        <f t="shared" si="124"/>
        <v>1.0547345625234244E-3</v>
      </c>
      <c r="M205" s="77">
        <v>101.59</v>
      </c>
      <c r="N205" s="77">
        <v>101.59</v>
      </c>
      <c r="O205" s="32">
        <v>15</v>
      </c>
      <c r="P205" s="50">
        <v>1.5E-3</v>
      </c>
      <c r="Q205" s="50">
        <v>4.6600000000000003E-2</v>
      </c>
      <c r="R205" s="57">
        <f t="shared" si="125"/>
        <v>0</v>
      </c>
      <c r="S205" s="57">
        <f t="shared" si="126"/>
        <v>1.4787066246057343E-3</v>
      </c>
      <c r="T205" s="57">
        <f t="shared" si="127"/>
        <v>0</v>
      </c>
      <c r="U205" s="57">
        <f t="shared" si="128"/>
        <v>-5.9999999999999984E-4</v>
      </c>
      <c r="V205" s="58">
        <f t="shared" si="129"/>
        <v>1.6000000000000042E-3</v>
      </c>
    </row>
    <row r="206" spans="1:24">
      <c r="A206" s="170">
        <v>174</v>
      </c>
      <c r="B206" s="168" t="s">
        <v>234</v>
      </c>
      <c r="C206" s="169" t="s">
        <v>73</v>
      </c>
      <c r="D206" s="44">
        <v>110561669.27</v>
      </c>
      <c r="E206" s="30">
        <v>0</v>
      </c>
      <c r="F206" s="77">
        <v>1.0886</v>
      </c>
      <c r="G206" s="77">
        <v>1.0886</v>
      </c>
      <c r="H206" s="32">
        <v>41</v>
      </c>
      <c r="I206" s="50">
        <v>1.8E-3</v>
      </c>
      <c r="J206" s="50">
        <v>0.1171</v>
      </c>
      <c r="K206" s="44">
        <v>155911627.09</v>
      </c>
      <c r="L206" s="30">
        <f t="shared" si="124"/>
        <v>2.6587331898004856E-3</v>
      </c>
      <c r="M206" s="77">
        <v>1.0907</v>
      </c>
      <c r="N206" s="77">
        <v>1.0907</v>
      </c>
      <c r="O206" s="32">
        <v>41</v>
      </c>
      <c r="P206" s="50">
        <v>1.8E-3</v>
      </c>
      <c r="Q206" s="50">
        <v>0.11650000000000001</v>
      </c>
      <c r="R206" s="57">
        <f t="shared" ref="R206:R207" si="130">((K206-D206)/D206)</f>
        <v>0.41017794068622432</v>
      </c>
      <c r="S206" s="57">
        <f t="shared" ref="S206:S207" si="131">((N206-G206)/G206)</f>
        <v>1.9290832261620345E-3</v>
      </c>
      <c r="T206" s="57">
        <f t="shared" ref="T206" si="132">((O206-H206)/H206)</f>
        <v>0</v>
      </c>
      <c r="U206" s="57">
        <f t="shared" ref="U206" si="133">P206-I206</f>
        <v>0</v>
      </c>
      <c r="V206" s="58">
        <f t="shared" ref="V206" si="134">Q206-J206</f>
        <v>-5.9999999999998943E-4</v>
      </c>
    </row>
    <row r="207" spans="1:24">
      <c r="A207" s="170">
        <v>175</v>
      </c>
      <c r="B207" s="168" t="s">
        <v>235</v>
      </c>
      <c r="C207" s="169" t="s">
        <v>31</v>
      </c>
      <c r="D207" s="29">
        <v>5415583099.5699997</v>
      </c>
      <c r="E207" s="30">
        <f t="shared" ref="E207:E214" si="135">(D207/$D$220)</f>
        <v>9.3217349646994921E-2</v>
      </c>
      <c r="F207" s="77">
        <v>152.44</v>
      </c>
      <c r="G207" s="77">
        <v>152.44</v>
      </c>
      <c r="H207" s="32">
        <v>703</v>
      </c>
      <c r="I207" s="50">
        <v>2.3999999999999998E-3</v>
      </c>
      <c r="J207" s="50">
        <v>6.25E-2</v>
      </c>
      <c r="K207" s="29">
        <v>5421590239.0600004</v>
      </c>
      <c r="L207" s="30">
        <f t="shared" si="124"/>
        <v>9.2453412097138629E-2</v>
      </c>
      <c r="M207" s="77">
        <v>152.87</v>
      </c>
      <c r="N207" s="77">
        <v>152.87</v>
      </c>
      <c r="O207" s="32">
        <v>702</v>
      </c>
      <c r="P207" s="50">
        <v>2.8E-3</v>
      </c>
      <c r="Q207" s="50">
        <v>6.5500000000000003E-2</v>
      </c>
      <c r="R207" s="57">
        <f t="shared" si="130"/>
        <v>1.1092322617074594E-3</v>
      </c>
      <c r="S207" s="57">
        <f t="shared" si="131"/>
        <v>2.820781946995584E-3</v>
      </c>
      <c r="T207" s="57">
        <f t="shared" si="127"/>
        <v>-1.4224751066856331E-3</v>
      </c>
      <c r="U207" s="57">
        <f t="shared" si="128"/>
        <v>4.0000000000000018E-4</v>
      </c>
      <c r="V207" s="58">
        <f t="shared" si="129"/>
        <v>3.0000000000000027E-3</v>
      </c>
    </row>
    <row r="208" spans="1:24">
      <c r="A208" s="170">
        <v>176</v>
      </c>
      <c r="B208" s="168" t="s">
        <v>236</v>
      </c>
      <c r="C208" s="169" t="s">
        <v>65</v>
      </c>
      <c r="D208" s="29">
        <v>795028606.44831395</v>
      </c>
      <c r="E208" s="30">
        <f t="shared" si="135"/>
        <v>1.3684668524898087E-2</v>
      </c>
      <c r="F208" s="35">
        <v>1250.37092817758</v>
      </c>
      <c r="G208" s="35">
        <v>1250.37092817758</v>
      </c>
      <c r="H208" s="32">
        <v>191</v>
      </c>
      <c r="I208" s="50">
        <v>0.10484234137391825</v>
      </c>
      <c r="J208" s="50">
        <v>0.13627729643607553</v>
      </c>
      <c r="K208" s="29">
        <v>779843101.974738</v>
      </c>
      <c r="L208" s="30">
        <f t="shared" si="124"/>
        <v>1.3298525432361329E-2</v>
      </c>
      <c r="M208" s="35">
        <v>1252.0638468235099</v>
      </c>
      <c r="N208" s="35">
        <v>1252.0638468235099</v>
      </c>
      <c r="O208" s="32">
        <v>194</v>
      </c>
      <c r="P208" s="50">
        <v>7.0597942674388764E-2</v>
      </c>
      <c r="Q208" s="50">
        <v>0.13338815979310323</v>
      </c>
      <c r="R208" s="57">
        <f t="shared" si="125"/>
        <v>-1.9100576193623018E-2</v>
      </c>
      <c r="S208" s="57">
        <f t="shared" si="126"/>
        <v>1.3539331471800584E-3</v>
      </c>
      <c r="T208" s="57">
        <f t="shared" si="127"/>
        <v>1.5706806282722512E-2</v>
      </c>
      <c r="U208" s="57">
        <f t="shared" si="128"/>
        <v>-3.4244398699529485E-2</v>
      </c>
      <c r="V208" s="58">
        <f t="shared" si="129"/>
        <v>-2.8891366429723009E-3</v>
      </c>
    </row>
    <row r="209" spans="1:22">
      <c r="A209" s="170">
        <v>177</v>
      </c>
      <c r="B209" s="168" t="s">
        <v>237</v>
      </c>
      <c r="C209" s="169" t="s">
        <v>228</v>
      </c>
      <c r="D209" s="29">
        <v>29378421348.549999</v>
      </c>
      <c r="E209" s="30">
        <f t="shared" si="135"/>
        <v>0.50568489571177844</v>
      </c>
      <c r="F209" s="35">
        <v>1257.49</v>
      </c>
      <c r="G209" s="35">
        <v>1257.49</v>
      </c>
      <c r="H209" s="32">
        <v>10414</v>
      </c>
      <c r="I209" s="50">
        <v>4.0000000000000001E-3</v>
      </c>
      <c r="J209" s="50">
        <v>5.4699999999999999E-2</v>
      </c>
      <c r="K209" s="29">
        <v>29542842367.02</v>
      </c>
      <c r="L209" s="30">
        <f t="shared" si="124"/>
        <v>0.50378882568455929</v>
      </c>
      <c r="M209" s="35">
        <v>1260.58</v>
      </c>
      <c r="N209" s="35">
        <v>1260.58</v>
      </c>
      <c r="O209" s="32">
        <v>10387</v>
      </c>
      <c r="P209" s="50">
        <v>2.5000000000000001E-3</v>
      </c>
      <c r="Q209" s="50">
        <v>7.3999999999999996E-2</v>
      </c>
      <c r="R209" s="57">
        <f t="shared" si="125"/>
        <v>5.5966594160824909E-3</v>
      </c>
      <c r="S209" s="57">
        <f t="shared" si="126"/>
        <v>2.4572760021947834E-3</v>
      </c>
      <c r="T209" s="57">
        <f t="shared" si="127"/>
        <v>-2.5926637219128097E-3</v>
      </c>
      <c r="U209" s="57">
        <f t="shared" si="128"/>
        <v>-1.5E-3</v>
      </c>
      <c r="V209" s="58">
        <f t="shared" si="129"/>
        <v>1.9299999999999998E-2</v>
      </c>
    </row>
    <row r="210" spans="1:22">
      <c r="A210" s="170">
        <v>178</v>
      </c>
      <c r="B210" s="168" t="s">
        <v>238</v>
      </c>
      <c r="C210" s="169" t="s">
        <v>239</v>
      </c>
      <c r="D210" s="29">
        <v>510012217.44</v>
      </c>
      <c r="E210" s="30">
        <f t="shared" si="135"/>
        <v>8.7787383783509004E-3</v>
      </c>
      <c r="F210" s="79">
        <v>128.21</v>
      </c>
      <c r="G210" s="79">
        <v>129.28</v>
      </c>
      <c r="H210" s="46">
        <v>149</v>
      </c>
      <c r="I210" s="50">
        <v>3.5000000000000001E-3</v>
      </c>
      <c r="J210" s="50">
        <v>3.1800000000000002E-2</v>
      </c>
      <c r="K210" s="29">
        <v>504612145.68000001</v>
      </c>
      <c r="L210" s="30">
        <f t="shared" si="124"/>
        <v>8.6050609870256707E-3</v>
      </c>
      <c r="M210" s="79">
        <v>126.89</v>
      </c>
      <c r="N210" s="79">
        <v>127.96</v>
      </c>
      <c r="O210" s="46">
        <v>150</v>
      </c>
      <c r="P210" s="50">
        <v>-1.0200000000000001E-2</v>
      </c>
      <c r="Q210" s="50">
        <v>2.3400000000000001E-2</v>
      </c>
      <c r="R210" s="57">
        <f t="shared" si="125"/>
        <v>-1.0588122353432206E-2</v>
      </c>
      <c r="S210" s="57">
        <f t="shared" si="126"/>
        <v>-1.0210396039604018E-2</v>
      </c>
      <c r="T210" s="57">
        <f t="shared" si="127"/>
        <v>6.7114093959731542E-3</v>
      </c>
      <c r="U210" s="57">
        <f t="shared" si="128"/>
        <v>-1.37E-2</v>
      </c>
      <c r="V210" s="58">
        <f t="shared" si="129"/>
        <v>-8.4000000000000012E-3</v>
      </c>
    </row>
    <row r="211" spans="1:22">
      <c r="A211" s="170">
        <v>179</v>
      </c>
      <c r="B211" s="168" t="s">
        <v>240</v>
      </c>
      <c r="C211" s="169" t="s">
        <v>239</v>
      </c>
      <c r="D211" s="29">
        <v>225035546.25999999</v>
      </c>
      <c r="E211" s="30">
        <f t="shared" si="135"/>
        <v>3.8734918868453005E-3</v>
      </c>
      <c r="F211" s="79">
        <v>121.27</v>
      </c>
      <c r="G211" s="79">
        <v>121.27</v>
      </c>
      <c r="H211" s="46">
        <v>75</v>
      </c>
      <c r="I211" s="50">
        <v>3.5000000000000001E-3</v>
      </c>
      <c r="J211" s="50">
        <v>0.10009999999999999</v>
      </c>
      <c r="K211" s="29">
        <v>233113329.31999999</v>
      </c>
      <c r="L211" s="30">
        <f t="shared" si="124"/>
        <v>3.9752400588456633E-3</v>
      </c>
      <c r="M211" s="79">
        <v>122.17</v>
      </c>
      <c r="N211" s="79">
        <v>122.17</v>
      </c>
      <c r="O211" s="46">
        <v>78</v>
      </c>
      <c r="P211" s="50">
        <v>3.8E-3</v>
      </c>
      <c r="Q211" s="50">
        <v>9.3799999999999994E-2</v>
      </c>
      <c r="R211" s="57">
        <f t="shared" si="125"/>
        <v>3.5895587138341026E-2</v>
      </c>
      <c r="S211" s="57">
        <f t="shared" si="126"/>
        <v>7.4214562546384569E-3</v>
      </c>
      <c r="T211" s="57">
        <f t="shared" si="127"/>
        <v>0.04</v>
      </c>
      <c r="U211" s="57">
        <f t="shared" si="128"/>
        <v>2.9999999999999992E-4</v>
      </c>
      <c r="V211" s="58">
        <f t="shared" si="129"/>
        <v>-6.3E-3</v>
      </c>
    </row>
    <row r="212" spans="1:22" ht="13.5" customHeight="1">
      <c r="A212" s="170">
        <v>180</v>
      </c>
      <c r="B212" s="168" t="s">
        <v>241</v>
      </c>
      <c r="C212" s="169" t="s">
        <v>87</v>
      </c>
      <c r="D212" s="29">
        <v>1512522412</v>
      </c>
      <c r="E212" s="30">
        <f t="shared" si="135"/>
        <v>2.6034746016456667E-2</v>
      </c>
      <c r="F212" s="60">
        <v>105.28</v>
      </c>
      <c r="G212" s="60">
        <v>105.28</v>
      </c>
      <c r="H212" s="32">
        <v>630</v>
      </c>
      <c r="I212" s="50">
        <v>2.8E-3</v>
      </c>
      <c r="J212" s="50">
        <v>0.1409</v>
      </c>
      <c r="K212" s="29">
        <v>1519833786</v>
      </c>
      <c r="L212" s="30">
        <f t="shared" si="124"/>
        <v>2.5917454684029163E-2</v>
      </c>
      <c r="M212" s="60">
        <v>105.58</v>
      </c>
      <c r="N212" s="60">
        <v>105.58</v>
      </c>
      <c r="O212" s="32">
        <v>631</v>
      </c>
      <c r="P212" s="50">
        <v>2.8999999999999998E-3</v>
      </c>
      <c r="Q212" s="50">
        <v>0.14149999999999999</v>
      </c>
      <c r="R212" s="57">
        <f t="shared" si="125"/>
        <v>4.833894653059858E-3</v>
      </c>
      <c r="S212" s="57">
        <f t="shared" si="126"/>
        <v>2.8495440729483013E-3</v>
      </c>
      <c r="T212" s="57">
        <f t="shared" si="127"/>
        <v>1.5873015873015873E-3</v>
      </c>
      <c r="U212" s="57">
        <f t="shared" si="128"/>
        <v>9.9999999999999829E-5</v>
      </c>
      <c r="V212" s="58">
        <f t="shared" si="129"/>
        <v>5.9999999999998943E-4</v>
      </c>
    </row>
    <row r="213" spans="1:22" ht="15.75" customHeight="1">
      <c r="A213" s="170">
        <v>181</v>
      </c>
      <c r="B213" s="168" t="s">
        <v>242</v>
      </c>
      <c r="C213" s="169" t="s">
        <v>49</v>
      </c>
      <c r="D213" s="29">
        <v>5951202645.5699997</v>
      </c>
      <c r="E213" s="30">
        <f t="shared" si="135"/>
        <v>0.10243686185450053</v>
      </c>
      <c r="F213" s="60">
        <v>136.09</v>
      </c>
      <c r="G213" s="60">
        <v>136.09</v>
      </c>
      <c r="H213" s="32">
        <v>1338</v>
      </c>
      <c r="I213" s="50">
        <v>1E-4</v>
      </c>
      <c r="J213" s="50">
        <v>1.3299999999999999E-2</v>
      </c>
      <c r="K213" s="29">
        <v>5969425835.46</v>
      </c>
      <c r="L213" s="30">
        <f t="shared" si="124"/>
        <v>0.10179555488589953</v>
      </c>
      <c r="M213" s="60">
        <v>136.27000000000001</v>
      </c>
      <c r="N213" s="60">
        <v>136.27000000000001</v>
      </c>
      <c r="O213" s="32">
        <v>1336</v>
      </c>
      <c r="P213" s="50">
        <v>1.2999999999999999E-3</v>
      </c>
      <c r="Q213" s="50">
        <v>1.47E-2</v>
      </c>
      <c r="R213" s="57">
        <f t="shared" si="125"/>
        <v>3.0621020616001804E-3</v>
      </c>
      <c r="S213" s="57">
        <f t="shared" si="126"/>
        <v>1.3226541259461152E-3</v>
      </c>
      <c r="T213" s="57">
        <f t="shared" si="127"/>
        <v>-1.4947683109118087E-3</v>
      </c>
      <c r="U213" s="57">
        <f t="shared" si="128"/>
        <v>1.1999999999999999E-3</v>
      </c>
      <c r="V213" s="58">
        <f t="shared" si="129"/>
        <v>1.4000000000000002E-3</v>
      </c>
    </row>
    <row r="214" spans="1:22">
      <c r="A214" s="170">
        <v>182</v>
      </c>
      <c r="B214" s="168" t="s">
        <v>243</v>
      </c>
      <c r="C214" s="169" t="s">
        <v>52</v>
      </c>
      <c r="D214" s="29">
        <v>4140031897.71</v>
      </c>
      <c r="E214" s="30">
        <f t="shared" si="135"/>
        <v>7.1261541714536233E-2</v>
      </c>
      <c r="F214" s="60">
        <v>1.2665999999999999</v>
      </c>
      <c r="G214" s="60">
        <v>1.2665999999999999</v>
      </c>
      <c r="H214" s="32">
        <v>1639</v>
      </c>
      <c r="I214" s="50">
        <v>0.12690000000000001</v>
      </c>
      <c r="J214" s="50">
        <v>0.1041</v>
      </c>
      <c r="K214" s="29">
        <v>4202234893.9299998</v>
      </c>
      <c r="L214" s="30">
        <f t="shared" si="124"/>
        <v>7.1659962713236366E-2</v>
      </c>
      <c r="M214" s="60">
        <v>1.2693000000000001</v>
      </c>
      <c r="N214" s="60">
        <v>1.2693000000000001</v>
      </c>
      <c r="O214" s="32">
        <v>1650</v>
      </c>
      <c r="P214" s="50">
        <v>0.1174</v>
      </c>
      <c r="Q214" s="50">
        <v>0.1047</v>
      </c>
      <c r="R214" s="57">
        <f t="shared" si="125"/>
        <v>1.5024762551807028E-2</v>
      </c>
      <c r="S214" s="57">
        <f t="shared" si="126"/>
        <v>2.1316911416391494E-3</v>
      </c>
      <c r="T214" s="57">
        <f t="shared" si="127"/>
        <v>6.7114093959731542E-3</v>
      </c>
      <c r="U214" s="57">
        <f t="shared" si="128"/>
        <v>-9.5000000000000084E-3</v>
      </c>
      <c r="V214" s="58">
        <f t="shared" si="129"/>
        <v>6.0000000000000331E-4</v>
      </c>
    </row>
    <row r="215" spans="1:22" ht="6" customHeight="1">
      <c r="A215" s="36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</row>
    <row r="216" spans="1:22">
      <c r="A216" s="184" t="s">
        <v>244</v>
      </c>
      <c r="B216" s="184"/>
      <c r="C216" s="184"/>
      <c r="D216" s="184"/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</row>
    <row r="217" spans="1:22">
      <c r="A217" s="170">
        <v>183</v>
      </c>
      <c r="B217" s="168" t="s">
        <v>314</v>
      </c>
      <c r="C217" s="169" t="s">
        <v>23</v>
      </c>
      <c r="D217" s="78">
        <v>1163063941.6600001</v>
      </c>
      <c r="E217" s="30">
        <f>(D217/$D$194)</f>
        <v>0.19404686717408737</v>
      </c>
      <c r="F217" s="77">
        <v>74.6584</v>
      </c>
      <c r="G217" s="77">
        <v>76.909400000000005</v>
      </c>
      <c r="H217" s="34">
        <v>1787</v>
      </c>
      <c r="I217" s="51">
        <v>-6.9699999999999998E-2</v>
      </c>
      <c r="J217" s="51">
        <v>0.22670000000000001</v>
      </c>
      <c r="K217" s="78">
        <v>1187753228.7</v>
      </c>
      <c r="L217" s="54">
        <f>(K217/$K$194)</f>
        <v>0.19820114001045014</v>
      </c>
      <c r="M217" s="77">
        <v>75.331800000000001</v>
      </c>
      <c r="N217" s="77">
        <v>77.603200000000001</v>
      </c>
      <c r="O217" s="34">
        <v>1800</v>
      </c>
      <c r="P217" s="51">
        <v>0.47039999999999998</v>
      </c>
      <c r="Q217" s="51">
        <v>0.24</v>
      </c>
      <c r="R217" s="57">
        <f>((K217-D217)/D217)</f>
        <v>2.1227798537681267E-2</v>
      </c>
      <c r="S217" s="57">
        <f t="shared" ref="S217" si="136">((N217-G217)/G217)</f>
        <v>9.0210039344995017E-3</v>
      </c>
      <c r="T217" s="57">
        <f t="shared" ref="T217" si="137">((O217-H217)/H217)</f>
        <v>7.2747621712367094E-3</v>
      </c>
      <c r="U217" s="57">
        <f t="shared" ref="U217" si="138">P217-I217</f>
        <v>0.54010000000000002</v>
      </c>
      <c r="V217" s="58">
        <f t="shared" ref="V217" si="139">Q217-J217</f>
        <v>1.3299999999999979E-2</v>
      </c>
    </row>
    <row r="218" spans="1:22">
      <c r="A218" s="167">
        <v>184</v>
      </c>
      <c r="B218" s="168" t="s">
        <v>245</v>
      </c>
      <c r="C218" s="169" t="s">
        <v>228</v>
      </c>
      <c r="D218" s="29">
        <v>227121471.34999999</v>
      </c>
      <c r="E218" s="30">
        <f t="shared" ref="E218" si="140">(D218/$D$220)</f>
        <v>3.9093964985698268E-3</v>
      </c>
      <c r="F218" s="35">
        <v>1105.8</v>
      </c>
      <c r="G218" s="35">
        <v>1105.8</v>
      </c>
      <c r="H218" s="32">
        <v>100</v>
      </c>
      <c r="I218" s="50">
        <v>-2.86E-2</v>
      </c>
      <c r="J218" s="50">
        <v>1.24E-2</v>
      </c>
      <c r="K218" s="29">
        <v>233055978.55000001</v>
      </c>
      <c r="L218" s="30">
        <f t="shared" ref="L218" si="141">(K218/$K$220)</f>
        <v>3.974262066386053E-3</v>
      </c>
      <c r="M218" s="35">
        <v>1134.69</v>
      </c>
      <c r="N218" s="35">
        <v>1134.69</v>
      </c>
      <c r="O218" s="32">
        <v>136</v>
      </c>
      <c r="P218" s="50">
        <v>2.6100000000000002E-2</v>
      </c>
      <c r="Q218" s="50">
        <v>3.5099999999999999E-2</v>
      </c>
      <c r="R218" s="57">
        <f t="shared" ref="R218" si="142">((K218-D218)/D218)</f>
        <v>2.6129221357741164E-2</v>
      </c>
      <c r="S218" s="57">
        <f t="shared" ref="S218" si="143">((N218-G218)/G218)</f>
        <v>2.6125881714595858E-2</v>
      </c>
      <c r="T218" s="57">
        <f t="shared" ref="T218" si="144">((O218-H218)/H218)</f>
        <v>0.36</v>
      </c>
      <c r="U218" s="57">
        <f t="shared" ref="U218" si="145">P218-I218</f>
        <v>5.4699999999999999E-2</v>
      </c>
      <c r="V218" s="58">
        <f t="shared" ref="V218" si="146">Q218-J218</f>
        <v>2.2699999999999998E-2</v>
      </c>
    </row>
    <row r="219" spans="1:22">
      <c r="A219" s="167">
        <v>185</v>
      </c>
      <c r="B219" s="168" t="s">
        <v>290</v>
      </c>
      <c r="C219" s="169" t="s">
        <v>291</v>
      </c>
      <c r="D219" s="29">
        <v>61337551.989637397</v>
      </c>
      <c r="E219" s="30">
        <f t="shared" ref="E219" si="147">(D219/$D$220)</f>
        <v>1.0557910247490706E-3</v>
      </c>
      <c r="F219" s="35">
        <v>101.72</v>
      </c>
      <c r="G219" s="35">
        <v>103.818254</v>
      </c>
      <c r="H219" s="32">
        <v>158</v>
      </c>
      <c r="I219" s="50">
        <v>2.7699999999999999E-2</v>
      </c>
      <c r="J219" s="50">
        <v>0.12970000000000001</v>
      </c>
      <c r="K219" s="29">
        <v>61844443.350000001</v>
      </c>
      <c r="L219" s="30">
        <f t="shared" ref="L219" si="148">(K219/$K$220)</f>
        <v>1.0546222703741327E-3</v>
      </c>
      <c r="M219" s="35">
        <v>102.86</v>
      </c>
      <c r="N219" s="35">
        <v>104.98</v>
      </c>
      <c r="O219" s="32">
        <v>158</v>
      </c>
      <c r="P219" s="50">
        <v>2.6200000000000001E-2</v>
      </c>
      <c r="Q219" s="50">
        <v>0.12970000000000001</v>
      </c>
      <c r="R219" s="57">
        <f t="shared" ref="R219" si="149">((K219-D219)/D219)</f>
        <v>8.2639646337408518E-3</v>
      </c>
      <c r="S219" s="57">
        <f t="shared" ref="S219" si="150">((N219-G219)/G219)</f>
        <v>1.1190190118204145E-2</v>
      </c>
      <c r="T219" s="57">
        <f t="shared" ref="T219" si="151">((O219-H219)/H219)</f>
        <v>0</v>
      </c>
      <c r="U219" s="57">
        <f t="shared" ref="U219" si="152">P219-I219</f>
        <v>-1.4999999999999979E-3</v>
      </c>
      <c r="V219" s="58">
        <f t="shared" ref="V219" si="153">Q219-J219</f>
        <v>0</v>
      </c>
    </row>
    <row r="220" spans="1:22">
      <c r="A220" s="36"/>
      <c r="B220" s="37"/>
      <c r="C220" s="71" t="s">
        <v>53</v>
      </c>
      <c r="D220" s="48">
        <f>SUM(D198:D219)</f>
        <v>58096299884.927956</v>
      </c>
      <c r="E220" s="40">
        <f>(D220/$D$221)</f>
        <v>1.0347104941428247E-2</v>
      </c>
      <c r="F220" s="41"/>
      <c r="G220" s="74"/>
      <c r="H220" s="84">
        <f>SUM(H198:H219)</f>
        <v>33964</v>
      </c>
      <c r="I220" s="81"/>
      <c r="J220" s="81"/>
      <c r="K220" s="48">
        <f>SUM(K198:K219)</f>
        <v>58641321245.814735</v>
      </c>
      <c r="L220" s="40">
        <f>(K220/$K$221)</f>
        <v>1.0358825229826158E-2</v>
      </c>
      <c r="M220" s="41"/>
      <c r="N220" s="74"/>
      <c r="O220" s="43">
        <f>SUM(O198:O219)</f>
        <v>34022</v>
      </c>
      <c r="P220" s="81"/>
      <c r="Q220" s="81"/>
      <c r="R220" s="57">
        <f t="shared" si="125"/>
        <v>9.3813437683003941E-3</v>
      </c>
      <c r="S220" s="57" t="e">
        <f t="shared" si="126"/>
        <v>#DIV/0!</v>
      </c>
      <c r="T220" s="57">
        <f t="shared" si="127"/>
        <v>1.7076904958191026E-3</v>
      </c>
      <c r="U220" s="57">
        <f t="shared" si="128"/>
        <v>0</v>
      </c>
      <c r="V220" s="58">
        <f t="shared" si="129"/>
        <v>0</v>
      </c>
    </row>
    <row r="221" spans="1:22">
      <c r="A221" s="85"/>
      <c r="B221" s="85"/>
      <c r="C221" s="86" t="s">
        <v>246</v>
      </c>
      <c r="D221" s="87">
        <f>SUM(D25,D69,D109,D149,D158,D189,D194,D220)</f>
        <v>5614739602409.8623</v>
      </c>
      <c r="E221" s="88"/>
      <c r="F221" s="88"/>
      <c r="G221" s="89"/>
      <c r="H221" s="87">
        <f>SUM(H25,H69,H109,H149,H158,H189,H194,H220)</f>
        <v>889292</v>
      </c>
      <c r="I221" s="111"/>
      <c r="J221" s="111"/>
      <c r="K221" s="87">
        <f>SUM(K25,K69,K109,K149,K158,K189,K194,K220)</f>
        <v>5661001121726.5078</v>
      </c>
      <c r="L221" s="88"/>
      <c r="M221" s="88"/>
      <c r="N221" s="89"/>
      <c r="O221" s="87">
        <f>SUM(O25,O69,O109,O149,O158,O189,O194,O220)</f>
        <v>898052</v>
      </c>
      <c r="P221" s="112"/>
      <c r="Q221" s="87"/>
      <c r="R221" s="118">
        <f t="shared" si="125"/>
        <v>8.2392991647893925E-3</v>
      </c>
      <c r="S221" s="118"/>
      <c r="T221" s="118"/>
      <c r="U221" s="118"/>
      <c r="V221" s="118"/>
    </row>
    <row r="222" spans="1:22" ht="6.75" customHeight="1">
      <c r="A222" s="36"/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37"/>
    </row>
    <row r="223" spans="1:22" ht="14.4" customHeight="1">
      <c r="A223" s="183" t="s">
        <v>247</v>
      </c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</row>
    <row r="224" spans="1:22" ht="14.4" customHeight="1">
      <c r="A224" s="170">
        <v>1</v>
      </c>
      <c r="B224" s="168" t="s">
        <v>312</v>
      </c>
      <c r="C224" s="169" t="s">
        <v>23</v>
      </c>
      <c r="D224" s="29">
        <f>756367.23*1588.2431</f>
        <v>1201295034.1136129</v>
      </c>
      <c r="E224" s="30">
        <f t="shared" ref="E224:E227" si="154">(D224/$D$220)</f>
        <v>2.0677651356334783E-2</v>
      </c>
      <c r="F224" s="35">
        <f>1.0021*1588.2431</f>
        <v>1591.5784105099999</v>
      </c>
      <c r="G224" s="35">
        <f>1.0021*1588.2431</f>
        <v>1591.5784105099999</v>
      </c>
      <c r="H224" s="32">
        <v>20</v>
      </c>
      <c r="I224" s="50">
        <v>5.7299999999999997E-2</v>
      </c>
      <c r="J224" s="50">
        <v>2.07E-2</v>
      </c>
      <c r="K224" s="29">
        <f>868336.05*1587.8698</f>
        <v>1378804590.0462899</v>
      </c>
      <c r="L224" s="30">
        <f>(K224/$K$229)</f>
        <v>8.005791370531376E-2</v>
      </c>
      <c r="M224" s="35">
        <f>1.0031*1587.8698</f>
        <v>1592.7921963800002</v>
      </c>
      <c r="N224" s="35">
        <f>1.0031*1587.8698</f>
        <v>1592.7921963800002</v>
      </c>
      <c r="O224" s="32">
        <v>27</v>
      </c>
      <c r="P224" s="50">
        <v>5.1999999999999998E-2</v>
      </c>
      <c r="Q224" s="50">
        <v>2.5700000000000001E-2</v>
      </c>
      <c r="R224" s="57">
        <f t="shared" ref="R224" si="155">((K224-D224)/D224)</f>
        <v>0.14776516250535754</v>
      </c>
      <c r="S224" s="57">
        <f t="shared" ref="S224" si="156">((N224-G224)/G224)</f>
        <v>7.6263026815708305E-4</v>
      </c>
      <c r="T224" s="57">
        <f t="shared" ref="T224" si="157">((O224-H224)/H224)</f>
        <v>0.35</v>
      </c>
      <c r="U224" s="57">
        <f t="shared" ref="U224" si="158">P224-I224</f>
        <v>-5.2999999999999992E-3</v>
      </c>
      <c r="V224" s="58">
        <f t="shared" ref="V224" si="159">Q224-J224</f>
        <v>5.000000000000001E-3</v>
      </c>
    </row>
    <row r="225" spans="1:22" ht="14.4" customHeight="1">
      <c r="A225" s="170">
        <v>2</v>
      </c>
      <c r="B225" s="168" t="s">
        <v>248</v>
      </c>
      <c r="C225" s="169" t="s">
        <v>186</v>
      </c>
      <c r="D225" s="29">
        <v>4204895875.7562852</v>
      </c>
      <c r="E225" s="30">
        <f t="shared" ref="E225" si="160">(D225/$D$220)</f>
        <v>7.2378032406280143E-2</v>
      </c>
      <c r="F225" s="35">
        <v>123.2</v>
      </c>
      <c r="G225" s="35">
        <v>123.2</v>
      </c>
      <c r="H225" s="32">
        <v>9</v>
      </c>
      <c r="I225" s="50">
        <v>0.29818726901928694</v>
      </c>
      <c r="J225" s="50">
        <v>0.21448328396005453</v>
      </c>
      <c r="K225" s="29">
        <v>4217146962.7993798</v>
      </c>
      <c r="L225" s="30">
        <f>(K225/$K$229)</f>
        <v>0.24486137489510687</v>
      </c>
      <c r="M225" s="35">
        <v>123.2</v>
      </c>
      <c r="N225" s="35">
        <v>123.2</v>
      </c>
      <c r="O225" s="32">
        <v>9</v>
      </c>
      <c r="P225" s="50">
        <v>0.28426428919980018</v>
      </c>
      <c r="Q225" s="50">
        <v>0.21061168672104413</v>
      </c>
      <c r="R225" s="57">
        <f t="shared" ref="R225" si="161">((K225-D225)/D225)</f>
        <v>2.9135292299934004E-3</v>
      </c>
      <c r="S225" s="57">
        <f t="shared" ref="S225" si="162">((N225-G225)/G225)</f>
        <v>0</v>
      </c>
      <c r="T225" s="57">
        <f t="shared" ref="T225" si="163">((O225-H225)/H225)</f>
        <v>0</v>
      </c>
      <c r="U225" s="57">
        <f t="shared" ref="U225" si="164">P225-I225</f>
        <v>-1.3922979819486758E-2</v>
      </c>
      <c r="V225" s="58">
        <f t="shared" ref="V225" si="165">Q225-J225</f>
        <v>-3.8715972390103992E-3</v>
      </c>
    </row>
    <row r="226" spans="1:22" ht="14.4" customHeight="1">
      <c r="A226" s="170">
        <v>3</v>
      </c>
      <c r="B226" s="168" t="s">
        <v>310</v>
      </c>
      <c r="C226" s="169" t="s">
        <v>31</v>
      </c>
      <c r="D226" s="29">
        <f>211849.03*1579</f>
        <v>334509618.37</v>
      </c>
      <c r="E226" s="30">
        <f t="shared" si="154"/>
        <v>5.7578472128615287E-3</v>
      </c>
      <c r="F226" s="35">
        <f>101.28*1579</f>
        <v>159921.12</v>
      </c>
      <c r="G226" s="35">
        <f>101.28*1579</f>
        <v>159921.12</v>
      </c>
      <c r="H226" s="32">
        <v>3</v>
      </c>
      <c r="I226" s="50">
        <v>1.2999999999999999E-3</v>
      </c>
      <c r="J226" s="50">
        <v>1.2800000000000001E-2</v>
      </c>
      <c r="K226" s="29">
        <f>352107.93*1585.5</f>
        <v>558267123.01499999</v>
      </c>
      <c r="L226" s="30">
        <f>(K226/$K$229)</f>
        <v>3.2414818953676511E-2</v>
      </c>
      <c r="M226" s="35">
        <f>101.39*1585.5</f>
        <v>160753.845</v>
      </c>
      <c r="N226" s="35">
        <f>101.39*1585.5</f>
        <v>160753.845</v>
      </c>
      <c r="O226" s="32">
        <v>0</v>
      </c>
      <c r="P226" s="50">
        <v>1.1000000000000001E-3</v>
      </c>
      <c r="Q226" s="50">
        <v>1.3899999999999999E-2</v>
      </c>
      <c r="R226" s="57">
        <f t="shared" ref="R226:R227" si="166">((K226-D226)/D226)</f>
        <v>0.66891202033390418</v>
      </c>
      <c r="S226" s="57">
        <f t="shared" ref="S226:S227" si="167">((N226-G226)/G226)</f>
        <v>5.2070983494863334E-3</v>
      </c>
      <c r="T226" s="57">
        <f t="shared" ref="T226:T227" si="168">((O226-H226)/H226)</f>
        <v>-1</v>
      </c>
      <c r="U226" s="57">
        <f t="shared" ref="U226:U227" si="169">P226-I226</f>
        <v>-1.9999999999999987E-4</v>
      </c>
      <c r="V226" s="58">
        <f t="shared" ref="V226:V227" si="170">Q226-J226</f>
        <v>1.0999999999999985E-3</v>
      </c>
    </row>
    <row r="227" spans="1:22" ht="14.4" customHeight="1">
      <c r="A227" s="170">
        <v>4</v>
      </c>
      <c r="B227" s="168" t="s">
        <v>297</v>
      </c>
      <c r="C227" s="169" t="s">
        <v>41</v>
      </c>
      <c r="D227" s="29">
        <v>10925967615.43</v>
      </c>
      <c r="E227" s="30">
        <f t="shared" si="154"/>
        <v>0.1880664971275485</v>
      </c>
      <c r="F227" s="35">
        <v>1.5</v>
      </c>
      <c r="G227" s="35">
        <v>1.05</v>
      </c>
      <c r="H227" s="32">
        <v>16</v>
      </c>
      <c r="I227" s="50">
        <v>1.0800000000000001E-2</v>
      </c>
      <c r="J227" s="50">
        <v>1.5599999999999999E-2</v>
      </c>
      <c r="K227" s="29">
        <v>10968266312.540001</v>
      </c>
      <c r="L227" s="30">
        <f>(K227/$K$229)</f>
        <v>0.6368534919924711</v>
      </c>
      <c r="M227" s="35">
        <v>1.05</v>
      </c>
      <c r="N227" s="35">
        <v>1.05</v>
      </c>
      <c r="O227" s="32">
        <v>16</v>
      </c>
      <c r="P227" s="50">
        <v>3.8999999999999998E-3</v>
      </c>
      <c r="Q227" s="50">
        <v>2.4400000000000002E-2</v>
      </c>
      <c r="R227" s="57">
        <f t="shared" si="166"/>
        <v>3.8713914042967728E-3</v>
      </c>
      <c r="S227" s="57">
        <f t="shared" si="167"/>
        <v>0</v>
      </c>
      <c r="T227" s="57">
        <f t="shared" si="168"/>
        <v>0</v>
      </c>
      <c r="U227" s="57">
        <f t="shared" si="169"/>
        <v>-6.9000000000000008E-3</v>
      </c>
      <c r="V227" s="58">
        <f t="shared" si="170"/>
        <v>8.8000000000000023E-3</v>
      </c>
    </row>
    <row r="228" spans="1:22" ht="14.4" customHeight="1">
      <c r="A228" s="170">
        <v>5</v>
      </c>
      <c r="B228" s="168" t="s">
        <v>321</v>
      </c>
      <c r="C228" s="169" t="s">
        <v>52</v>
      </c>
      <c r="D228" s="29">
        <v>0</v>
      </c>
      <c r="E228" s="30">
        <f t="shared" ref="E228" si="171">(D228/$D$220)</f>
        <v>0</v>
      </c>
      <c r="F228" s="35">
        <v>0</v>
      </c>
      <c r="G228" s="35">
        <v>0</v>
      </c>
      <c r="H228" s="32">
        <v>0</v>
      </c>
      <c r="I228" s="50">
        <v>0</v>
      </c>
      <c r="J228" s="50">
        <v>0</v>
      </c>
      <c r="K228" s="29">
        <v>100104587.45999999</v>
      </c>
      <c r="L228" s="30">
        <f>(K228/$K$229)</f>
        <v>5.8124004534316626E-3</v>
      </c>
      <c r="M228" s="35">
        <v>1</v>
      </c>
      <c r="N228" s="35">
        <v>1</v>
      </c>
      <c r="O228" s="32">
        <v>9</v>
      </c>
      <c r="P228" s="50">
        <v>3.0000000000000001E-3</v>
      </c>
      <c r="Q228" s="50">
        <v>3.0000000000000001E-3</v>
      </c>
      <c r="R228" s="57" t="e">
        <f t="shared" ref="R228:R229" si="172">((K228-D228)/D228)</f>
        <v>#DIV/0!</v>
      </c>
      <c r="S228" s="57" t="e">
        <f t="shared" ref="S228" si="173">((N228-G228)/G228)</f>
        <v>#DIV/0!</v>
      </c>
      <c r="T228" s="57" t="e">
        <f t="shared" ref="T228" si="174">((O228-H228)/H228)</f>
        <v>#DIV/0!</v>
      </c>
      <c r="U228" s="57">
        <f t="shared" ref="U228" si="175">P228-I228</f>
        <v>3.0000000000000001E-3</v>
      </c>
      <c r="V228" s="58">
        <f t="shared" ref="V228" si="176">Q228-J228</f>
        <v>3.0000000000000001E-3</v>
      </c>
    </row>
    <row r="229" spans="1:22" ht="14.4" customHeight="1">
      <c r="A229" s="90"/>
      <c r="B229" s="90"/>
      <c r="C229" s="90" t="s">
        <v>53</v>
      </c>
      <c r="D229" s="90">
        <f>SUM(D224:D228)</f>
        <v>16666668143.669899</v>
      </c>
      <c r="E229" s="90"/>
      <c r="F229" s="90"/>
      <c r="G229" s="90"/>
      <c r="H229" s="90">
        <f>SUM(H224:H228)</f>
        <v>48</v>
      </c>
      <c r="I229" s="90"/>
      <c r="J229" s="90"/>
      <c r="K229" s="90">
        <f>SUM(K224:K228)</f>
        <v>17222589575.860672</v>
      </c>
      <c r="L229" s="40"/>
      <c r="M229" s="90"/>
      <c r="N229" s="90"/>
      <c r="O229" s="90">
        <f>SUM(O224:O228)</f>
        <v>61</v>
      </c>
      <c r="P229" s="90"/>
      <c r="Q229" s="90"/>
      <c r="R229" s="118">
        <f t="shared" si="172"/>
        <v>3.3355282975494734E-2</v>
      </c>
      <c r="S229" s="90"/>
      <c r="T229" s="90"/>
      <c r="U229" s="90"/>
      <c r="V229" s="90"/>
    </row>
    <row r="230" spans="1:22" ht="6" customHeight="1">
      <c r="A230" s="36"/>
      <c r="B230" s="133"/>
      <c r="C230" s="71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37"/>
    </row>
    <row r="231" spans="1:22" ht="15.6">
      <c r="A231" s="183" t="s">
        <v>249</v>
      </c>
      <c r="B231" s="183"/>
      <c r="C231" s="183"/>
      <c r="D231" s="183"/>
      <c r="E231" s="183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</row>
    <row r="232" spans="1:22">
      <c r="A232" s="170">
        <v>1</v>
      </c>
      <c r="B232" s="168" t="s">
        <v>250</v>
      </c>
      <c r="C232" s="169" t="s">
        <v>251</v>
      </c>
      <c r="D232" s="29">
        <v>117431274879</v>
      </c>
      <c r="E232" s="30">
        <f>(D232/$D$234)</f>
        <v>0.89482849189225588</v>
      </c>
      <c r="F232" s="60">
        <v>111.28</v>
      </c>
      <c r="G232" s="60">
        <v>111.28</v>
      </c>
      <c r="H232" s="32">
        <v>0</v>
      </c>
      <c r="I232" s="50">
        <v>0.23899999999999999</v>
      </c>
      <c r="J232" s="50">
        <v>0.23899999999999999</v>
      </c>
      <c r="K232" s="29">
        <v>117431274879</v>
      </c>
      <c r="L232" s="30">
        <f>(K232/$K$234)</f>
        <v>0.89451986638195324</v>
      </c>
      <c r="M232" s="60">
        <v>111.28</v>
      </c>
      <c r="N232" s="60">
        <v>111.28</v>
      </c>
      <c r="O232" s="32">
        <v>0</v>
      </c>
      <c r="P232" s="50">
        <v>0.23899999999999999</v>
      </c>
      <c r="Q232" s="50">
        <v>0.23899999999999999</v>
      </c>
      <c r="R232" s="57">
        <f>((K232-D232)/D232)</f>
        <v>0</v>
      </c>
      <c r="S232" s="57">
        <f>((N232-G232)/G232)</f>
        <v>0</v>
      </c>
      <c r="T232" s="57" t="e">
        <f>((O232-H232)/H232)</f>
        <v>#DIV/0!</v>
      </c>
      <c r="U232" s="57">
        <f>P232-I232</f>
        <v>0</v>
      </c>
      <c r="V232" s="58">
        <f>Q232-J232</f>
        <v>0</v>
      </c>
    </row>
    <row r="233" spans="1:22" ht="14.4" customHeight="1">
      <c r="A233" s="170">
        <v>2</v>
      </c>
      <c r="B233" s="168" t="s">
        <v>252</v>
      </c>
      <c r="C233" s="169" t="s">
        <v>52</v>
      </c>
      <c r="D233" s="29">
        <v>13802001601.360001</v>
      </c>
      <c r="E233" s="30">
        <f>(D233/$D$234)</f>
        <v>0.10517150810774406</v>
      </c>
      <c r="F233" s="91">
        <v>1000000</v>
      </c>
      <c r="G233" s="91">
        <v>1000000</v>
      </c>
      <c r="H233" s="32">
        <v>26</v>
      </c>
      <c r="I233" s="50">
        <v>0.22259999999999999</v>
      </c>
      <c r="J233" s="50">
        <v>0.22259999999999999</v>
      </c>
      <c r="K233" s="29">
        <v>13847279452.02</v>
      </c>
      <c r="L233" s="30">
        <f>(K233/$K$234)</f>
        <v>0.10548013361804676</v>
      </c>
      <c r="M233" s="91">
        <v>1000000</v>
      </c>
      <c r="N233" s="91">
        <v>1000000</v>
      </c>
      <c r="O233" s="32">
        <v>26</v>
      </c>
      <c r="P233" s="50">
        <v>0.221</v>
      </c>
      <c r="Q233" s="50">
        <v>0.221</v>
      </c>
      <c r="R233" s="57">
        <f>((K233-D233)/D233)</f>
        <v>3.2805278515210669E-3</v>
      </c>
      <c r="S233" s="57">
        <f>((N233-G233)/G233)</f>
        <v>0</v>
      </c>
      <c r="T233" s="57">
        <f>((O233-H233)/H233)</f>
        <v>0</v>
      </c>
      <c r="U233" s="57">
        <f>P233-I233</f>
        <v>-1.5999999999999903E-3</v>
      </c>
      <c r="V233" s="58">
        <f>Q233-J233</f>
        <v>-1.5999999999999903E-3</v>
      </c>
    </row>
    <row r="234" spans="1:22" ht="15" customHeight="1">
      <c r="A234" s="85"/>
      <c r="B234" s="85"/>
      <c r="C234" s="86" t="s">
        <v>253</v>
      </c>
      <c r="D234" s="90">
        <f>SUM(D232:D233)</f>
        <v>131233276480.36</v>
      </c>
      <c r="E234" s="92"/>
      <c r="F234" s="93"/>
      <c r="G234" s="93"/>
      <c r="H234" s="90">
        <f>SUM(H232:H233)</f>
        <v>26</v>
      </c>
      <c r="I234" s="113"/>
      <c r="J234" s="113"/>
      <c r="K234" s="90">
        <f>SUM(K232:K233)</f>
        <v>131278554331.02</v>
      </c>
      <c r="L234" s="92"/>
      <c r="M234" s="93"/>
      <c r="N234" s="93"/>
      <c r="O234" s="90">
        <f>SUM(O232:O233)</f>
        <v>26</v>
      </c>
      <c r="P234" s="113"/>
      <c r="Q234" s="90"/>
      <c r="R234" s="118">
        <f>((K234-D234)/D234)</f>
        <v>3.4501806153395718E-4</v>
      </c>
      <c r="S234" s="119"/>
      <c r="T234" s="119"/>
      <c r="U234" s="118"/>
      <c r="V234" s="120"/>
    </row>
    <row r="235" spans="1:22" ht="4.5" customHeight="1">
      <c r="A235" s="36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</row>
    <row r="236" spans="1:22" ht="15.6">
      <c r="A236" s="183" t="s">
        <v>254</v>
      </c>
      <c r="B236" s="183"/>
      <c r="C236" s="183"/>
      <c r="D236" s="183"/>
      <c r="E236" s="183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</row>
    <row r="237" spans="1:22">
      <c r="A237" s="170">
        <v>1</v>
      </c>
      <c r="B237" s="168" t="s">
        <v>255</v>
      </c>
      <c r="C237" s="169" t="s">
        <v>80</v>
      </c>
      <c r="D237" s="94">
        <v>1038952990.92</v>
      </c>
      <c r="E237" s="95">
        <f t="shared" ref="E237:E248" si="177">(D237/$D$249)</f>
        <v>7.6539618480967603E-2</v>
      </c>
      <c r="F237" s="91">
        <v>253.86</v>
      </c>
      <c r="G237" s="91">
        <v>253.68</v>
      </c>
      <c r="H237" s="96">
        <v>266</v>
      </c>
      <c r="I237" s="52">
        <v>-2.8697053229772562E-3</v>
      </c>
      <c r="J237" s="52">
        <v>4.1099999999999998E-2</v>
      </c>
      <c r="K237" s="94">
        <v>1065100121.0599999</v>
      </c>
      <c r="L237" s="95">
        <f t="shared" ref="L237:L248" si="178">(K237/$K$249)</f>
        <v>7.7951791583658225E-2</v>
      </c>
      <c r="M237" s="91">
        <v>260.25</v>
      </c>
      <c r="N237" s="91">
        <v>260.25</v>
      </c>
      <c r="O237" s="96">
        <v>266</v>
      </c>
      <c r="P237" s="52">
        <v>2.5302000000000002E-2</v>
      </c>
      <c r="Q237" s="52">
        <v>6.7348000000000005E-2</v>
      </c>
      <c r="R237" s="57">
        <f>((K237-D237)/D237)</f>
        <v>2.5166807707869943E-2</v>
      </c>
      <c r="S237" s="57">
        <f>((N237-G237)/G237)</f>
        <v>2.5898770104068089E-2</v>
      </c>
      <c r="T237" s="57">
        <f>((O237-H237)/H237)</f>
        <v>0</v>
      </c>
      <c r="U237" s="57">
        <f>P237-I237</f>
        <v>2.8171705322977258E-2</v>
      </c>
      <c r="V237" s="58">
        <f>Q237-J237</f>
        <v>2.6248000000000007E-2</v>
      </c>
    </row>
    <row r="238" spans="1:22">
      <c r="A238" s="170">
        <v>2</v>
      </c>
      <c r="B238" s="168" t="s">
        <v>256</v>
      </c>
      <c r="C238" s="169" t="s">
        <v>228</v>
      </c>
      <c r="D238" s="94">
        <v>1197827594.27</v>
      </c>
      <c r="E238" s="95">
        <f t="shared" si="177"/>
        <v>8.8243903114631456E-2</v>
      </c>
      <c r="F238" s="91">
        <v>34.07</v>
      </c>
      <c r="G238" s="91">
        <v>37.659999999999997</v>
      </c>
      <c r="H238" s="96">
        <v>213</v>
      </c>
      <c r="I238" s="52">
        <v>-5.1000000000000004E-3</v>
      </c>
      <c r="J238" s="52">
        <v>0.1113</v>
      </c>
      <c r="K238" s="94">
        <v>1281359985.23</v>
      </c>
      <c r="L238" s="95">
        <f t="shared" si="178"/>
        <v>9.3779265007389478E-2</v>
      </c>
      <c r="M238" s="91">
        <v>36.450000000000003</v>
      </c>
      <c r="N238" s="91">
        <v>40.28</v>
      </c>
      <c r="O238" s="96">
        <v>213</v>
      </c>
      <c r="P238" s="52">
        <v>6.9699999999999998E-2</v>
      </c>
      <c r="Q238" s="52">
        <v>0.19120000000000001</v>
      </c>
      <c r="R238" s="57">
        <f t="shared" ref="R238:R249" si="179">((K238-D238)/D238)</f>
        <v>6.9736572574876879E-2</v>
      </c>
      <c r="S238" s="57">
        <f t="shared" ref="S238:S249" si="180">((N238-G238)/G238)</f>
        <v>6.9569835369092003E-2</v>
      </c>
      <c r="T238" s="57">
        <f t="shared" ref="T238:T249" si="181">((O238-H238)/H238)</f>
        <v>0</v>
      </c>
      <c r="U238" s="57">
        <f t="shared" ref="U238:U249" si="182">P238-I238</f>
        <v>7.4800000000000005E-2</v>
      </c>
      <c r="V238" s="58">
        <f t="shared" ref="V238:V249" si="183">Q238-J238</f>
        <v>7.9900000000000013E-2</v>
      </c>
    </row>
    <row r="239" spans="1:22">
      <c r="A239" s="170">
        <v>3</v>
      </c>
      <c r="B239" s="168" t="s">
        <v>257</v>
      </c>
      <c r="C239" s="169" t="s">
        <v>43</v>
      </c>
      <c r="D239" s="94">
        <v>419158997.19</v>
      </c>
      <c r="E239" s="95">
        <f t="shared" si="177"/>
        <v>3.0879423812408009E-2</v>
      </c>
      <c r="F239" s="91">
        <v>31.273771</v>
      </c>
      <c r="G239" s="91">
        <v>31.581188999999998</v>
      </c>
      <c r="H239" s="96">
        <v>167</v>
      </c>
      <c r="I239" s="52">
        <v>-5.7913116988695945E-3</v>
      </c>
      <c r="J239" s="52">
        <v>9.3584573664404092E-2</v>
      </c>
      <c r="K239" s="94">
        <v>419499070.03000003</v>
      </c>
      <c r="L239" s="95">
        <f t="shared" si="178"/>
        <v>3.0702000149969839E-2</v>
      </c>
      <c r="M239" s="91">
        <v>31.299139</v>
      </c>
      <c r="N239" s="91">
        <v>31.614625</v>
      </c>
      <c r="O239" s="96">
        <v>167</v>
      </c>
      <c r="P239" s="52">
        <v>8.113218188798843E-4</v>
      </c>
      <c r="Q239" s="52">
        <v>8.113218188798843E-4</v>
      </c>
      <c r="R239" s="57">
        <f t="shared" si="179"/>
        <v>8.1132181887982294E-4</v>
      </c>
      <c r="S239" s="57">
        <f t="shared" si="180"/>
        <v>1.058731512610301E-3</v>
      </c>
      <c r="T239" s="57">
        <f t="shared" si="181"/>
        <v>0</v>
      </c>
      <c r="U239" s="57">
        <f t="shared" si="182"/>
        <v>6.6026335177494788E-3</v>
      </c>
      <c r="V239" s="58">
        <f t="shared" si="183"/>
        <v>-9.2773251845524207E-2</v>
      </c>
    </row>
    <row r="240" spans="1:22">
      <c r="A240" s="170">
        <v>4</v>
      </c>
      <c r="B240" s="168" t="s">
        <v>258</v>
      </c>
      <c r="C240" s="169" t="s">
        <v>43</v>
      </c>
      <c r="D240" s="94">
        <v>909927299.40999997</v>
      </c>
      <c r="E240" s="95">
        <f t="shared" si="177"/>
        <v>6.7034301793180276E-2</v>
      </c>
      <c r="F240" s="91">
        <v>68.279591999999994</v>
      </c>
      <c r="G240" s="91">
        <v>68.636688000000007</v>
      </c>
      <c r="H240" s="96">
        <v>460</v>
      </c>
      <c r="I240" s="52">
        <v>9.3318540763827063E-3</v>
      </c>
      <c r="J240" s="52">
        <v>2.9265092224683542E-2</v>
      </c>
      <c r="K240" s="94">
        <v>875943253.06999993</v>
      </c>
      <c r="L240" s="95">
        <f t="shared" si="178"/>
        <v>6.4107913004901221E-2</v>
      </c>
      <c r="M240" s="91">
        <v>65.729471000000004</v>
      </c>
      <c r="N240" s="91">
        <v>66.093299999999999</v>
      </c>
      <c r="O240" s="96">
        <v>460</v>
      </c>
      <c r="P240" s="52">
        <v>-3.734808963533176E-2</v>
      </c>
      <c r="Q240" s="52">
        <v>-9.1759926982418749E-3</v>
      </c>
      <c r="R240" s="57">
        <f t="shared" si="179"/>
        <v>-3.7348089635331753E-2</v>
      </c>
      <c r="S240" s="57">
        <f t="shared" si="180"/>
        <v>-3.7055808986587564E-2</v>
      </c>
      <c r="T240" s="57">
        <f t="shared" si="181"/>
        <v>0</v>
      </c>
      <c r="U240" s="57">
        <f t="shared" si="182"/>
        <v>-4.6679943711714467E-2</v>
      </c>
      <c r="V240" s="58">
        <f t="shared" si="183"/>
        <v>-3.8441084922925417E-2</v>
      </c>
    </row>
    <row r="241" spans="1:26">
      <c r="A241" s="170">
        <v>5</v>
      </c>
      <c r="B241" s="168" t="s">
        <v>259</v>
      </c>
      <c r="C241" s="169" t="s">
        <v>260</v>
      </c>
      <c r="D241" s="94">
        <v>1652423040.97</v>
      </c>
      <c r="E241" s="95">
        <f t="shared" si="177"/>
        <v>0.12173392851298198</v>
      </c>
      <c r="F241" s="91">
        <v>47920</v>
      </c>
      <c r="G241" s="91">
        <v>50450</v>
      </c>
      <c r="H241" s="96">
        <v>236</v>
      </c>
      <c r="I241" s="52">
        <v>3.9E-2</v>
      </c>
      <c r="J241" s="52">
        <v>0.31</v>
      </c>
      <c r="K241" s="94">
        <v>1625293727.45</v>
      </c>
      <c r="L241" s="95">
        <f t="shared" si="178"/>
        <v>0.11895084358672454</v>
      </c>
      <c r="M241" s="91">
        <v>47712</v>
      </c>
      <c r="N241" s="91">
        <v>50580</v>
      </c>
      <c r="O241" s="96">
        <v>236</v>
      </c>
      <c r="P241" s="52">
        <v>-1.6E-2</v>
      </c>
      <c r="Q241" s="52">
        <v>0.28999999999999998</v>
      </c>
      <c r="R241" s="57">
        <f t="shared" si="179"/>
        <v>-1.6417898351305135E-2</v>
      </c>
      <c r="S241" s="57">
        <f t="shared" si="180"/>
        <v>2.5768087215064421E-3</v>
      </c>
      <c r="T241" s="57">
        <f t="shared" si="181"/>
        <v>0</v>
      </c>
      <c r="U241" s="57">
        <f t="shared" si="182"/>
        <v>-5.5E-2</v>
      </c>
      <c r="V241" s="58">
        <f t="shared" si="183"/>
        <v>-2.0000000000000018E-2</v>
      </c>
    </row>
    <row r="242" spans="1:26">
      <c r="A242" s="170">
        <v>6</v>
      </c>
      <c r="B242" s="168" t="s">
        <v>261</v>
      </c>
      <c r="C242" s="169" t="s">
        <v>262</v>
      </c>
      <c r="D242" s="94">
        <v>748755381.82000005</v>
      </c>
      <c r="E242" s="95">
        <f t="shared" si="177"/>
        <v>5.5160774126388638E-2</v>
      </c>
      <c r="F242" s="91">
        <v>265</v>
      </c>
      <c r="G242" s="91">
        <v>265</v>
      </c>
      <c r="H242" s="96">
        <v>145</v>
      </c>
      <c r="I242" s="52">
        <v>-6.8999999999999999E-3</v>
      </c>
      <c r="J242" s="52">
        <v>0.14249999999999999</v>
      </c>
      <c r="K242" s="94">
        <v>761056981.24000001</v>
      </c>
      <c r="L242" s="95">
        <f t="shared" si="178"/>
        <v>5.5699698095862477E-2</v>
      </c>
      <c r="M242" s="91">
        <v>291.39999999999998</v>
      </c>
      <c r="N242" s="91">
        <v>291.39999999999998</v>
      </c>
      <c r="O242" s="96">
        <v>144</v>
      </c>
      <c r="P242" s="52">
        <v>1.6400000000000001E-2</v>
      </c>
      <c r="Q242" s="52">
        <v>0.16089999999999999</v>
      </c>
      <c r="R242" s="57">
        <f t="shared" si="179"/>
        <v>1.6429396994915021E-2</v>
      </c>
      <c r="S242" s="57">
        <f t="shared" si="180"/>
        <v>9.9622641509433882E-2</v>
      </c>
      <c r="T242" s="57">
        <f t="shared" si="181"/>
        <v>-6.8965517241379309E-3</v>
      </c>
      <c r="U242" s="57">
        <f t="shared" si="182"/>
        <v>2.3300000000000001E-2</v>
      </c>
      <c r="V242" s="58">
        <f t="shared" si="183"/>
        <v>1.84E-2</v>
      </c>
    </row>
    <row r="243" spans="1:26">
      <c r="A243" s="170">
        <v>7</v>
      </c>
      <c r="B243" s="168" t="s">
        <v>263</v>
      </c>
      <c r="C243" s="169" t="s">
        <v>262</v>
      </c>
      <c r="D243" s="94">
        <v>891370122.91999996</v>
      </c>
      <c r="E243" s="95">
        <f t="shared" si="177"/>
        <v>6.5667195464942235E-2</v>
      </c>
      <c r="F243" s="91">
        <v>260</v>
      </c>
      <c r="G243" s="91">
        <v>260</v>
      </c>
      <c r="H243" s="96">
        <v>645</v>
      </c>
      <c r="I243" s="52">
        <v>-5.3E-3</v>
      </c>
      <c r="J243" s="52">
        <v>6.4399999999999999E-2</v>
      </c>
      <c r="K243" s="94">
        <v>788842040.33000004</v>
      </c>
      <c r="L243" s="95">
        <f t="shared" si="178"/>
        <v>5.7733211276921728E-2</v>
      </c>
      <c r="M243" s="91">
        <v>315</v>
      </c>
      <c r="N243" s="91">
        <v>315</v>
      </c>
      <c r="O243" s="96">
        <v>657</v>
      </c>
      <c r="P243" s="52">
        <v>1.83E-2</v>
      </c>
      <c r="Q243" s="52">
        <v>8.3699999999999997E-2</v>
      </c>
      <c r="R243" s="57">
        <f t="shared" si="179"/>
        <v>-0.11502301900599125</v>
      </c>
      <c r="S243" s="57">
        <f t="shared" si="180"/>
        <v>0.21153846153846154</v>
      </c>
      <c r="T243" s="57">
        <f t="shared" si="181"/>
        <v>1.8604651162790697E-2</v>
      </c>
      <c r="U243" s="57">
        <f t="shared" si="182"/>
        <v>2.3599999999999999E-2</v>
      </c>
      <c r="V243" s="58">
        <f t="shared" si="183"/>
        <v>1.9299999999999998E-2</v>
      </c>
    </row>
    <row r="244" spans="1:26">
      <c r="A244" s="170">
        <v>8</v>
      </c>
      <c r="B244" s="168" t="s">
        <v>264</v>
      </c>
      <c r="C244" s="169" t="s">
        <v>265</v>
      </c>
      <c r="D244" s="94">
        <v>80018013.640000001</v>
      </c>
      <c r="E244" s="95">
        <f t="shared" si="177"/>
        <v>5.894923340263097E-3</v>
      </c>
      <c r="F244" s="91">
        <v>22.88</v>
      </c>
      <c r="G244" s="91">
        <v>22.98</v>
      </c>
      <c r="H244" s="96">
        <v>89</v>
      </c>
      <c r="I244" s="52">
        <v>0</v>
      </c>
      <c r="J244" s="52">
        <v>0.189</v>
      </c>
      <c r="K244" s="94">
        <v>83491518.280000001</v>
      </c>
      <c r="L244" s="95">
        <f t="shared" si="178"/>
        <v>6.1105179722340123E-3</v>
      </c>
      <c r="M244" s="91">
        <v>23.87</v>
      </c>
      <c r="N244" s="91">
        <v>23.97</v>
      </c>
      <c r="O244" s="96">
        <v>90</v>
      </c>
      <c r="P244" s="52">
        <v>8.9999999999999998E-4</v>
      </c>
      <c r="Q244" s="52">
        <v>0.29649999999999999</v>
      </c>
      <c r="R244" s="57">
        <f t="shared" si="179"/>
        <v>4.3409033566207386E-2</v>
      </c>
      <c r="S244" s="57">
        <f t="shared" si="180"/>
        <v>4.308093994778061E-2</v>
      </c>
      <c r="T244" s="57">
        <f t="shared" si="181"/>
        <v>1.1235955056179775E-2</v>
      </c>
      <c r="U244" s="57">
        <f t="shared" si="182"/>
        <v>8.9999999999999998E-4</v>
      </c>
      <c r="V244" s="58">
        <f t="shared" si="183"/>
        <v>0.10749999999999998</v>
      </c>
    </row>
    <row r="245" spans="1:26">
      <c r="A245" s="170">
        <v>9</v>
      </c>
      <c r="B245" s="168" t="s">
        <v>266</v>
      </c>
      <c r="C245" s="169" t="s">
        <v>265</v>
      </c>
      <c r="D245" s="97">
        <v>747936083.89999998</v>
      </c>
      <c r="E245" s="95">
        <f t="shared" si="177"/>
        <v>5.5100416486758071E-2</v>
      </c>
      <c r="F245" s="91">
        <v>11.51</v>
      </c>
      <c r="G245" s="91">
        <v>11.61</v>
      </c>
      <c r="H245" s="96">
        <v>131</v>
      </c>
      <c r="I245" s="52">
        <v>1.6899999999999998E-2</v>
      </c>
      <c r="J245" s="52">
        <v>0.1009</v>
      </c>
      <c r="K245" s="97">
        <v>751445385.89999998</v>
      </c>
      <c r="L245" s="95">
        <f t="shared" si="178"/>
        <v>5.4996251479046313E-2</v>
      </c>
      <c r="M245" s="91">
        <v>11.59</v>
      </c>
      <c r="N245" s="91">
        <v>11.69</v>
      </c>
      <c r="O245" s="96">
        <v>131</v>
      </c>
      <c r="P245" s="52">
        <v>0</v>
      </c>
      <c r="Q245" s="52">
        <v>0.1009</v>
      </c>
      <c r="R245" s="57">
        <f t="shared" si="179"/>
        <v>4.691981140555853E-3</v>
      </c>
      <c r="S245" s="57">
        <f t="shared" si="180"/>
        <v>6.8906115417743385E-3</v>
      </c>
      <c r="T245" s="57">
        <f t="shared" si="181"/>
        <v>0</v>
      </c>
      <c r="U245" s="57">
        <f t="shared" si="182"/>
        <v>-1.6899999999999998E-2</v>
      </c>
      <c r="V245" s="58">
        <f t="shared" si="183"/>
        <v>0</v>
      </c>
    </row>
    <row r="246" spans="1:26" ht="15" customHeight="1">
      <c r="A246" s="170">
        <v>10</v>
      </c>
      <c r="B246" s="168" t="s">
        <v>267</v>
      </c>
      <c r="C246" s="169" t="s">
        <v>265</v>
      </c>
      <c r="D246" s="94">
        <v>96297543.890000001</v>
      </c>
      <c r="E246" s="95">
        <f t="shared" si="177"/>
        <v>7.0942355760178679E-3</v>
      </c>
      <c r="F246" s="91">
        <v>131.62</v>
      </c>
      <c r="G246" s="91">
        <v>133.62</v>
      </c>
      <c r="H246" s="96">
        <v>308</v>
      </c>
      <c r="I246" s="52">
        <v>0.1527</v>
      </c>
      <c r="J246" s="52">
        <v>0.29959999999999998</v>
      </c>
      <c r="K246" s="94">
        <v>96459225.989999995</v>
      </c>
      <c r="L246" s="95">
        <f t="shared" si="178"/>
        <v>7.0595893588015976E-3</v>
      </c>
      <c r="M246" s="91">
        <v>131.85</v>
      </c>
      <c r="N246" s="91">
        <v>133.85</v>
      </c>
      <c r="O246" s="96">
        <v>307</v>
      </c>
      <c r="P246" s="52">
        <v>1.2999999999999999E-3</v>
      </c>
      <c r="Q246" s="52">
        <v>0.46339999999999998</v>
      </c>
      <c r="R246" s="57">
        <f t="shared" si="179"/>
        <v>1.6789846705195549E-3</v>
      </c>
      <c r="S246" s="57">
        <f t="shared" si="180"/>
        <v>1.7212992067055064E-3</v>
      </c>
      <c r="T246" s="57">
        <f t="shared" si="181"/>
        <v>-3.246753246753247E-3</v>
      </c>
      <c r="U246" s="57">
        <f t="shared" si="182"/>
        <v>-0.15140000000000001</v>
      </c>
      <c r="V246" s="58">
        <f t="shared" si="183"/>
        <v>0.1638</v>
      </c>
    </row>
    <row r="247" spans="1:26">
      <c r="A247" s="170">
        <v>11</v>
      </c>
      <c r="B247" s="168" t="s">
        <v>268</v>
      </c>
      <c r="C247" s="169" t="s">
        <v>265</v>
      </c>
      <c r="D247" s="94">
        <v>5731160904.6499996</v>
      </c>
      <c r="E247" s="95">
        <f t="shared" si="177"/>
        <v>0.42221435707741783</v>
      </c>
      <c r="F247" s="91">
        <v>40.54</v>
      </c>
      <c r="G247" s="91">
        <v>40.74</v>
      </c>
      <c r="H247" s="96">
        <v>304</v>
      </c>
      <c r="I247" s="52">
        <v>-7.4000000000000003E-3</v>
      </c>
      <c r="J247" s="52">
        <v>6.9099999999999995E-2</v>
      </c>
      <c r="K247" s="94">
        <v>5854560047.5100002</v>
      </c>
      <c r="L247" s="95">
        <f t="shared" si="178"/>
        <v>0.42847938481438125</v>
      </c>
      <c r="M247" s="91">
        <v>41.44</v>
      </c>
      <c r="N247" s="91">
        <v>41.64</v>
      </c>
      <c r="O247" s="96">
        <v>308</v>
      </c>
      <c r="P247" s="52">
        <v>0</v>
      </c>
      <c r="Q247" s="52">
        <v>6.9099999999999995E-2</v>
      </c>
      <c r="R247" s="57">
        <f t="shared" si="179"/>
        <v>2.1531264766948045E-2</v>
      </c>
      <c r="S247" s="57">
        <f t="shared" si="180"/>
        <v>2.2091310751104529E-2</v>
      </c>
      <c r="T247" s="57">
        <f t="shared" si="181"/>
        <v>1.3157894736842105E-2</v>
      </c>
      <c r="U247" s="57">
        <f t="shared" si="182"/>
        <v>7.4000000000000003E-3</v>
      </c>
      <c r="V247" s="58">
        <f t="shared" si="183"/>
        <v>0</v>
      </c>
    </row>
    <row r="248" spans="1:26">
      <c r="A248" s="170">
        <v>12</v>
      </c>
      <c r="B248" s="168" t="s">
        <v>269</v>
      </c>
      <c r="C248" s="169" t="s">
        <v>265</v>
      </c>
      <c r="D248" s="97">
        <v>60227026.163000003</v>
      </c>
      <c r="E248" s="95">
        <f t="shared" si="177"/>
        <v>4.4369222140429147E-3</v>
      </c>
      <c r="F248" s="91">
        <v>34.229999999999997</v>
      </c>
      <c r="G248" s="91">
        <v>34.43</v>
      </c>
      <c r="H248" s="96">
        <v>79</v>
      </c>
      <c r="I248" s="52">
        <v>0</v>
      </c>
      <c r="J248" s="52">
        <v>-3.2300000000000002E-2</v>
      </c>
      <c r="K248" s="97">
        <v>60523263.832999997</v>
      </c>
      <c r="L248" s="95">
        <f t="shared" si="178"/>
        <v>4.4295336701093138E-3</v>
      </c>
      <c r="M248" s="91">
        <v>34.35</v>
      </c>
      <c r="N248" s="91">
        <v>34.549999999999997</v>
      </c>
      <c r="O248" s="96">
        <v>80</v>
      </c>
      <c r="P248" s="52">
        <v>-2.0000000000000001E-4</v>
      </c>
      <c r="Q248" s="52">
        <v>-5.62E-2</v>
      </c>
      <c r="R248" s="57">
        <f t="shared" si="179"/>
        <v>4.9186833365846248E-3</v>
      </c>
      <c r="S248" s="57">
        <f t="shared" si="180"/>
        <v>3.4853325588149126E-3</v>
      </c>
      <c r="T248" s="57">
        <f t="shared" si="181"/>
        <v>1.2658227848101266E-2</v>
      </c>
      <c r="U248" s="57">
        <f t="shared" si="182"/>
        <v>-2.0000000000000001E-4</v>
      </c>
      <c r="V248" s="58">
        <f t="shared" si="183"/>
        <v>-2.3899999999999998E-2</v>
      </c>
    </row>
    <row r="249" spans="1:26">
      <c r="A249" s="129"/>
      <c r="B249" s="129"/>
      <c r="C249" s="130" t="s">
        <v>270</v>
      </c>
      <c r="D249" s="90">
        <f>SUM(D237:D248)</f>
        <v>13574054999.743</v>
      </c>
      <c r="E249" s="92"/>
      <c r="F249" s="92"/>
      <c r="G249" s="93"/>
      <c r="H249" s="90">
        <f>SUM(H237:H248)</f>
        <v>3043</v>
      </c>
      <c r="I249" s="113"/>
      <c r="J249" s="113"/>
      <c r="K249" s="90">
        <f>SUM(K237:K248)</f>
        <v>13663574619.923</v>
      </c>
      <c r="L249" s="92"/>
      <c r="M249" s="92"/>
      <c r="N249" s="93"/>
      <c r="O249" s="90">
        <f>SUM(O237:O248)</f>
        <v>3059</v>
      </c>
      <c r="P249" s="113"/>
      <c r="Q249" s="113"/>
      <c r="R249" s="57">
        <f t="shared" si="179"/>
        <v>6.5949062517939696E-3</v>
      </c>
      <c r="S249" s="57" t="e">
        <f t="shared" si="180"/>
        <v>#DIV/0!</v>
      </c>
      <c r="T249" s="57">
        <f t="shared" si="181"/>
        <v>5.2579691094314825E-3</v>
      </c>
      <c r="U249" s="57">
        <f t="shared" si="182"/>
        <v>0</v>
      </c>
      <c r="V249" s="58">
        <f t="shared" si="183"/>
        <v>0</v>
      </c>
      <c r="Z249" s="65"/>
    </row>
    <row r="250" spans="1:26">
      <c r="A250" s="98"/>
      <c r="B250" s="98"/>
      <c r="C250" s="99" t="s">
        <v>271</v>
      </c>
      <c r="D250" s="100">
        <f>SUM(D221,D229,D234,D249)</f>
        <v>5776213602033.6357</v>
      </c>
      <c r="E250" s="101"/>
      <c r="F250" s="101"/>
      <c r="G250" s="102"/>
      <c r="H250" s="100">
        <f>SUM(H221,H229,H234,H249)</f>
        <v>892409</v>
      </c>
      <c r="I250" s="114"/>
      <c r="J250" s="114"/>
      <c r="K250" s="100">
        <f>SUM(K221,K229,K234,K249)</f>
        <v>5823165840253.3105</v>
      </c>
      <c r="L250" s="101"/>
      <c r="M250" s="101"/>
      <c r="N250" s="100"/>
      <c r="O250" s="100">
        <f>SUM(O221,O229,O234,O249)</f>
        <v>901198</v>
      </c>
      <c r="P250" s="115"/>
      <c r="Q250" s="100"/>
      <c r="R250" s="121"/>
      <c r="S250" s="122"/>
      <c r="T250" s="122"/>
      <c r="U250" s="123"/>
      <c r="V250" s="123"/>
      <c r="Z250" s="65"/>
    </row>
    <row r="251" spans="1:26">
      <c r="A251" s="103" t="s">
        <v>272</v>
      </c>
      <c r="B251" s="127" t="s">
        <v>320</v>
      </c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</row>
    <row r="252" spans="1:26">
      <c r="B252" s="126"/>
    </row>
    <row r="253" spans="1:26">
      <c r="B253" s="126"/>
      <c r="C253" s="105"/>
      <c r="D253" s="106"/>
      <c r="K253" s="106"/>
    </row>
    <row r="254" spans="1:26" ht="15">
      <c r="B254" s="107"/>
      <c r="C254" s="108"/>
      <c r="D254" s="109"/>
      <c r="F254" s="110"/>
      <c r="G254" s="110"/>
      <c r="I254" s="116"/>
      <c r="J254" s="117"/>
    </row>
    <row r="255" spans="1:26">
      <c r="C255" s="126"/>
    </row>
    <row r="257" spans="2:2">
      <c r="B257" s="105"/>
    </row>
  </sheetData>
  <sheetProtection algorithmName="SHA-512" hashValue="O2hLkWfQANgBltZ7tzpVkPsXTQqUmxQbQgjSDiK6V4gVYLuipUFYGrk24eJwks3Qqt8C6ZZAG+8PPuOm28Sd9A==" saltValue="1KnlQEdyaQt/nvzP3M1ANw==" spinCount="100000" sheet="1" objects="1" scenarios="1"/>
  <sortState ref="A150:C177">
    <sortCondition descending="1" ref="A149"/>
  </sortState>
  <mergeCells count="34">
    <mergeCell ref="A223:V223"/>
    <mergeCell ref="A231:V231"/>
    <mergeCell ref="B235:V235"/>
    <mergeCell ref="A236:V236"/>
    <mergeCell ref="B200:V200"/>
    <mergeCell ref="A201:V201"/>
    <mergeCell ref="B215:V215"/>
    <mergeCell ref="A216:V216"/>
    <mergeCell ref="B222:U222"/>
    <mergeCell ref="B190:V190"/>
    <mergeCell ref="A191:V191"/>
    <mergeCell ref="B195:V195"/>
    <mergeCell ref="A196:V196"/>
    <mergeCell ref="A197:V197"/>
    <mergeCell ref="A131:V131"/>
    <mergeCell ref="B150:V150"/>
    <mergeCell ref="A151:V151"/>
    <mergeCell ref="B159:V159"/>
    <mergeCell ref="A160:V160"/>
    <mergeCell ref="A71:V71"/>
    <mergeCell ref="B110:V110"/>
    <mergeCell ref="A111:V111"/>
    <mergeCell ref="A112:V112"/>
    <mergeCell ref="B130:V130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5 E135" formula="1"/>
    <ignoredError sqref="S158 S25 S69 S109 S149 S189 S194 S220 S249 T232:T233 R49:T49 R135 R124:T124 R45:T45" evalError="1"/>
    <ignoredError sqref="I1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H7" sqref="H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6">
      <c r="A1" s="150"/>
      <c r="B1" s="150"/>
      <c r="C1" s="150"/>
      <c r="D1" s="150"/>
      <c r="E1" s="19"/>
      <c r="F1" s="19"/>
    </row>
    <row r="2" spans="1:6" ht="27.6">
      <c r="A2" s="153" t="s">
        <v>273</v>
      </c>
      <c r="B2" s="154" t="s">
        <v>317</v>
      </c>
      <c r="C2" s="154" t="s">
        <v>322</v>
      </c>
      <c r="D2" s="155"/>
      <c r="E2" s="19"/>
      <c r="F2" s="19"/>
    </row>
    <row r="3" spans="1:6">
      <c r="A3" s="156" t="s">
        <v>17</v>
      </c>
      <c r="B3" s="157">
        <f t="shared" ref="B3:C10" si="0">B13</f>
        <v>41.222274085630005</v>
      </c>
      <c r="C3" s="157">
        <f t="shared" si="0"/>
        <v>41.941704345109997</v>
      </c>
      <c r="D3" s="155"/>
      <c r="E3" s="19"/>
      <c r="F3" s="19"/>
    </row>
    <row r="4" spans="1:6" ht="15.6" customHeight="1">
      <c r="A4" s="153" t="s">
        <v>54</v>
      </c>
      <c r="B4" s="158">
        <f t="shared" si="0"/>
        <v>2955.9248381329608</v>
      </c>
      <c r="C4" s="158">
        <f t="shared" si="0"/>
        <v>2990.6642413624418</v>
      </c>
      <c r="D4" s="155"/>
      <c r="E4" s="19"/>
      <c r="F4" s="19"/>
    </row>
    <row r="5" spans="1:6" ht="16.2" customHeight="1">
      <c r="A5" s="153" t="s">
        <v>274</v>
      </c>
      <c r="B5" s="157">
        <f t="shared" si="0"/>
        <v>209.02576994379046</v>
      </c>
      <c r="C5" s="157">
        <f t="shared" si="0"/>
        <v>209.15974234228909</v>
      </c>
      <c r="D5" s="155"/>
      <c r="E5" s="19"/>
      <c r="F5" s="19"/>
    </row>
    <row r="6" spans="1:6">
      <c r="A6" s="153" t="s">
        <v>154</v>
      </c>
      <c r="B6" s="158">
        <f t="shared" si="0"/>
        <v>1929.0736044407038</v>
      </c>
      <c r="C6" s="158">
        <f t="shared" si="0"/>
        <v>1938.0345043664831</v>
      </c>
      <c r="D6" s="155"/>
      <c r="E6" s="19"/>
      <c r="F6" s="19"/>
    </row>
    <row r="7" spans="1:6">
      <c r="A7" s="153" t="s">
        <v>275</v>
      </c>
      <c r="B7" s="157">
        <f t="shared" si="0"/>
        <v>354.56749831510615</v>
      </c>
      <c r="C7" s="157">
        <f t="shared" si="0"/>
        <v>355.72532905643385</v>
      </c>
      <c r="D7" s="155"/>
      <c r="E7" s="19"/>
      <c r="F7" s="19"/>
    </row>
    <row r="8" spans="1:6">
      <c r="A8" s="153" t="s">
        <v>191</v>
      </c>
      <c r="B8" s="159">
        <f t="shared" si="0"/>
        <v>60.835590634502609</v>
      </c>
      <c r="C8" s="159">
        <f t="shared" si="0"/>
        <v>60.841613029135786</v>
      </c>
      <c r="D8" s="155"/>
      <c r="E8" s="19"/>
      <c r="F8" s="19"/>
    </row>
    <row r="9" spans="1:6">
      <c r="A9" s="153" t="s">
        <v>221</v>
      </c>
      <c r="B9" s="157">
        <f t="shared" si="0"/>
        <v>5.9937269722400002</v>
      </c>
      <c r="C9" s="157">
        <f t="shared" si="0"/>
        <v>5.9926659787999998</v>
      </c>
      <c r="D9" s="155"/>
      <c r="E9" s="19"/>
      <c r="F9" s="19"/>
    </row>
    <row r="10" spans="1:6">
      <c r="A10" s="153" t="s">
        <v>276</v>
      </c>
      <c r="B10" s="157">
        <f t="shared" si="0"/>
        <v>58.096299884927959</v>
      </c>
      <c r="C10" s="157">
        <f t="shared" si="0"/>
        <v>58.641321245814737</v>
      </c>
      <c r="D10" s="155"/>
      <c r="E10" s="19"/>
      <c r="F10" s="19"/>
    </row>
    <row r="11" spans="1:6">
      <c r="A11" s="153"/>
      <c r="B11" s="157"/>
      <c r="C11" s="157"/>
      <c r="D11" s="155"/>
      <c r="E11" s="19"/>
      <c r="F11" s="19"/>
    </row>
    <row r="12" spans="1:6">
      <c r="A12" s="150"/>
      <c r="B12" s="150"/>
      <c r="C12" s="150"/>
      <c r="D12" s="150"/>
      <c r="E12" s="19"/>
      <c r="F12" s="19"/>
    </row>
    <row r="13" spans="1:6">
      <c r="A13" s="160" t="s">
        <v>17</v>
      </c>
      <c r="B13" s="161">
        <f>'Weekly Valuation'!D25/1000000000</f>
        <v>41.222274085630005</v>
      </c>
      <c r="C13" s="162">
        <f>'Weekly Valuation'!K25/1000000000</f>
        <v>41.941704345109997</v>
      </c>
      <c r="D13" s="150"/>
      <c r="E13" s="19"/>
      <c r="F13" s="19"/>
    </row>
    <row r="14" spans="1:6">
      <c r="A14" s="163" t="s">
        <v>54</v>
      </c>
      <c r="B14" s="161">
        <f>'Weekly Valuation'!D69/1000000000</f>
        <v>2955.9248381329608</v>
      </c>
      <c r="C14" s="164">
        <f>'Weekly Valuation'!K69/1000000000</f>
        <v>2990.6642413624418</v>
      </c>
      <c r="D14" s="150"/>
      <c r="E14" s="19"/>
      <c r="F14" s="19"/>
    </row>
    <row r="15" spans="1:6">
      <c r="A15" s="163" t="s">
        <v>274</v>
      </c>
      <c r="B15" s="161">
        <f>'Weekly Valuation'!D109/1000000000</f>
        <v>209.02576994379046</v>
      </c>
      <c r="C15" s="162">
        <f>'Weekly Valuation'!K109/1000000000</f>
        <v>209.15974234228909</v>
      </c>
      <c r="D15" s="150"/>
      <c r="E15" s="19"/>
      <c r="F15" s="19"/>
    </row>
    <row r="16" spans="1:6">
      <c r="A16" s="163" t="s">
        <v>154</v>
      </c>
      <c r="B16" s="161">
        <f>'Weekly Valuation'!D149/1000000000</f>
        <v>1929.0736044407038</v>
      </c>
      <c r="C16" s="164">
        <f>'Weekly Valuation'!K149/1000000000</f>
        <v>1938.0345043664831</v>
      </c>
      <c r="D16" s="150"/>
      <c r="E16" s="19"/>
      <c r="F16" s="19"/>
    </row>
    <row r="17" spans="1:6">
      <c r="A17" s="163" t="s">
        <v>275</v>
      </c>
      <c r="B17" s="161">
        <f>'Weekly Valuation'!D158/1000000000</f>
        <v>354.56749831510615</v>
      </c>
      <c r="C17" s="162">
        <f>'Weekly Valuation'!K158/1000000000</f>
        <v>355.72532905643385</v>
      </c>
      <c r="D17" s="150"/>
      <c r="E17" s="19"/>
      <c r="F17" s="19"/>
    </row>
    <row r="18" spans="1:6">
      <c r="A18" s="163" t="s">
        <v>191</v>
      </c>
      <c r="B18" s="161">
        <f>'Weekly Valuation'!D189/1000000000</f>
        <v>60.835590634502609</v>
      </c>
      <c r="C18" s="165">
        <f>'Weekly Valuation'!K189/1000000000</f>
        <v>60.841613029135786</v>
      </c>
      <c r="D18" s="150"/>
      <c r="E18" s="19"/>
      <c r="F18" s="19"/>
    </row>
    <row r="19" spans="1:6">
      <c r="A19" s="163" t="s">
        <v>221</v>
      </c>
      <c r="B19" s="161">
        <f>'Weekly Valuation'!D194/1000000000</f>
        <v>5.9937269722400002</v>
      </c>
      <c r="C19" s="162">
        <f>'Weekly Valuation'!K194/1000000000</f>
        <v>5.9926659787999998</v>
      </c>
      <c r="D19" s="150"/>
      <c r="E19" s="19"/>
      <c r="F19" s="19"/>
    </row>
    <row r="20" spans="1:6">
      <c r="A20" s="163" t="s">
        <v>276</v>
      </c>
      <c r="B20" s="161">
        <f>'Weekly Valuation'!D220/1000000000</f>
        <v>58.096299884927959</v>
      </c>
      <c r="C20" s="162">
        <f>'Weekly Valuation'!K220/1000000000</f>
        <v>58.641321245814737</v>
      </c>
      <c r="D20" s="150"/>
      <c r="E20" s="19"/>
      <c r="F20" s="19"/>
    </row>
    <row r="21" spans="1:6">
      <c r="A21" s="146"/>
      <c r="B21" s="150"/>
      <c r="C21" s="149"/>
      <c r="D21" s="150"/>
      <c r="E21" s="19"/>
      <c r="F21" s="19"/>
    </row>
    <row r="22" spans="1:6">
      <c r="A22" s="146"/>
      <c r="B22" s="150"/>
      <c r="C22" s="147"/>
      <c r="D22" s="150"/>
      <c r="E22" s="19"/>
      <c r="F22" s="19"/>
    </row>
    <row r="23" spans="1:6">
      <c r="A23" s="166"/>
      <c r="B23" s="152"/>
      <c r="C23" s="148"/>
      <c r="D23" s="19"/>
      <c r="E23" s="19"/>
      <c r="F23" s="19"/>
    </row>
    <row r="24" spans="1:6">
      <c r="A24" s="166"/>
      <c r="B24" s="152"/>
      <c r="C24" s="152"/>
      <c r="D24" s="19"/>
      <c r="E24" s="19"/>
      <c r="F24" s="19"/>
    </row>
    <row r="25" spans="1:6">
      <c r="A25" s="21"/>
      <c r="B25" s="22"/>
      <c r="C25" s="22"/>
      <c r="D25" s="15"/>
      <c r="E25" s="15"/>
      <c r="F25" s="15"/>
    </row>
    <row r="26" spans="1:6">
      <c r="A26" s="21"/>
      <c r="B26" s="22"/>
      <c r="C26" s="22"/>
      <c r="D26" s="15"/>
      <c r="E26" s="15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r4mIX+/dWT+ksgNSoJyLk0gyfqdP000gzE3jfNsYrNmrD/ytXMxVHsrlYF4QBp7p3zpmi0miuQ/J59hSX8DeDg==" saltValue="L3sKm8sbJ5uBshaz7Q9NX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1" sqref="J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4" t="s">
        <v>273</v>
      </c>
      <c r="B1" s="145">
        <v>45807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6" t="s">
        <v>221</v>
      </c>
      <c r="B2" s="147">
        <f>'Weekly Valuation'!K194</f>
        <v>5992665978.8000002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6" t="s">
        <v>17</v>
      </c>
      <c r="B3" s="147">
        <f>'Weekly Valuation'!K25</f>
        <v>41941704345.110001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6" t="s">
        <v>276</v>
      </c>
      <c r="B4" s="148">
        <f>'Weekly Valuation'!K220</f>
        <v>58641321245.814735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6" t="s">
        <v>191</v>
      </c>
      <c r="B5" s="147">
        <f>'Weekly Valuation'!K189</f>
        <v>60841613029.135788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6" t="s">
        <v>275</v>
      </c>
      <c r="B6" s="147">
        <f>'Weekly Valuation'!K158</f>
        <v>355725329056.43384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6" t="s">
        <v>274</v>
      </c>
      <c r="B7" s="147">
        <f>'Weekly Valuation'!K109</f>
        <v>209159742342.28909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6" t="s">
        <v>154</v>
      </c>
      <c r="B8" s="149">
        <f>'Weekly Valuation'!K149</f>
        <v>1938034504366.4832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6" t="s">
        <v>54</v>
      </c>
      <c r="B9" s="149">
        <f>'Weekly Valuation'!K69</f>
        <v>2990664241362.4419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0"/>
      <c r="B10" s="150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6"/>
      <c r="B11" s="151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6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2"/>
      <c r="B13" s="152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2"/>
      <c r="B14" s="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87"/>
      <c r="B15" s="18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22"/>
      <c r="B16" s="2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2"/>
      <c r="B17" s="2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6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6"/>
      <c r="B19" s="13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6"/>
      <c r="B20" s="13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21"/>
      <c r="B21" s="13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20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20"/>
    </row>
  </sheetData>
  <sheetProtection algorithmName="SHA-512" hashValue="Mgm/+lvFnVMN/acj22nobhx9eby0pnY8yO9xCupR7wvDBB5Z8XG/ZyZlRQV5C8QdCoUhd6wK7cENnGRdPBqLWg==" saltValue="CWuJfUmZ7JWhxUj3/afTM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5"/>
    </row>
    <row r="2" spans="1:13">
      <c r="A2" s="139" t="s">
        <v>277</v>
      </c>
      <c r="B2" s="140">
        <v>45758</v>
      </c>
      <c r="C2" s="140">
        <v>45764</v>
      </c>
      <c r="D2" s="140">
        <v>45772</v>
      </c>
      <c r="E2" s="140">
        <v>45779</v>
      </c>
      <c r="F2" s="140">
        <v>45786</v>
      </c>
      <c r="G2" s="140">
        <v>45793</v>
      </c>
      <c r="H2" s="140">
        <v>45800</v>
      </c>
      <c r="I2" s="140">
        <v>45807</v>
      </c>
      <c r="J2" s="19"/>
      <c r="K2" s="19"/>
      <c r="L2" s="19"/>
      <c r="M2" s="15"/>
    </row>
    <row r="3" spans="1:13">
      <c r="A3" s="139" t="s">
        <v>278</v>
      </c>
      <c r="B3" s="141">
        <f t="shared" ref="B3:I3" si="0">B4</f>
        <v>5027.3059345650499</v>
      </c>
      <c r="C3" s="141">
        <f t="shared" si="0"/>
        <v>5068.1363340060261</v>
      </c>
      <c r="D3" s="141">
        <f t="shared" si="0"/>
        <v>5133.5118080609327</v>
      </c>
      <c r="E3" s="141">
        <f t="shared" si="0"/>
        <v>5212.4190322973518</v>
      </c>
      <c r="F3" s="141">
        <f t="shared" si="0"/>
        <v>5297.7036669070822</v>
      </c>
      <c r="G3" s="141">
        <f t="shared" si="0"/>
        <v>5600.7611033252406</v>
      </c>
      <c r="H3" s="141">
        <f t="shared" si="0"/>
        <v>5614.7878514083422</v>
      </c>
      <c r="I3" s="141">
        <f t="shared" si="0"/>
        <v>5661.0011217265082</v>
      </c>
      <c r="J3" s="19"/>
      <c r="K3" s="19"/>
      <c r="L3" s="19"/>
      <c r="M3" s="15"/>
    </row>
    <row r="4" spans="1:13">
      <c r="A4" s="19"/>
      <c r="B4" s="142">
        <f>'NAV Trend'!C10/1000000000</f>
        <v>5027.3059345650499</v>
      </c>
      <c r="C4" s="142">
        <f>'NAV Trend'!D10/1000000000</f>
        <v>5068.1363340060261</v>
      </c>
      <c r="D4" s="142">
        <f>'NAV Trend'!E10/1000000000</f>
        <v>5133.5118080609327</v>
      </c>
      <c r="E4" s="142">
        <f>'NAV Trend'!F10/1000000000</f>
        <v>5212.4190322973518</v>
      </c>
      <c r="F4" s="142">
        <f>'NAV Trend'!G10/1000000000</f>
        <v>5297.7036669070822</v>
      </c>
      <c r="G4" s="142">
        <f>'NAV Trend'!H10/1000000000</f>
        <v>5600.7611033252406</v>
      </c>
      <c r="H4" s="143">
        <f>'NAV Trend'!I10/1000000000</f>
        <v>5614.7878514083422</v>
      </c>
      <c r="I4" s="143">
        <f>'NAV Trend'!J10/1000000000</f>
        <v>5661.0011217265082</v>
      </c>
      <c r="J4" s="19"/>
      <c r="K4" s="19"/>
      <c r="L4" s="19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37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37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37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37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7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37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37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Id/UYeYaAI+uSaC2X5hsdHmUkO7NgbLJpm1CSbinP+AfzKRMnGCkXc0Hv/xaXnDXOLqCvWo8ZdXXR9ajUY62TQ==" saltValue="a5sA+DvC/YS35YaKqUKQk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D7" sqref="D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5"/>
    </row>
    <row r="2" spans="1:14">
      <c r="A2" s="139" t="s">
        <v>277</v>
      </c>
      <c r="B2" s="140">
        <v>45758</v>
      </c>
      <c r="C2" s="140">
        <v>45764</v>
      </c>
      <c r="D2" s="140">
        <v>45772</v>
      </c>
      <c r="E2" s="140">
        <v>45779</v>
      </c>
      <c r="F2" s="140">
        <v>45786</v>
      </c>
      <c r="G2" s="140">
        <v>45793</v>
      </c>
      <c r="H2" s="140">
        <v>45800</v>
      </c>
      <c r="I2" s="140">
        <v>45807</v>
      </c>
      <c r="J2" s="19"/>
      <c r="K2" s="19"/>
      <c r="L2" s="19"/>
      <c r="M2" s="19"/>
      <c r="N2" s="15"/>
    </row>
    <row r="3" spans="1:14">
      <c r="A3" s="139" t="s">
        <v>279</v>
      </c>
      <c r="B3" s="141">
        <f t="shared" ref="B3:I3" si="0">B4</f>
        <v>13.325340046259999</v>
      </c>
      <c r="C3" s="141">
        <f t="shared" si="0"/>
        <v>13.257768084610001</v>
      </c>
      <c r="D3" s="141">
        <f t="shared" si="0"/>
        <v>13.511956801399998</v>
      </c>
      <c r="E3" s="141">
        <f t="shared" si="0"/>
        <v>13.564027253040001</v>
      </c>
      <c r="F3" s="141">
        <f t="shared" si="0"/>
        <v>13.89362105705</v>
      </c>
      <c r="G3" s="141">
        <f t="shared" si="0"/>
        <v>13.906596090597997</v>
      </c>
      <c r="H3" s="141">
        <f t="shared" si="0"/>
        <v>13.574054999743</v>
      </c>
      <c r="I3" s="141">
        <f t="shared" si="0"/>
        <v>13.663574619923001</v>
      </c>
      <c r="J3" s="19"/>
      <c r="K3" s="19"/>
      <c r="L3" s="19"/>
      <c r="M3" s="19"/>
      <c r="N3" s="15"/>
    </row>
    <row r="4" spans="1:14">
      <c r="A4" s="19"/>
      <c r="B4" s="142">
        <f>'NAV Trend'!C16/1000000000</f>
        <v>13.325340046259999</v>
      </c>
      <c r="C4" s="142">
        <f>'NAV Trend'!D16/1000000000</f>
        <v>13.257768084610001</v>
      </c>
      <c r="D4" s="142">
        <f>'NAV Trend'!E16/1000000000</f>
        <v>13.511956801399998</v>
      </c>
      <c r="E4" s="142">
        <f>'NAV Trend'!F16/1000000000</f>
        <v>13.564027253040001</v>
      </c>
      <c r="F4" s="142">
        <f>'NAV Trend'!G16/1000000000</f>
        <v>13.89362105705</v>
      </c>
      <c r="G4" s="142">
        <f>'NAV Trend'!H16/1000000000</f>
        <v>13.906596090597997</v>
      </c>
      <c r="H4" s="142">
        <f>'NAV Trend'!I16/1000000000</f>
        <v>13.574054999743</v>
      </c>
      <c r="I4" s="143">
        <f>'NAV Trend'!J16/1000000000</f>
        <v>13.663574619923001</v>
      </c>
      <c r="J4" s="19"/>
      <c r="K4" s="19"/>
      <c r="L4" s="19"/>
      <c r="M4" s="19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Ll/KqEuz9LPKRgHpwf99oyi/77C7XXacsCeM2UXmBzWzPK2yZ7MmtIOcFCyzIlFX4SnynbnCy8YF79maUiLboA==" saltValue="VPoN6Yaf6Nfb/Px42VUf+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45751</v>
      </c>
      <c r="C1" s="2">
        <v>45758</v>
      </c>
      <c r="D1" s="2">
        <v>45764</v>
      </c>
      <c r="E1" s="2">
        <v>45772</v>
      </c>
      <c r="F1" s="2">
        <v>45779</v>
      </c>
      <c r="G1" s="2">
        <v>45786</v>
      </c>
      <c r="H1" s="2">
        <v>45793</v>
      </c>
      <c r="I1" s="2">
        <v>45800</v>
      </c>
      <c r="J1" s="2">
        <v>45807</v>
      </c>
    </row>
    <row r="2" spans="1:11">
      <c r="A2" s="3" t="s">
        <v>17</v>
      </c>
      <c r="B2" s="4">
        <v>37097805539.873703</v>
      </c>
      <c r="C2" s="4">
        <v>36611510201.959999</v>
      </c>
      <c r="D2" s="4">
        <v>36683565580.029999</v>
      </c>
      <c r="E2" s="4">
        <v>37720290975.739998</v>
      </c>
      <c r="F2" s="4">
        <v>38729991583.780006</v>
      </c>
      <c r="G2" s="4">
        <v>40052509206.349998</v>
      </c>
      <c r="H2" s="4">
        <v>40696491951.950005</v>
      </c>
      <c r="I2" s="4">
        <v>41222274085.630005</v>
      </c>
      <c r="J2" s="4">
        <v>41941704345.110001</v>
      </c>
    </row>
    <row r="3" spans="1:11">
      <c r="A3" s="3" t="s">
        <v>54</v>
      </c>
      <c r="B3" s="4">
        <v>2556130628664.9053</v>
      </c>
      <c r="C3" s="4">
        <v>2628962377044.7275</v>
      </c>
      <c r="D3" s="4">
        <v>2676748756640.1934</v>
      </c>
      <c r="E3" s="4">
        <v>2723282785142.8521</v>
      </c>
      <c r="F3" s="4">
        <v>2781211975883.1699</v>
      </c>
      <c r="G3" s="4">
        <v>2849135060100.6763</v>
      </c>
      <c r="H3" s="4">
        <v>2909623160997.8462</v>
      </c>
      <c r="I3" s="4">
        <v>2955969352323.3311</v>
      </c>
      <c r="J3" s="4">
        <v>2990664241362.4419</v>
      </c>
    </row>
    <row r="4" spans="1:11">
      <c r="A4" s="3" t="s">
        <v>274</v>
      </c>
      <c r="B4" s="5">
        <v>200662148582.12146</v>
      </c>
      <c r="C4" s="5">
        <v>208697208780.68359</v>
      </c>
      <c r="D4" s="5">
        <v>208401097853.44882</v>
      </c>
      <c r="E4" s="5">
        <v>208855945686.08514</v>
      </c>
      <c r="F4" s="5">
        <v>207828394902.42545</v>
      </c>
      <c r="G4" s="5">
        <v>208791291417.70242</v>
      </c>
      <c r="H4" s="5">
        <v>208401438383.2999</v>
      </c>
      <c r="I4" s="5">
        <v>209025769943.79047</v>
      </c>
      <c r="J4" s="5">
        <v>209159742342.28909</v>
      </c>
    </row>
    <row r="5" spans="1:11">
      <c r="A5" s="3" t="s">
        <v>154</v>
      </c>
      <c r="B5" s="4">
        <v>1905436495754.9351</v>
      </c>
      <c r="C5" s="4">
        <v>1931287068703.0198</v>
      </c>
      <c r="D5" s="4">
        <v>1923487330363.6252</v>
      </c>
      <c r="E5" s="4">
        <v>1938221468200.9041</v>
      </c>
      <c r="F5" s="4">
        <v>1957941795296.7214</v>
      </c>
      <c r="G5" s="4">
        <v>1970845618406.8262</v>
      </c>
      <c r="H5" s="4">
        <v>1962901357676.8562</v>
      </c>
      <c r="I5" s="4">
        <v>1929073604440.7039</v>
      </c>
      <c r="J5" s="4">
        <v>1938034504366.4832</v>
      </c>
    </row>
    <row r="6" spans="1:11">
      <c r="A6" s="3" t="s">
        <v>275</v>
      </c>
      <c r="B6" s="6">
        <v>101416084299.50922</v>
      </c>
      <c r="C6" s="6">
        <v>101448900231.00531</v>
      </c>
      <c r="D6" s="6">
        <v>101489098873.64462</v>
      </c>
      <c r="E6" s="6">
        <v>102301113357.0766</v>
      </c>
      <c r="F6" s="6">
        <v>102351541673.75938</v>
      </c>
      <c r="G6" s="6">
        <v>102440757490.53162</v>
      </c>
      <c r="H6" s="6">
        <v>353913355615.99237</v>
      </c>
      <c r="I6" s="6">
        <v>354567498315.10614</v>
      </c>
      <c r="J6" s="6">
        <v>355725329056.43384</v>
      </c>
    </row>
    <row r="7" spans="1:11">
      <c r="A7" s="3" t="s">
        <v>191</v>
      </c>
      <c r="B7" s="7">
        <v>57167466185.858185</v>
      </c>
      <c r="C7" s="7">
        <v>57125272136.110069</v>
      </c>
      <c r="D7" s="7">
        <v>57583359181.10791</v>
      </c>
      <c r="E7" s="7">
        <v>58607779909.068443</v>
      </c>
      <c r="F7" s="7">
        <v>59306649006.764648</v>
      </c>
      <c r="G7" s="7">
        <v>60348931993.098541</v>
      </c>
      <c r="H7" s="7">
        <v>60537200481.56192</v>
      </c>
      <c r="I7" s="7">
        <v>60839325442.61261</v>
      </c>
      <c r="J7" s="7">
        <v>60841613029.135788</v>
      </c>
    </row>
    <row r="8" spans="1:11">
      <c r="A8" s="3" t="s">
        <v>221</v>
      </c>
      <c r="B8" s="6">
        <v>6808986112.6900005</v>
      </c>
      <c r="C8" s="6">
        <v>6789293199.9500008</v>
      </c>
      <c r="D8" s="6">
        <v>6651248992.7700005</v>
      </c>
      <c r="E8" s="6">
        <v>6859652223.0999994</v>
      </c>
      <c r="F8" s="6">
        <v>6938267747.5299997</v>
      </c>
      <c r="G8" s="6">
        <v>7090375954.5700006</v>
      </c>
      <c r="H8" s="6">
        <v>5933942499.0900002</v>
      </c>
      <c r="I8" s="6">
        <v>5993726972.2399998</v>
      </c>
      <c r="J8" s="6">
        <v>5992665978.8000002</v>
      </c>
    </row>
    <row r="9" spans="1:11">
      <c r="A9" s="3" t="s">
        <v>276</v>
      </c>
      <c r="B9" s="6">
        <v>56258713652.725334</v>
      </c>
      <c r="C9" s="6">
        <v>56384304267.594231</v>
      </c>
      <c r="D9" s="6">
        <v>57091876521.208221</v>
      </c>
      <c r="E9" s="6">
        <v>57662772566.107521</v>
      </c>
      <c r="F9" s="6">
        <v>58110416203.200249</v>
      </c>
      <c r="G9" s="6">
        <v>58999122337.327522</v>
      </c>
      <c r="H9" s="6">
        <v>58754155718.644669</v>
      </c>
      <c r="I9" s="6">
        <v>58096299884.927956</v>
      </c>
      <c r="J9" s="6">
        <v>58641321245.814735</v>
      </c>
    </row>
    <row r="10" spans="1:11" ht="15.6">
      <c r="A10" s="8" t="s">
        <v>280</v>
      </c>
      <c r="B10" s="9">
        <f t="shared" ref="B10:J10" si="0">SUM(B2:B9)</f>
        <v>4920978328792.6191</v>
      </c>
      <c r="C10" s="9">
        <f t="shared" si="0"/>
        <v>5027305934565.0498</v>
      </c>
      <c r="D10" s="9">
        <f t="shared" si="0"/>
        <v>5068136334006.0264</v>
      </c>
      <c r="E10" s="9">
        <f t="shared" si="0"/>
        <v>5133511808060.9326</v>
      </c>
      <c r="F10" s="9">
        <f t="shared" si="0"/>
        <v>5212419032297.3516</v>
      </c>
      <c r="G10" s="9">
        <f t="shared" si="0"/>
        <v>5297703666907.082</v>
      </c>
      <c r="H10" s="9">
        <f t="shared" si="0"/>
        <v>5600761103325.2402</v>
      </c>
      <c r="I10" s="9">
        <f t="shared" si="0"/>
        <v>5614787851408.3418</v>
      </c>
      <c r="J10" s="9">
        <f t="shared" si="0"/>
        <v>5661001121726.5078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4" t="s">
        <v>282</v>
      </c>
      <c r="C12" s="13">
        <f>(B10+C10)/2</f>
        <v>4974142131678.834</v>
      </c>
      <c r="D12" s="14">
        <f t="shared" ref="D12:J12" si="1">(C10+D10)/2</f>
        <v>5047721134285.5381</v>
      </c>
      <c r="E12" s="14">
        <f t="shared" si="1"/>
        <v>5100824071033.4795</v>
      </c>
      <c r="F12" s="14">
        <f t="shared" si="1"/>
        <v>5172965420179.1426</v>
      </c>
      <c r="G12" s="14">
        <f t="shared" si="1"/>
        <v>5255061349602.2168</v>
      </c>
      <c r="H12" s="14">
        <f t="shared" si="1"/>
        <v>5449232385116.1611</v>
      </c>
      <c r="I12" s="14">
        <f t="shared" si="1"/>
        <v>5607774477366.791</v>
      </c>
      <c r="J12" s="14">
        <f t="shared" si="1"/>
        <v>5637894486567.4248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45751</v>
      </c>
      <c r="C15" s="2">
        <v>45758</v>
      </c>
      <c r="D15" s="2">
        <v>45764</v>
      </c>
      <c r="E15" s="2">
        <v>45772</v>
      </c>
      <c r="F15" s="2">
        <v>45779</v>
      </c>
      <c r="G15" s="2">
        <v>45786</v>
      </c>
      <c r="H15" s="2">
        <v>45793</v>
      </c>
      <c r="I15" s="2">
        <v>45800</v>
      </c>
      <c r="J15" s="2">
        <v>45807</v>
      </c>
      <c r="K15" s="15"/>
    </row>
    <row r="16" spans="1:11">
      <c r="A16" s="16" t="s">
        <v>283</v>
      </c>
      <c r="B16" s="17">
        <v>13252536997.856777</v>
      </c>
      <c r="C16" s="17">
        <v>13325340046.259998</v>
      </c>
      <c r="D16" s="17">
        <v>13257768084.610001</v>
      </c>
      <c r="E16" s="17">
        <v>13511956801.399998</v>
      </c>
      <c r="F16" s="17">
        <v>13564027253.040001</v>
      </c>
      <c r="G16" s="17">
        <v>13893621057.049999</v>
      </c>
      <c r="H16" s="17">
        <v>13906596090.597998</v>
      </c>
      <c r="I16" s="17">
        <v>13574054999.743</v>
      </c>
      <c r="J16" s="17">
        <v>13663574619.923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1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gxxE2pn0TzVTpMPLeLwvb5aY4kIQX2xDfryBKuFtnnAfXWMIkYnZvFRAe57j8GyBUN0WLLVXgDnXgkqI9+5eUQ==" saltValue="sPbr8UGRQbXhOBjd70rvc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2025-06-05T09:14:09Z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