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saac\Desktop\Weekly NAV\2025\"/>
    </mc:Choice>
  </mc:AlternateContent>
  <bookViews>
    <workbookView xWindow="0" yWindow="0" windowWidth="20496" windowHeight="7752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definedNames>
    <definedName name="FX_RATE">'Weekly Valuation'!$W$135</definedName>
    <definedName name="NFEM_RATE" localSheetId="0">'Weekly Valuation'!$W$135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5" i="1" l="1"/>
  <c r="M135" i="1"/>
  <c r="K135" i="1"/>
  <c r="N121" i="1" l="1"/>
  <c r="M121" i="1"/>
  <c r="K121" i="1"/>
  <c r="N153" i="1"/>
  <c r="M153" i="1"/>
  <c r="K153" i="1"/>
  <c r="K127" i="1"/>
  <c r="M131" i="1"/>
  <c r="K131" i="1"/>
  <c r="N143" i="1" l="1"/>
  <c r="M143" i="1"/>
  <c r="K143" i="1"/>
  <c r="K144" i="1"/>
  <c r="K137" i="1" l="1"/>
  <c r="N149" i="1"/>
  <c r="M149" i="1"/>
  <c r="K149" i="1"/>
  <c r="N136" i="1" l="1"/>
  <c r="M136" i="1"/>
  <c r="K136" i="1"/>
  <c r="N147" i="1" l="1"/>
  <c r="M147" i="1"/>
  <c r="K147" i="1"/>
  <c r="N120" i="1"/>
  <c r="M120" i="1"/>
  <c r="K120" i="1"/>
  <c r="N122" i="1"/>
  <c r="M122" i="1"/>
  <c r="K122" i="1"/>
  <c r="N123" i="1" l="1"/>
  <c r="M123" i="1"/>
  <c r="K123" i="1"/>
  <c r="N231" i="1" l="1"/>
  <c r="M231" i="1"/>
  <c r="K231" i="1"/>
  <c r="N126" i="1"/>
  <c r="M126" i="1"/>
  <c r="K126" i="1"/>
  <c r="N125" i="1"/>
  <c r="M125" i="1"/>
  <c r="K125" i="1"/>
  <c r="K129" i="1"/>
  <c r="K152" i="1"/>
  <c r="N152" i="1"/>
  <c r="M152" i="1"/>
  <c r="N151" i="1"/>
  <c r="M151" i="1"/>
  <c r="K151" i="1"/>
  <c r="K141" i="1" l="1"/>
  <c r="K139" i="1" l="1"/>
  <c r="N139" i="1"/>
  <c r="M139" i="1"/>
  <c r="K117" i="1"/>
  <c r="N150" i="1"/>
  <c r="M150" i="1"/>
  <c r="K150" i="1"/>
  <c r="N132" i="1"/>
  <c r="M132" i="1"/>
  <c r="K132" i="1"/>
  <c r="N116" i="1"/>
  <c r="M116" i="1"/>
  <c r="K116" i="1"/>
  <c r="N130" i="1"/>
  <c r="M130" i="1"/>
  <c r="K130" i="1"/>
  <c r="N229" i="1"/>
  <c r="M229" i="1"/>
  <c r="K229" i="1"/>
  <c r="N119" i="1"/>
  <c r="M119" i="1"/>
  <c r="K119" i="1"/>
  <c r="N118" i="1"/>
  <c r="M118" i="1"/>
  <c r="K118" i="1"/>
  <c r="N146" i="1"/>
  <c r="M146" i="1"/>
  <c r="K146" i="1"/>
  <c r="N128" i="1"/>
  <c r="M128" i="1"/>
  <c r="K128" i="1"/>
  <c r="N142" i="1" l="1"/>
  <c r="M142" i="1"/>
  <c r="N145" i="1" l="1"/>
  <c r="N144" i="1"/>
  <c r="M144" i="1"/>
  <c r="N131" i="1" l="1"/>
  <c r="N129" i="1" l="1"/>
  <c r="M129" i="1"/>
  <c r="O112" i="1" l="1"/>
  <c r="U28" i="1" l="1"/>
  <c r="M145" i="1" l="1"/>
  <c r="M127" i="1" l="1"/>
  <c r="T137" i="1" l="1"/>
  <c r="U137" i="1"/>
  <c r="V137" i="1"/>
  <c r="R79" i="1" l="1"/>
  <c r="S79" i="1"/>
  <c r="T79" i="1"/>
  <c r="V79" i="1" l="1"/>
  <c r="U79" i="1"/>
  <c r="N137" i="1"/>
  <c r="S137" i="1" s="1"/>
  <c r="M137" i="1"/>
  <c r="R40" i="1" l="1"/>
  <c r="V40" i="1"/>
  <c r="U40" i="1"/>
  <c r="T40" i="1"/>
  <c r="S40" i="1"/>
  <c r="V141" i="1" l="1"/>
  <c r="U141" i="1"/>
  <c r="T141" i="1"/>
  <c r="N141" i="1"/>
  <c r="S141" i="1" s="1"/>
  <c r="M141" i="1"/>
  <c r="R141" i="1"/>
  <c r="R183" i="1" l="1"/>
  <c r="R83" i="1" l="1"/>
  <c r="R84" i="1"/>
  <c r="R106" i="1" l="1"/>
  <c r="S106" i="1"/>
  <c r="T106" i="1"/>
  <c r="U106" i="1"/>
  <c r="V106" i="1"/>
  <c r="R15" i="1" l="1"/>
  <c r="V232" i="1" l="1"/>
  <c r="U232" i="1"/>
  <c r="T232" i="1"/>
  <c r="S232" i="1"/>
  <c r="R232" i="1"/>
  <c r="R238" i="1"/>
  <c r="R158" i="1" l="1"/>
  <c r="S158" i="1"/>
  <c r="T158" i="1"/>
  <c r="U158" i="1"/>
  <c r="V158" i="1"/>
  <c r="R128" i="1" l="1"/>
  <c r="R127" i="1"/>
  <c r="S135" i="1"/>
  <c r="R135" i="1"/>
  <c r="S153" i="1"/>
  <c r="R153" i="1"/>
  <c r="S123" i="1"/>
  <c r="S144" i="1"/>
  <c r="R144" i="1"/>
  <c r="R129" i="1"/>
  <c r="S149" i="1"/>
  <c r="R149" i="1"/>
  <c r="S139" i="1"/>
  <c r="R139" i="1"/>
  <c r="S122" i="1"/>
  <c r="R122" i="1"/>
  <c r="K163" i="1"/>
  <c r="V222" i="1"/>
  <c r="U222" i="1"/>
  <c r="T222" i="1"/>
  <c r="S222" i="1"/>
  <c r="R222" i="1"/>
  <c r="K199" i="1"/>
  <c r="L197" i="1" s="1"/>
  <c r="D199" i="1"/>
  <c r="B19" i="2" s="1"/>
  <c r="B9" i="2" s="1"/>
  <c r="V223" i="1"/>
  <c r="U223" i="1"/>
  <c r="T223" i="1"/>
  <c r="S223" i="1"/>
  <c r="R223" i="1"/>
  <c r="K225" i="1"/>
  <c r="L212" i="1" s="1"/>
  <c r="D225" i="1"/>
  <c r="S136" i="1"/>
  <c r="S152" i="1"/>
  <c r="R117" i="1"/>
  <c r="S147" i="1"/>
  <c r="R147" i="1"/>
  <c r="R130" i="1"/>
  <c r="S116" i="1"/>
  <c r="V238" i="1"/>
  <c r="N127" i="1"/>
  <c r="S127" i="1" s="1"/>
  <c r="V230" i="1"/>
  <c r="U230" i="1"/>
  <c r="T230" i="1"/>
  <c r="S230" i="1"/>
  <c r="R230" i="1"/>
  <c r="K234" i="1"/>
  <c r="L232" i="1" s="1"/>
  <c r="S142" i="1"/>
  <c r="U146" i="1"/>
  <c r="V146" i="1"/>
  <c r="N117" i="1"/>
  <c r="S117" i="1" s="1"/>
  <c r="M117" i="1"/>
  <c r="R231" i="1"/>
  <c r="S231" i="1"/>
  <c r="T231" i="1"/>
  <c r="U231" i="1"/>
  <c r="V231" i="1"/>
  <c r="V53" i="1"/>
  <c r="U53" i="1"/>
  <c r="T53" i="1"/>
  <c r="S53" i="1"/>
  <c r="R53" i="1"/>
  <c r="R152" i="1"/>
  <c r="V152" i="1"/>
  <c r="U152" i="1"/>
  <c r="T152" i="1"/>
  <c r="R171" i="1"/>
  <c r="S171" i="1"/>
  <c r="T171" i="1"/>
  <c r="U171" i="1"/>
  <c r="V171" i="1"/>
  <c r="V147" i="1"/>
  <c r="U147" i="1"/>
  <c r="T147" i="1"/>
  <c r="R59" i="1"/>
  <c r="V59" i="1"/>
  <c r="U59" i="1"/>
  <c r="S59" i="1"/>
  <c r="T59" i="1"/>
  <c r="R32" i="1"/>
  <c r="V32" i="1"/>
  <c r="U32" i="1"/>
  <c r="T32" i="1"/>
  <c r="S32" i="1"/>
  <c r="T140" i="1"/>
  <c r="V127" i="1"/>
  <c r="U127" i="1"/>
  <c r="T127" i="1"/>
  <c r="R46" i="1"/>
  <c r="S46" i="1"/>
  <c r="T46" i="1"/>
  <c r="U46" i="1"/>
  <c r="V46" i="1"/>
  <c r="O234" i="1"/>
  <c r="H234" i="1"/>
  <c r="D234" i="1"/>
  <c r="V229" i="1"/>
  <c r="U229" i="1"/>
  <c r="T229" i="1"/>
  <c r="S229" i="1"/>
  <c r="R229" i="1"/>
  <c r="V139" i="1"/>
  <c r="U139" i="1"/>
  <c r="T139" i="1"/>
  <c r="V84" i="1"/>
  <c r="U84" i="1"/>
  <c r="T84" i="1"/>
  <c r="S84" i="1"/>
  <c r="R175" i="1"/>
  <c r="V23" i="1"/>
  <c r="U23" i="1"/>
  <c r="T23" i="1"/>
  <c r="S23" i="1"/>
  <c r="R23" i="1"/>
  <c r="O225" i="1"/>
  <c r="H225" i="1"/>
  <c r="V224" i="1"/>
  <c r="U224" i="1"/>
  <c r="T224" i="1"/>
  <c r="S224" i="1"/>
  <c r="R224" i="1"/>
  <c r="R31" i="1"/>
  <c r="R119" i="1"/>
  <c r="S119" i="1"/>
  <c r="T119" i="1"/>
  <c r="U119" i="1"/>
  <c r="V119" i="1"/>
  <c r="R54" i="1"/>
  <c r="R216" i="1"/>
  <c r="V208" i="1"/>
  <c r="U208" i="1"/>
  <c r="T208" i="1"/>
  <c r="S208" i="1"/>
  <c r="R208" i="1"/>
  <c r="T149" i="1"/>
  <c r="U149" i="1"/>
  <c r="V149" i="1"/>
  <c r="R6" i="1"/>
  <c r="V193" i="1"/>
  <c r="U193" i="1"/>
  <c r="T193" i="1"/>
  <c r="S193" i="1"/>
  <c r="R193" i="1"/>
  <c r="V192" i="1"/>
  <c r="U192" i="1"/>
  <c r="T192" i="1"/>
  <c r="S192" i="1"/>
  <c r="R192" i="1"/>
  <c r="V191" i="1"/>
  <c r="U191" i="1"/>
  <c r="T191" i="1"/>
  <c r="S191" i="1"/>
  <c r="R191" i="1"/>
  <c r="V190" i="1"/>
  <c r="U190" i="1"/>
  <c r="T190" i="1"/>
  <c r="S190" i="1"/>
  <c r="R190" i="1"/>
  <c r="V189" i="1"/>
  <c r="U189" i="1"/>
  <c r="T189" i="1"/>
  <c r="S189" i="1"/>
  <c r="R189" i="1"/>
  <c r="V188" i="1"/>
  <c r="U188" i="1"/>
  <c r="T188" i="1"/>
  <c r="S188" i="1"/>
  <c r="R188" i="1"/>
  <c r="V187" i="1"/>
  <c r="U187" i="1"/>
  <c r="T187" i="1"/>
  <c r="S187" i="1"/>
  <c r="R187" i="1"/>
  <c r="V186" i="1"/>
  <c r="U186" i="1"/>
  <c r="T186" i="1"/>
  <c r="S186" i="1"/>
  <c r="R186" i="1"/>
  <c r="V185" i="1"/>
  <c r="U185" i="1"/>
  <c r="T185" i="1"/>
  <c r="S185" i="1"/>
  <c r="R185" i="1"/>
  <c r="V184" i="1"/>
  <c r="U184" i="1"/>
  <c r="T184" i="1"/>
  <c r="S184" i="1"/>
  <c r="R184" i="1"/>
  <c r="V183" i="1"/>
  <c r="U183" i="1"/>
  <c r="T183" i="1"/>
  <c r="S183" i="1"/>
  <c r="V182" i="1"/>
  <c r="U182" i="1"/>
  <c r="T182" i="1"/>
  <c r="S182" i="1"/>
  <c r="R182" i="1"/>
  <c r="V181" i="1"/>
  <c r="U181" i="1"/>
  <c r="T181" i="1"/>
  <c r="S181" i="1"/>
  <c r="R181" i="1"/>
  <c r="V180" i="1"/>
  <c r="U180" i="1"/>
  <c r="T180" i="1"/>
  <c r="S180" i="1"/>
  <c r="R180" i="1"/>
  <c r="V179" i="1"/>
  <c r="U179" i="1"/>
  <c r="T179" i="1"/>
  <c r="S179" i="1"/>
  <c r="R179" i="1"/>
  <c r="V178" i="1"/>
  <c r="U178" i="1"/>
  <c r="T178" i="1"/>
  <c r="S178" i="1"/>
  <c r="R178" i="1"/>
  <c r="V177" i="1"/>
  <c r="U177" i="1"/>
  <c r="T177" i="1"/>
  <c r="S177" i="1"/>
  <c r="R177" i="1"/>
  <c r="V176" i="1"/>
  <c r="U176" i="1"/>
  <c r="T176" i="1"/>
  <c r="S176" i="1"/>
  <c r="R176" i="1"/>
  <c r="V175" i="1"/>
  <c r="U175" i="1"/>
  <c r="T175" i="1"/>
  <c r="S175" i="1"/>
  <c r="V174" i="1"/>
  <c r="U174" i="1"/>
  <c r="T174" i="1"/>
  <c r="S174" i="1"/>
  <c r="R174" i="1"/>
  <c r="V173" i="1"/>
  <c r="U173" i="1"/>
  <c r="T173" i="1"/>
  <c r="S173" i="1"/>
  <c r="R173" i="1"/>
  <c r="V172" i="1"/>
  <c r="U172" i="1"/>
  <c r="T172" i="1"/>
  <c r="S172" i="1"/>
  <c r="R172" i="1"/>
  <c r="V170" i="1"/>
  <c r="U170" i="1"/>
  <c r="T170" i="1"/>
  <c r="S170" i="1"/>
  <c r="R170" i="1"/>
  <c r="V169" i="1"/>
  <c r="U169" i="1"/>
  <c r="T169" i="1"/>
  <c r="S169" i="1"/>
  <c r="R169" i="1"/>
  <c r="V168" i="1"/>
  <c r="U168" i="1"/>
  <c r="T168" i="1"/>
  <c r="S168" i="1"/>
  <c r="R168" i="1"/>
  <c r="V167" i="1"/>
  <c r="U167" i="1"/>
  <c r="T167" i="1"/>
  <c r="S167" i="1"/>
  <c r="R167" i="1"/>
  <c r="V166" i="1"/>
  <c r="U166" i="1"/>
  <c r="T166" i="1"/>
  <c r="S166" i="1"/>
  <c r="R166" i="1"/>
  <c r="R96" i="1"/>
  <c r="V34" i="1"/>
  <c r="U34" i="1"/>
  <c r="T34" i="1"/>
  <c r="S34" i="1"/>
  <c r="R34" i="1"/>
  <c r="V77" i="1"/>
  <c r="V50" i="1"/>
  <c r="U50" i="1"/>
  <c r="T50" i="1"/>
  <c r="S50" i="1"/>
  <c r="R50" i="1"/>
  <c r="J10" i="4"/>
  <c r="I4" i="5" s="1"/>
  <c r="I3" i="5" s="1"/>
  <c r="I10" i="4"/>
  <c r="H4" i="5" s="1"/>
  <c r="H3" i="5" s="1"/>
  <c r="H10" i="4"/>
  <c r="G4" i="5" s="1"/>
  <c r="G3" i="5" s="1"/>
  <c r="G10" i="4"/>
  <c r="F4" i="5" s="1"/>
  <c r="F3" i="5" s="1"/>
  <c r="F10" i="4"/>
  <c r="E10" i="4"/>
  <c r="D4" i="5" s="1"/>
  <c r="D3" i="5" s="1"/>
  <c r="D10" i="4"/>
  <c r="C10" i="4"/>
  <c r="B10" i="4"/>
  <c r="I4" i="6"/>
  <c r="I3" i="6" s="1"/>
  <c r="H4" i="6"/>
  <c r="H3" i="6"/>
  <c r="G4" i="6"/>
  <c r="G3" i="6" s="1"/>
  <c r="F4" i="6"/>
  <c r="F3" i="6" s="1"/>
  <c r="E4" i="6"/>
  <c r="E3" i="6" s="1"/>
  <c r="D4" i="6"/>
  <c r="D3" i="6" s="1"/>
  <c r="C4" i="6"/>
  <c r="C3" i="6" s="1"/>
  <c r="B4" i="6"/>
  <c r="B3" i="6" s="1"/>
  <c r="V254" i="1"/>
  <c r="U254" i="1"/>
  <c r="S254" i="1"/>
  <c r="O254" i="1"/>
  <c r="K254" i="1"/>
  <c r="H254" i="1"/>
  <c r="D254" i="1"/>
  <c r="E242" i="1" s="1"/>
  <c r="V253" i="1"/>
  <c r="U253" i="1"/>
  <c r="T253" i="1"/>
  <c r="S253" i="1"/>
  <c r="R253" i="1"/>
  <c r="V252" i="1"/>
  <c r="U252" i="1"/>
  <c r="T252" i="1"/>
  <c r="S252" i="1"/>
  <c r="R252" i="1"/>
  <c r="V251" i="1"/>
  <c r="U251" i="1"/>
  <c r="T251" i="1"/>
  <c r="S251" i="1"/>
  <c r="R251" i="1"/>
  <c r="V250" i="1"/>
  <c r="U250" i="1"/>
  <c r="T250" i="1"/>
  <c r="S250" i="1"/>
  <c r="R250" i="1"/>
  <c r="V249" i="1"/>
  <c r="U249" i="1"/>
  <c r="T249" i="1"/>
  <c r="S249" i="1"/>
  <c r="R249" i="1"/>
  <c r="V248" i="1"/>
  <c r="U248" i="1"/>
  <c r="T248" i="1"/>
  <c r="S248" i="1"/>
  <c r="R248" i="1"/>
  <c r="V247" i="1"/>
  <c r="U247" i="1"/>
  <c r="T247" i="1"/>
  <c r="S247" i="1"/>
  <c r="R247" i="1"/>
  <c r="V246" i="1"/>
  <c r="U246" i="1"/>
  <c r="T246" i="1"/>
  <c r="S246" i="1"/>
  <c r="R246" i="1"/>
  <c r="V245" i="1"/>
  <c r="U245" i="1"/>
  <c r="T245" i="1"/>
  <c r="S245" i="1"/>
  <c r="R245" i="1"/>
  <c r="V244" i="1"/>
  <c r="U244" i="1"/>
  <c r="T244" i="1"/>
  <c r="S244" i="1"/>
  <c r="R244" i="1"/>
  <c r="V243" i="1"/>
  <c r="U243" i="1"/>
  <c r="T243" i="1"/>
  <c r="S243" i="1"/>
  <c r="R243" i="1"/>
  <c r="V242" i="1"/>
  <c r="U242" i="1"/>
  <c r="T242" i="1"/>
  <c r="S242" i="1"/>
  <c r="R242" i="1"/>
  <c r="O239" i="1"/>
  <c r="K239" i="1"/>
  <c r="L237" i="1" s="1"/>
  <c r="H239" i="1"/>
  <c r="D239" i="1"/>
  <c r="E237" i="1" s="1"/>
  <c r="U238" i="1"/>
  <c r="T238" i="1"/>
  <c r="S238" i="1"/>
  <c r="V237" i="1"/>
  <c r="U237" i="1"/>
  <c r="T237" i="1"/>
  <c r="S237" i="1"/>
  <c r="R237" i="1"/>
  <c r="V233" i="1"/>
  <c r="U233" i="1"/>
  <c r="T233" i="1"/>
  <c r="S233" i="1"/>
  <c r="R233" i="1"/>
  <c r="V225" i="1"/>
  <c r="U225" i="1"/>
  <c r="S225" i="1"/>
  <c r="V219" i="1"/>
  <c r="U219" i="1"/>
  <c r="T219" i="1"/>
  <c r="S219" i="1"/>
  <c r="R219" i="1"/>
  <c r="V218" i="1"/>
  <c r="U218" i="1"/>
  <c r="T218" i="1"/>
  <c r="S218" i="1"/>
  <c r="R218" i="1"/>
  <c r="V217" i="1"/>
  <c r="U217" i="1"/>
  <c r="T217" i="1"/>
  <c r="S217" i="1"/>
  <c r="R217" i="1"/>
  <c r="V216" i="1"/>
  <c r="U216" i="1"/>
  <c r="T216" i="1"/>
  <c r="S216" i="1"/>
  <c r="V215" i="1"/>
  <c r="U215" i="1"/>
  <c r="T215" i="1"/>
  <c r="S215" i="1"/>
  <c r="R215" i="1"/>
  <c r="V214" i="1"/>
  <c r="U214" i="1"/>
  <c r="T214" i="1"/>
  <c r="S214" i="1"/>
  <c r="R214" i="1"/>
  <c r="V213" i="1"/>
  <c r="U213" i="1"/>
  <c r="T213" i="1"/>
  <c r="S213" i="1"/>
  <c r="R213" i="1"/>
  <c r="V212" i="1"/>
  <c r="U212" i="1"/>
  <c r="T212" i="1"/>
  <c r="S212" i="1"/>
  <c r="R212" i="1"/>
  <c r="V211" i="1"/>
  <c r="U211" i="1"/>
  <c r="T211" i="1"/>
  <c r="S211" i="1"/>
  <c r="R211" i="1"/>
  <c r="V210" i="1"/>
  <c r="U210" i="1"/>
  <c r="T210" i="1"/>
  <c r="S210" i="1"/>
  <c r="R210" i="1"/>
  <c r="V209" i="1"/>
  <c r="U209" i="1"/>
  <c r="T209" i="1"/>
  <c r="S209" i="1"/>
  <c r="R209" i="1"/>
  <c r="V207" i="1"/>
  <c r="U207" i="1"/>
  <c r="T207" i="1"/>
  <c r="S207" i="1"/>
  <c r="R207" i="1"/>
  <c r="V204" i="1"/>
  <c r="U204" i="1"/>
  <c r="T204" i="1"/>
  <c r="S204" i="1"/>
  <c r="R204" i="1"/>
  <c r="V203" i="1"/>
  <c r="U203" i="1"/>
  <c r="T203" i="1"/>
  <c r="S203" i="1"/>
  <c r="R203" i="1"/>
  <c r="V199" i="1"/>
  <c r="U199" i="1"/>
  <c r="S199" i="1"/>
  <c r="O199" i="1"/>
  <c r="H199" i="1"/>
  <c r="V198" i="1"/>
  <c r="U198" i="1"/>
  <c r="T198" i="1"/>
  <c r="S198" i="1"/>
  <c r="R198" i="1"/>
  <c r="V197" i="1"/>
  <c r="U197" i="1"/>
  <c r="T197" i="1"/>
  <c r="S197" i="1"/>
  <c r="R197" i="1"/>
  <c r="V194" i="1"/>
  <c r="U194" i="1"/>
  <c r="S194" i="1"/>
  <c r="O194" i="1"/>
  <c r="K194" i="1"/>
  <c r="L169" i="1" s="1"/>
  <c r="H194" i="1"/>
  <c r="D194" i="1"/>
  <c r="E171" i="1" s="1"/>
  <c r="V163" i="1"/>
  <c r="U163" i="1"/>
  <c r="S163" i="1"/>
  <c r="O163" i="1"/>
  <c r="H163" i="1"/>
  <c r="D163" i="1"/>
  <c r="E157" i="1" s="1"/>
  <c r="V162" i="1"/>
  <c r="U162" i="1"/>
  <c r="T162" i="1"/>
  <c r="S162" i="1"/>
  <c r="R162" i="1"/>
  <c r="V161" i="1"/>
  <c r="U161" i="1"/>
  <c r="T161" i="1"/>
  <c r="S161" i="1"/>
  <c r="R161" i="1"/>
  <c r="V160" i="1"/>
  <c r="U160" i="1"/>
  <c r="T160" i="1"/>
  <c r="S160" i="1"/>
  <c r="R160" i="1"/>
  <c r="V159" i="1"/>
  <c r="U159" i="1"/>
  <c r="T159" i="1"/>
  <c r="S159" i="1"/>
  <c r="R159" i="1"/>
  <c r="V157" i="1"/>
  <c r="U157" i="1"/>
  <c r="T157" i="1"/>
  <c r="S157" i="1"/>
  <c r="R157" i="1"/>
  <c r="V154" i="1"/>
  <c r="U154" i="1"/>
  <c r="S154" i="1"/>
  <c r="O154" i="1"/>
  <c r="H154" i="1"/>
  <c r="V153" i="1"/>
  <c r="U153" i="1"/>
  <c r="T153" i="1"/>
  <c r="V151" i="1"/>
  <c r="U151" i="1"/>
  <c r="T151" i="1"/>
  <c r="S151" i="1"/>
  <c r="R151" i="1"/>
  <c r="V150" i="1"/>
  <c r="U150" i="1"/>
  <c r="T150" i="1"/>
  <c r="S150" i="1"/>
  <c r="V148" i="1"/>
  <c r="U148" i="1"/>
  <c r="T148" i="1"/>
  <c r="S148" i="1"/>
  <c r="R148" i="1"/>
  <c r="T146" i="1"/>
  <c r="S146" i="1"/>
  <c r="V145" i="1"/>
  <c r="U145" i="1"/>
  <c r="T145" i="1"/>
  <c r="R145" i="1"/>
  <c r="S145" i="1"/>
  <c r="V144" i="1"/>
  <c r="U144" i="1"/>
  <c r="T144" i="1"/>
  <c r="V143" i="1"/>
  <c r="U143" i="1"/>
  <c r="T143" i="1"/>
  <c r="S143" i="1"/>
  <c r="R143" i="1"/>
  <c r="V142" i="1"/>
  <c r="U142" i="1"/>
  <c r="T142" i="1"/>
  <c r="R142" i="1"/>
  <c r="V140" i="1"/>
  <c r="U140" i="1"/>
  <c r="S140" i="1"/>
  <c r="R140" i="1"/>
  <c r="V138" i="1"/>
  <c r="U138" i="1"/>
  <c r="T138" i="1"/>
  <c r="S138" i="1"/>
  <c r="R138" i="1"/>
  <c r="V136" i="1"/>
  <c r="U136" i="1"/>
  <c r="T136" i="1"/>
  <c r="V135" i="1"/>
  <c r="U135" i="1"/>
  <c r="T135" i="1"/>
  <c r="V132" i="1"/>
  <c r="U132" i="1"/>
  <c r="T132" i="1"/>
  <c r="S132" i="1"/>
  <c r="V131" i="1"/>
  <c r="U131" i="1"/>
  <c r="T131" i="1"/>
  <c r="S131" i="1"/>
  <c r="R131" i="1"/>
  <c r="V130" i="1"/>
  <c r="U130" i="1"/>
  <c r="T130" i="1"/>
  <c r="S130" i="1"/>
  <c r="V129" i="1"/>
  <c r="U129" i="1"/>
  <c r="T129" i="1"/>
  <c r="S129" i="1"/>
  <c r="V128" i="1"/>
  <c r="U128" i="1"/>
  <c r="T128" i="1"/>
  <c r="S128" i="1"/>
  <c r="V126" i="1"/>
  <c r="U126" i="1"/>
  <c r="T126" i="1"/>
  <c r="S126" i="1"/>
  <c r="R126" i="1"/>
  <c r="V125" i="1"/>
  <c r="U125" i="1"/>
  <c r="T125" i="1"/>
  <c r="S125" i="1"/>
  <c r="R125" i="1"/>
  <c r="V124" i="1"/>
  <c r="U124" i="1"/>
  <c r="T124" i="1"/>
  <c r="S124" i="1"/>
  <c r="R124" i="1"/>
  <c r="V123" i="1"/>
  <c r="U123" i="1"/>
  <c r="T123" i="1"/>
  <c r="V122" i="1"/>
  <c r="U122" i="1"/>
  <c r="T122" i="1"/>
  <c r="V121" i="1"/>
  <c r="U121" i="1"/>
  <c r="T121" i="1"/>
  <c r="S121" i="1"/>
  <c r="V120" i="1"/>
  <c r="U120" i="1"/>
  <c r="T120" i="1"/>
  <c r="S120" i="1"/>
  <c r="V118" i="1"/>
  <c r="U118" i="1"/>
  <c r="T118" i="1"/>
  <c r="S118" i="1"/>
  <c r="V117" i="1"/>
  <c r="U117" i="1"/>
  <c r="T117" i="1"/>
  <c r="V116" i="1"/>
  <c r="U116" i="1"/>
  <c r="T116" i="1"/>
  <c r="R116" i="1"/>
  <c r="V112" i="1"/>
  <c r="U112" i="1"/>
  <c r="S112" i="1"/>
  <c r="K112" i="1"/>
  <c r="H112" i="1"/>
  <c r="D112" i="1"/>
  <c r="V111" i="1"/>
  <c r="U111" i="1"/>
  <c r="T111" i="1"/>
  <c r="S111" i="1"/>
  <c r="R111" i="1"/>
  <c r="V110" i="1"/>
  <c r="U110" i="1"/>
  <c r="T110" i="1"/>
  <c r="S110" i="1"/>
  <c r="R110" i="1"/>
  <c r="V109" i="1"/>
  <c r="U109" i="1"/>
  <c r="T109" i="1"/>
  <c r="S109" i="1"/>
  <c r="R109" i="1"/>
  <c r="V108" i="1"/>
  <c r="U108" i="1"/>
  <c r="T108" i="1"/>
  <c r="S108" i="1"/>
  <c r="R108" i="1"/>
  <c r="V107" i="1"/>
  <c r="U107" i="1"/>
  <c r="T107" i="1"/>
  <c r="S107" i="1"/>
  <c r="R107" i="1"/>
  <c r="V105" i="1"/>
  <c r="U105" i="1"/>
  <c r="T105" i="1"/>
  <c r="S105" i="1"/>
  <c r="R105" i="1"/>
  <c r="V104" i="1"/>
  <c r="U104" i="1"/>
  <c r="T104" i="1"/>
  <c r="S104" i="1"/>
  <c r="R104" i="1"/>
  <c r="V103" i="1"/>
  <c r="U103" i="1"/>
  <c r="T103" i="1"/>
  <c r="S103" i="1"/>
  <c r="R103" i="1"/>
  <c r="V102" i="1"/>
  <c r="U102" i="1"/>
  <c r="T102" i="1"/>
  <c r="S102" i="1"/>
  <c r="R102" i="1"/>
  <c r="V101" i="1"/>
  <c r="U101" i="1"/>
  <c r="T101" i="1"/>
  <c r="S101" i="1"/>
  <c r="R101" i="1"/>
  <c r="V100" i="1"/>
  <c r="U100" i="1"/>
  <c r="T100" i="1"/>
  <c r="S100" i="1"/>
  <c r="R100" i="1"/>
  <c r="V99" i="1"/>
  <c r="U99" i="1"/>
  <c r="T99" i="1"/>
  <c r="S99" i="1"/>
  <c r="R99" i="1"/>
  <c r="V98" i="1"/>
  <c r="U98" i="1"/>
  <c r="T98" i="1"/>
  <c r="S98" i="1"/>
  <c r="R98" i="1"/>
  <c r="V97" i="1"/>
  <c r="U97" i="1"/>
  <c r="T97" i="1"/>
  <c r="S97" i="1"/>
  <c r="R97" i="1"/>
  <c r="V96" i="1"/>
  <c r="U96" i="1"/>
  <c r="T96" i="1"/>
  <c r="S96" i="1"/>
  <c r="V95" i="1"/>
  <c r="U95" i="1"/>
  <c r="T95" i="1"/>
  <c r="S95" i="1"/>
  <c r="R95" i="1"/>
  <c r="V94" i="1"/>
  <c r="U94" i="1"/>
  <c r="T94" i="1"/>
  <c r="S94" i="1"/>
  <c r="R94" i="1"/>
  <c r="V93" i="1"/>
  <c r="U93" i="1"/>
  <c r="T93" i="1"/>
  <c r="S93" i="1"/>
  <c r="R93" i="1"/>
  <c r="V92" i="1"/>
  <c r="U92" i="1"/>
  <c r="T92" i="1"/>
  <c r="S92" i="1"/>
  <c r="R92" i="1"/>
  <c r="V91" i="1"/>
  <c r="U91" i="1"/>
  <c r="T91" i="1"/>
  <c r="S91" i="1"/>
  <c r="R91" i="1"/>
  <c r="V90" i="1"/>
  <c r="U90" i="1"/>
  <c r="T90" i="1"/>
  <c r="S90" i="1"/>
  <c r="R90" i="1"/>
  <c r="V89" i="1"/>
  <c r="U89" i="1"/>
  <c r="T89" i="1"/>
  <c r="S89" i="1"/>
  <c r="R89" i="1"/>
  <c r="V88" i="1"/>
  <c r="U88" i="1"/>
  <c r="T88" i="1"/>
  <c r="S88" i="1"/>
  <c r="R88" i="1"/>
  <c r="V87" i="1"/>
  <c r="U87" i="1"/>
  <c r="T87" i="1"/>
  <c r="S87" i="1"/>
  <c r="R87" i="1"/>
  <c r="V86" i="1"/>
  <c r="U86" i="1"/>
  <c r="T86" i="1"/>
  <c r="S86" i="1"/>
  <c r="R86" i="1"/>
  <c r="V85" i="1"/>
  <c r="U85" i="1"/>
  <c r="T85" i="1"/>
  <c r="S85" i="1"/>
  <c r="R85" i="1"/>
  <c r="V83" i="1"/>
  <c r="U83" i="1"/>
  <c r="T83" i="1"/>
  <c r="S83" i="1"/>
  <c r="V82" i="1"/>
  <c r="U82" i="1"/>
  <c r="T82" i="1"/>
  <c r="S82" i="1"/>
  <c r="R82" i="1"/>
  <c r="V81" i="1"/>
  <c r="U81" i="1"/>
  <c r="T81" i="1"/>
  <c r="S81" i="1"/>
  <c r="R81" i="1"/>
  <c r="V80" i="1"/>
  <c r="U80" i="1"/>
  <c r="T80" i="1"/>
  <c r="S80" i="1"/>
  <c r="R80" i="1"/>
  <c r="U78" i="1"/>
  <c r="V78" i="1" s="1"/>
  <c r="T78" i="1"/>
  <c r="S78" i="1"/>
  <c r="R78" i="1"/>
  <c r="U77" i="1"/>
  <c r="T77" i="1"/>
  <c r="S77" i="1"/>
  <c r="R77" i="1"/>
  <c r="V76" i="1"/>
  <c r="U76" i="1"/>
  <c r="T76" i="1"/>
  <c r="S76" i="1"/>
  <c r="R76" i="1"/>
  <c r="V75" i="1"/>
  <c r="U75" i="1"/>
  <c r="T75" i="1"/>
  <c r="S75" i="1"/>
  <c r="R75" i="1"/>
  <c r="V74" i="1"/>
  <c r="U74" i="1"/>
  <c r="T74" i="1"/>
  <c r="S74" i="1"/>
  <c r="R74" i="1"/>
  <c r="V73" i="1"/>
  <c r="U73" i="1"/>
  <c r="T73" i="1"/>
  <c r="S73" i="1"/>
  <c r="R73" i="1"/>
  <c r="V70" i="1"/>
  <c r="U70" i="1"/>
  <c r="S70" i="1"/>
  <c r="O70" i="1"/>
  <c r="K70" i="1"/>
  <c r="L62" i="1" s="1"/>
  <c r="H70" i="1"/>
  <c r="D70" i="1"/>
  <c r="B14" i="2" s="1"/>
  <c r="B4" i="2" s="1"/>
  <c r="V69" i="1"/>
  <c r="U69" i="1"/>
  <c r="T69" i="1"/>
  <c r="S69" i="1"/>
  <c r="R69" i="1"/>
  <c r="V68" i="1"/>
  <c r="U68" i="1"/>
  <c r="T68" i="1"/>
  <c r="S68" i="1"/>
  <c r="R68" i="1"/>
  <c r="V67" i="1"/>
  <c r="U67" i="1"/>
  <c r="T67" i="1"/>
  <c r="S67" i="1"/>
  <c r="R67" i="1"/>
  <c r="V66" i="1"/>
  <c r="U66" i="1"/>
  <c r="T66" i="1"/>
  <c r="S66" i="1"/>
  <c r="R66" i="1"/>
  <c r="V65" i="1"/>
  <c r="U65" i="1"/>
  <c r="T65" i="1"/>
  <c r="S65" i="1"/>
  <c r="R65" i="1"/>
  <c r="V64" i="1"/>
  <c r="U64" i="1"/>
  <c r="T64" i="1"/>
  <c r="S64" i="1"/>
  <c r="R64" i="1"/>
  <c r="V63" i="1"/>
  <c r="U63" i="1"/>
  <c r="T63" i="1"/>
  <c r="S63" i="1"/>
  <c r="R63" i="1"/>
  <c r="V62" i="1"/>
  <c r="U62" i="1"/>
  <c r="T62" i="1"/>
  <c r="S62" i="1"/>
  <c r="R62" i="1"/>
  <c r="V61" i="1"/>
  <c r="U61" i="1"/>
  <c r="T61" i="1"/>
  <c r="S61" i="1"/>
  <c r="R61" i="1"/>
  <c r="V60" i="1"/>
  <c r="U60" i="1"/>
  <c r="T60" i="1"/>
  <c r="S60" i="1"/>
  <c r="R60" i="1"/>
  <c r="V58" i="1"/>
  <c r="U58" i="1"/>
  <c r="T58" i="1"/>
  <c r="S58" i="1"/>
  <c r="R58" i="1"/>
  <c r="V57" i="1"/>
  <c r="U57" i="1"/>
  <c r="T57" i="1"/>
  <c r="S57" i="1"/>
  <c r="R57" i="1"/>
  <c r="V56" i="1"/>
  <c r="U56" i="1"/>
  <c r="T56" i="1"/>
  <c r="S56" i="1"/>
  <c r="R56" i="1"/>
  <c r="V55" i="1"/>
  <c r="U55" i="1"/>
  <c r="T55" i="1"/>
  <c r="S55" i="1"/>
  <c r="R55" i="1"/>
  <c r="V54" i="1"/>
  <c r="U54" i="1"/>
  <c r="T54" i="1"/>
  <c r="S54" i="1"/>
  <c r="V52" i="1"/>
  <c r="U52" i="1"/>
  <c r="T52" i="1"/>
  <c r="S52" i="1"/>
  <c r="R52" i="1"/>
  <c r="V51" i="1"/>
  <c r="U51" i="1"/>
  <c r="T51" i="1"/>
  <c r="S51" i="1"/>
  <c r="R51" i="1"/>
  <c r="V49" i="1"/>
  <c r="U49" i="1"/>
  <c r="T49" i="1"/>
  <c r="S49" i="1"/>
  <c r="R49" i="1"/>
  <c r="V48" i="1"/>
  <c r="U48" i="1"/>
  <c r="T48" i="1"/>
  <c r="S48" i="1"/>
  <c r="R48" i="1"/>
  <c r="V47" i="1"/>
  <c r="U47" i="1"/>
  <c r="T47" i="1"/>
  <c r="S47" i="1"/>
  <c r="R47" i="1"/>
  <c r="V45" i="1"/>
  <c r="U45" i="1"/>
  <c r="T45" i="1"/>
  <c r="S45" i="1"/>
  <c r="R45" i="1"/>
  <c r="V44" i="1"/>
  <c r="U44" i="1"/>
  <c r="T44" i="1"/>
  <c r="S44" i="1"/>
  <c r="R44" i="1"/>
  <c r="V43" i="1"/>
  <c r="U43" i="1"/>
  <c r="T43" i="1"/>
  <c r="S43" i="1"/>
  <c r="R43" i="1"/>
  <c r="V42" i="1"/>
  <c r="U42" i="1"/>
  <c r="T42" i="1"/>
  <c r="S42" i="1"/>
  <c r="R42" i="1"/>
  <c r="V41" i="1"/>
  <c r="U41" i="1"/>
  <c r="T41" i="1"/>
  <c r="S41" i="1"/>
  <c r="R41" i="1"/>
  <c r="V39" i="1"/>
  <c r="U39" i="1"/>
  <c r="T39" i="1"/>
  <c r="S39" i="1"/>
  <c r="R39" i="1"/>
  <c r="V38" i="1"/>
  <c r="U38" i="1"/>
  <c r="T38" i="1"/>
  <c r="S38" i="1"/>
  <c r="R38" i="1"/>
  <c r="V37" i="1"/>
  <c r="U37" i="1"/>
  <c r="T37" i="1"/>
  <c r="S37" i="1"/>
  <c r="R37" i="1"/>
  <c r="V36" i="1"/>
  <c r="U36" i="1"/>
  <c r="T36" i="1"/>
  <c r="S36" i="1"/>
  <c r="R36" i="1"/>
  <c r="V35" i="1"/>
  <c r="U35" i="1"/>
  <c r="T35" i="1"/>
  <c r="S35" i="1"/>
  <c r="R35" i="1"/>
  <c r="V33" i="1"/>
  <c r="U33" i="1"/>
  <c r="T33" i="1"/>
  <c r="S33" i="1"/>
  <c r="R33" i="1"/>
  <c r="V31" i="1"/>
  <c r="U31" i="1"/>
  <c r="T31" i="1"/>
  <c r="S31" i="1"/>
  <c r="V30" i="1"/>
  <c r="U30" i="1"/>
  <c r="T30" i="1"/>
  <c r="S30" i="1"/>
  <c r="R30" i="1"/>
  <c r="V29" i="1"/>
  <c r="U29" i="1"/>
  <c r="T29" i="1"/>
  <c r="S29" i="1"/>
  <c r="R29" i="1"/>
  <c r="V28" i="1"/>
  <c r="T28" i="1"/>
  <c r="S28" i="1"/>
  <c r="R28" i="1"/>
  <c r="V25" i="1"/>
  <c r="U25" i="1"/>
  <c r="S25" i="1"/>
  <c r="O25" i="1"/>
  <c r="K25" i="1"/>
  <c r="L23" i="1" s="1"/>
  <c r="H25" i="1"/>
  <c r="D25" i="1"/>
  <c r="E23" i="1" s="1"/>
  <c r="V24" i="1"/>
  <c r="U24" i="1"/>
  <c r="T24" i="1"/>
  <c r="S24" i="1"/>
  <c r="R24" i="1"/>
  <c r="V22" i="1"/>
  <c r="U22" i="1"/>
  <c r="T22" i="1"/>
  <c r="S22" i="1"/>
  <c r="R22" i="1"/>
  <c r="V21" i="1"/>
  <c r="U21" i="1"/>
  <c r="T21" i="1"/>
  <c r="S21" i="1"/>
  <c r="R21" i="1"/>
  <c r="V20" i="1"/>
  <c r="U20" i="1"/>
  <c r="T20" i="1"/>
  <c r="S20" i="1"/>
  <c r="R20" i="1"/>
  <c r="V19" i="1"/>
  <c r="U19" i="1"/>
  <c r="T19" i="1"/>
  <c r="S19" i="1"/>
  <c r="R19" i="1"/>
  <c r="V18" i="1"/>
  <c r="U18" i="1"/>
  <c r="T18" i="1"/>
  <c r="S18" i="1"/>
  <c r="R18" i="1"/>
  <c r="V17" i="1"/>
  <c r="U17" i="1"/>
  <c r="T17" i="1"/>
  <c r="S17" i="1"/>
  <c r="R17" i="1"/>
  <c r="V16" i="1"/>
  <c r="U16" i="1"/>
  <c r="T16" i="1"/>
  <c r="S16" i="1"/>
  <c r="R16" i="1"/>
  <c r="V15" i="1"/>
  <c r="U15" i="1"/>
  <c r="T15" i="1"/>
  <c r="S15" i="1"/>
  <c r="V14" i="1"/>
  <c r="U14" i="1"/>
  <c r="T14" i="1"/>
  <c r="S14" i="1"/>
  <c r="R14" i="1"/>
  <c r="V13" i="1"/>
  <c r="U13" i="1"/>
  <c r="T13" i="1"/>
  <c r="S13" i="1"/>
  <c r="R13" i="1"/>
  <c r="V12" i="1"/>
  <c r="U12" i="1"/>
  <c r="T12" i="1"/>
  <c r="S12" i="1"/>
  <c r="R12" i="1"/>
  <c r="V11" i="1"/>
  <c r="U11" i="1"/>
  <c r="T11" i="1"/>
  <c r="S11" i="1"/>
  <c r="R11" i="1"/>
  <c r="V10" i="1"/>
  <c r="U10" i="1"/>
  <c r="T10" i="1"/>
  <c r="S10" i="1"/>
  <c r="R10" i="1"/>
  <c r="V9" i="1"/>
  <c r="U9" i="1"/>
  <c r="T9" i="1"/>
  <c r="S9" i="1"/>
  <c r="R9" i="1"/>
  <c r="V8" i="1"/>
  <c r="U8" i="1"/>
  <c r="T8" i="1"/>
  <c r="S8" i="1"/>
  <c r="R8" i="1"/>
  <c r="V7" i="1"/>
  <c r="U7" i="1"/>
  <c r="T7" i="1"/>
  <c r="S7" i="1"/>
  <c r="R7" i="1"/>
  <c r="V6" i="1"/>
  <c r="U6" i="1"/>
  <c r="T6" i="1"/>
  <c r="S6" i="1"/>
  <c r="D154" i="1"/>
  <c r="E137" i="1" s="1"/>
  <c r="R118" i="1"/>
  <c r="R121" i="1"/>
  <c r="R132" i="1"/>
  <c r="R136" i="1"/>
  <c r="R146" i="1"/>
  <c r="R150" i="1"/>
  <c r="L111" i="1" l="1"/>
  <c r="L80" i="1"/>
  <c r="L158" i="1"/>
  <c r="L162" i="1"/>
  <c r="L82" i="1"/>
  <c r="L105" i="1"/>
  <c r="L180" i="1"/>
  <c r="L188" i="1"/>
  <c r="L38" i="1"/>
  <c r="L65" i="1"/>
  <c r="L168" i="1"/>
  <c r="L173" i="1"/>
  <c r="L213" i="1"/>
  <c r="L209" i="1"/>
  <c r="L22" i="1"/>
  <c r="L10" i="1"/>
  <c r="L109" i="1"/>
  <c r="L110" i="1"/>
  <c r="L92" i="1"/>
  <c r="L204" i="1"/>
  <c r="L178" i="1"/>
  <c r="L139" i="1"/>
  <c r="L138" i="1"/>
  <c r="L108" i="1"/>
  <c r="L103" i="1"/>
  <c r="L52" i="1"/>
  <c r="L251" i="1"/>
  <c r="L248" i="1"/>
  <c r="L107" i="1"/>
  <c r="L76" i="1"/>
  <c r="L96" i="1"/>
  <c r="L32" i="1"/>
  <c r="L36" i="1"/>
  <c r="L222" i="1"/>
  <c r="L69" i="1"/>
  <c r="L29" i="1"/>
  <c r="L79" i="1"/>
  <c r="L160" i="1"/>
  <c r="E12" i="4"/>
  <c r="L19" i="1"/>
  <c r="L9" i="1"/>
  <c r="E98" i="1"/>
  <c r="E79" i="1"/>
  <c r="E141" i="1"/>
  <c r="E135" i="1"/>
  <c r="L89" i="1"/>
  <c r="L183" i="1"/>
  <c r="L41" i="1"/>
  <c r="L40" i="1"/>
  <c r="E143" i="1"/>
  <c r="E151" i="1"/>
  <c r="E152" i="1"/>
  <c r="E153" i="1"/>
  <c r="T199" i="1"/>
  <c r="L106" i="1"/>
  <c r="D12" i="4"/>
  <c r="L207" i="1"/>
  <c r="F12" i="4"/>
  <c r="E90" i="1"/>
  <c r="E238" i="1"/>
  <c r="E100" i="1"/>
  <c r="E102" i="1"/>
  <c r="G12" i="4"/>
  <c r="E161" i="1"/>
  <c r="E4" i="5"/>
  <c r="E3" i="5" s="1"/>
  <c r="E93" i="1"/>
  <c r="E106" i="1"/>
  <c r="E80" i="1"/>
  <c r="L174" i="1"/>
  <c r="L192" i="1"/>
  <c r="L193" i="1"/>
  <c r="E105" i="1"/>
  <c r="E92" i="1"/>
  <c r="I12" i="4"/>
  <c r="H12" i="4"/>
  <c r="E46" i="1"/>
  <c r="E197" i="1"/>
  <c r="E198" i="1"/>
  <c r="E110" i="1"/>
  <c r="E13" i="1"/>
  <c r="E17" i="1"/>
  <c r="E15" i="1"/>
  <c r="E34" i="1"/>
  <c r="E14" i="1"/>
  <c r="C4" i="5"/>
  <c r="C3" i="5" s="1"/>
  <c r="C12" i="4"/>
  <c r="B4" i="5"/>
  <c r="B3" i="5" s="1"/>
  <c r="T163" i="1"/>
  <c r="E91" i="1"/>
  <c r="E108" i="1"/>
  <c r="E87" i="1"/>
  <c r="E81" i="1"/>
  <c r="E95" i="1"/>
  <c r="E252" i="1"/>
  <c r="E78" i="1"/>
  <c r="E75" i="1"/>
  <c r="E185" i="1"/>
  <c r="E111" i="1"/>
  <c r="E73" i="1"/>
  <c r="E189" i="1"/>
  <c r="E86" i="1"/>
  <c r="E83" i="1"/>
  <c r="T112" i="1"/>
  <c r="E82" i="1"/>
  <c r="E76" i="1"/>
  <c r="E144" i="1"/>
  <c r="E109" i="1"/>
  <c r="E99" i="1"/>
  <c r="B15" i="2"/>
  <c r="B5" i="2" s="1"/>
  <c r="E88" i="1"/>
  <c r="B16" i="2"/>
  <c r="B6" i="2" s="1"/>
  <c r="E84" i="1"/>
  <c r="E107" i="1"/>
  <c r="E104" i="1"/>
  <c r="E103" i="1"/>
  <c r="E16" i="1"/>
  <c r="E9" i="1"/>
  <c r="E20" i="1"/>
  <c r="E247" i="1"/>
  <c r="E18" i="1"/>
  <c r="B13" i="2"/>
  <c r="B3" i="2" s="1"/>
  <c r="E6" i="1"/>
  <c r="E10" i="1"/>
  <c r="E24" i="1"/>
  <c r="E11" i="1"/>
  <c r="E208" i="1"/>
  <c r="E232" i="1"/>
  <c r="E12" i="1"/>
  <c r="E21" i="1"/>
  <c r="E7" i="1"/>
  <c r="E22" i="1"/>
  <c r="E8" i="1"/>
  <c r="E128" i="1"/>
  <c r="E19" i="1"/>
  <c r="L238" i="1"/>
  <c r="R239" i="1"/>
  <c r="L231" i="1"/>
  <c r="L230" i="1"/>
  <c r="R234" i="1"/>
  <c r="E209" i="1"/>
  <c r="B20" i="2"/>
  <c r="B10" i="2" s="1"/>
  <c r="E207" i="1"/>
  <c r="E214" i="1"/>
  <c r="E212" i="1"/>
  <c r="E230" i="1"/>
  <c r="E229" i="1"/>
  <c r="E217" i="1"/>
  <c r="E224" i="1"/>
  <c r="E215" i="1"/>
  <c r="E222" i="1"/>
  <c r="E184" i="1"/>
  <c r="E192" i="1"/>
  <c r="E173" i="1"/>
  <c r="E167" i="1"/>
  <c r="E179" i="1"/>
  <c r="E188" i="1"/>
  <c r="E49" i="1"/>
  <c r="E170" i="1"/>
  <c r="E190" i="1"/>
  <c r="E181" i="1"/>
  <c r="E172" i="1"/>
  <c r="E193" i="1"/>
  <c r="E183" i="1"/>
  <c r="E168" i="1"/>
  <c r="E180" i="1"/>
  <c r="E174" i="1"/>
  <c r="E186" i="1"/>
  <c r="E175" i="1"/>
  <c r="E187" i="1"/>
  <c r="E166" i="1"/>
  <c r="E191" i="1"/>
  <c r="E178" i="1"/>
  <c r="E169" i="1"/>
  <c r="E182" i="1"/>
  <c r="E176" i="1"/>
  <c r="B18" i="2"/>
  <c r="B8" i="2" s="1"/>
  <c r="E177" i="1"/>
  <c r="E160" i="1"/>
  <c r="E162" i="1"/>
  <c r="E147" i="1"/>
  <c r="E118" i="1"/>
  <c r="E149" i="1"/>
  <c r="E127" i="1"/>
  <c r="E119" i="1"/>
  <c r="E145" i="1"/>
  <c r="E120" i="1"/>
  <c r="E139" i="1"/>
  <c r="L229" i="1"/>
  <c r="L157" i="1"/>
  <c r="B6" i="3"/>
  <c r="L233" i="1"/>
  <c r="T225" i="1"/>
  <c r="L159" i="1"/>
  <c r="L161" i="1"/>
  <c r="C17" i="2"/>
  <c r="C7" i="2" s="1"/>
  <c r="E251" i="1"/>
  <c r="E249" i="1"/>
  <c r="L243" i="1"/>
  <c r="R199" i="1"/>
  <c r="L198" i="1"/>
  <c r="B2" i="3"/>
  <c r="C19" i="2"/>
  <c r="C9" i="2" s="1"/>
  <c r="L214" i="1"/>
  <c r="L215" i="1"/>
  <c r="L217" i="1"/>
  <c r="C20" i="2"/>
  <c r="C10" i="2" s="1"/>
  <c r="L203" i="1"/>
  <c r="L219" i="1"/>
  <c r="L210" i="1"/>
  <c r="B4" i="3"/>
  <c r="L208" i="1"/>
  <c r="L218" i="1"/>
  <c r="L216" i="1"/>
  <c r="T25" i="1"/>
  <c r="L11" i="1"/>
  <c r="B3" i="3"/>
  <c r="L20" i="1"/>
  <c r="L17" i="1"/>
  <c r="L16" i="1"/>
  <c r="L18" i="1"/>
  <c r="L7" i="1"/>
  <c r="L13" i="1"/>
  <c r="L14" i="1"/>
  <c r="L12" i="1"/>
  <c r="L34" i="1"/>
  <c r="L8" i="1"/>
  <c r="L6" i="1"/>
  <c r="L24" i="1"/>
  <c r="C13" i="2"/>
  <c r="C3" i="2" s="1"/>
  <c r="L21" i="1"/>
  <c r="R25" i="1"/>
  <c r="L15" i="1"/>
  <c r="L252" i="1"/>
  <c r="L247" i="1"/>
  <c r="L249" i="1"/>
  <c r="L245" i="1"/>
  <c r="L211" i="1"/>
  <c r="L223" i="1"/>
  <c r="L224" i="1"/>
  <c r="E30" i="1"/>
  <c r="T254" i="1"/>
  <c r="L250" i="1"/>
  <c r="L253" i="1"/>
  <c r="L246" i="1"/>
  <c r="L244" i="1"/>
  <c r="L242" i="1"/>
  <c r="K154" i="1"/>
  <c r="R120" i="1"/>
  <c r="R123" i="1"/>
  <c r="T70" i="1"/>
  <c r="E56" i="1"/>
  <c r="L33" i="1"/>
  <c r="L44" i="1"/>
  <c r="E69" i="1"/>
  <c r="L64" i="1"/>
  <c r="L63" i="1"/>
  <c r="L68" i="1"/>
  <c r="E64" i="1"/>
  <c r="L48" i="1"/>
  <c r="E47" i="1"/>
  <c r="L31" i="1"/>
  <c r="E35" i="1"/>
  <c r="E62" i="1"/>
  <c r="E44" i="1"/>
  <c r="E48" i="1"/>
  <c r="E31" i="1"/>
  <c r="E67" i="1"/>
  <c r="E97" i="1"/>
  <c r="L61" i="1"/>
  <c r="L43" i="1"/>
  <c r="E28" i="1"/>
  <c r="L47" i="1"/>
  <c r="L30" i="1"/>
  <c r="E65" i="1"/>
  <c r="L45" i="1"/>
  <c r="E60" i="1"/>
  <c r="E42" i="1"/>
  <c r="E45" i="1"/>
  <c r="E29" i="1"/>
  <c r="E63" i="1"/>
  <c r="E59" i="1"/>
  <c r="L58" i="1"/>
  <c r="E43" i="1"/>
  <c r="L28" i="1"/>
  <c r="E61" i="1"/>
  <c r="B9" i="3"/>
  <c r="E57" i="1"/>
  <c r="E39" i="1"/>
  <c r="L42" i="1"/>
  <c r="E58" i="1"/>
  <c r="L97" i="1"/>
  <c r="L56" i="1"/>
  <c r="E41" i="1"/>
  <c r="L50" i="1"/>
  <c r="L53" i="1"/>
  <c r="E68" i="1"/>
  <c r="E55" i="1"/>
  <c r="E38" i="1"/>
  <c r="L39" i="1"/>
  <c r="L55" i="1"/>
  <c r="E50" i="1"/>
  <c r="L46" i="1"/>
  <c r="E53" i="1"/>
  <c r="C14" i="2"/>
  <c r="C4" i="2" s="1"/>
  <c r="L67" i="1"/>
  <c r="L54" i="1"/>
  <c r="L37" i="1"/>
  <c r="L66" i="1"/>
  <c r="L35" i="1"/>
  <c r="L59" i="1"/>
  <c r="E66" i="1"/>
  <c r="E52" i="1"/>
  <c r="E36" i="1"/>
  <c r="E51" i="1"/>
  <c r="L57" i="1"/>
  <c r="E32" i="1"/>
  <c r="L51" i="1"/>
  <c r="E33" i="1"/>
  <c r="E37" i="1"/>
  <c r="E54" i="1"/>
  <c r="L60" i="1"/>
  <c r="R70" i="1"/>
  <c r="E245" i="1"/>
  <c r="E243" i="1"/>
  <c r="E246" i="1"/>
  <c r="E248" i="1"/>
  <c r="E250" i="1"/>
  <c r="E253" i="1"/>
  <c r="E244" i="1"/>
  <c r="R254" i="1"/>
  <c r="E223" i="1"/>
  <c r="E210" i="1"/>
  <c r="E203" i="1"/>
  <c r="E204" i="1"/>
  <c r="E219" i="1"/>
  <c r="E213" i="1"/>
  <c r="E231" i="1"/>
  <c r="E233" i="1"/>
  <c r="E218" i="1"/>
  <c r="R225" i="1"/>
  <c r="E216" i="1"/>
  <c r="T194" i="1"/>
  <c r="H226" i="1"/>
  <c r="H255" i="1" s="1"/>
  <c r="B17" i="2"/>
  <c r="B7" i="2" s="1"/>
  <c r="E159" i="1"/>
  <c r="R163" i="1"/>
  <c r="T154" i="1"/>
  <c r="E124" i="1"/>
  <c r="E138" i="1"/>
  <c r="E125" i="1"/>
  <c r="E150" i="1"/>
  <c r="E130" i="1"/>
  <c r="E129" i="1"/>
  <c r="E142" i="1"/>
  <c r="E146" i="1"/>
  <c r="E132" i="1"/>
  <c r="E148" i="1"/>
  <c r="E136" i="1"/>
  <c r="E126" i="1"/>
  <c r="E121" i="1"/>
  <c r="E116" i="1"/>
  <c r="E140" i="1"/>
  <c r="E131" i="1"/>
  <c r="E117" i="1"/>
  <c r="E123" i="1"/>
  <c r="E85" i="1"/>
  <c r="E101" i="1"/>
  <c r="E96" i="1"/>
  <c r="E74" i="1"/>
  <c r="E89" i="1"/>
  <c r="E94" i="1"/>
  <c r="D226" i="1"/>
  <c r="E25" i="1" s="1"/>
  <c r="J12" i="4"/>
  <c r="O226" i="1"/>
  <c r="O255" i="1" s="1"/>
  <c r="L175" i="1"/>
  <c r="L186" i="1"/>
  <c r="R194" i="1"/>
  <c r="B5" i="3"/>
  <c r="L166" i="1"/>
  <c r="L187" i="1"/>
  <c r="L49" i="1"/>
  <c r="L177" i="1"/>
  <c r="L190" i="1"/>
  <c r="L176" i="1"/>
  <c r="L170" i="1"/>
  <c r="L185" i="1"/>
  <c r="L182" i="1"/>
  <c r="C18" i="2"/>
  <c r="C8" i="2" s="1"/>
  <c r="L181" i="1"/>
  <c r="L189" i="1"/>
  <c r="L171" i="1"/>
  <c r="L167" i="1"/>
  <c r="L179" i="1"/>
  <c r="L191" i="1"/>
  <c r="L184" i="1"/>
  <c r="L172" i="1"/>
  <c r="L73" i="1"/>
  <c r="L100" i="1"/>
  <c r="L98" i="1"/>
  <c r="L101" i="1"/>
  <c r="L94" i="1"/>
  <c r="L74" i="1"/>
  <c r="L84" i="1"/>
  <c r="L85" i="1"/>
  <c r="E77" i="1"/>
  <c r="L90" i="1"/>
  <c r="R112" i="1"/>
  <c r="L93" i="1"/>
  <c r="L88" i="1"/>
  <c r="L86" i="1"/>
  <c r="C15" i="2"/>
  <c r="C5" i="2" s="1"/>
  <c r="L91" i="1"/>
  <c r="L99" i="1"/>
  <c r="L83" i="1"/>
  <c r="B7" i="3"/>
  <c r="L81" i="1"/>
  <c r="L78" i="1"/>
  <c r="L104" i="1"/>
  <c r="L77" i="1"/>
  <c r="L95" i="1"/>
  <c r="L102" i="1"/>
  <c r="L75" i="1"/>
  <c r="L87" i="1"/>
  <c r="L148" i="1" l="1"/>
  <c r="L141" i="1"/>
  <c r="L137" i="1"/>
  <c r="L136" i="1"/>
  <c r="L151" i="1"/>
  <c r="L120" i="1"/>
  <c r="L146" i="1"/>
  <c r="B8" i="3"/>
  <c r="L140" i="1"/>
  <c r="L130" i="1"/>
  <c r="L150" i="1"/>
  <c r="L147" i="1"/>
  <c r="L125" i="1"/>
  <c r="L144" i="1"/>
  <c r="L131" i="1"/>
  <c r="L126" i="1"/>
  <c r="R154" i="1"/>
  <c r="L123" i="1"/>
  <c r="L122" i="1"/>
  <c r="C16" i="2"/>
  <c r="C6" i="2" s="1"/>
  <c r="L149" i="1"/>
  <c r="K226" i="1"/>
  <c r="L119" i="1"/>
  <c r="L118" i="1"/>
  <c r="L132" i="1"/>
  <c r="L152" i="1"/>
  <c r="L121" i="1"/>
  <c r="L116" i="1"/>
  <c r="L145" i="1"/>
  <c r="L143" i="1"/>
  <c r="L124" i="1"/>
  <c r="L142" i="1"/>
  <c r="L127" i="1"/>
  <c r="L128" i="1"/>
  <c r="L135" i="1"/>
  <c r="L117" i="1"/>
  <c r="L129" i="1"/>
  <c r="L153" i="1"/>
  <c r="E225" i="1"/>
  <c r="D255" i="1"/>
  <c r="E163" i="1"/>
  <c r="E199" i="1"/>
  <c r="E112" i="1"/>
  <c r="E194" i="1"/>
  <c r="E154" i="1"/>
  <c r="E70" i="1"/>
  <c r="L154" i="1" l="1"/>
  <c r="L25" i="1"/>
  <c r="L70" i="1"/>
  <c r="L163" i="1"/>
  <c r="R226" i="1"/>
  <c r="L199" i="1"/>
  <c r="L194" i="1"/>
  <c r="K255" i="1"/>
  <c r="L225" i="1"/>
  <c r="L112" i="1"/>
</calcChain>
</file>

<file path=xl/sharedStrings.xml><?xml version="1.0" encoding="utf-8"?>
<sst xmlns="http://schemas.openxmlformats.org/spreadsheetml/2006/main" count="521" uniqueCount="329">
  <si>
    <t>S/N</t>
  </si>
  <si>
    <t>FUND</t>
  </si>
  <si>
    <t>FUND MANAGER</t>
  </si>
  <si>
    <t>NAV (N)</t>
  </si>
  <si>
    <t>% to Total</t>
  </si>
  <si>
    <t>Bid Price (N)</t>
  </si>
  <si>
    <t>Offer Price (N)</t>
  </si>
  <si>
    <t>Unitholders</t>
  </si>
  <si>
    <t>Yield (WTD)</t>
  </si>
  <si>
    <t>Yield  (YTD)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</si>
  <si>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</si>
  <si>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</si>
  <si>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</si>
  <si>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</si>
  <si>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</si>
  <si>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</si>
  <si>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</si>
  <si>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</si>
  <si>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</si>
  <si>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</si>
  <si>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</si>
  <si>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ARM Investment Managers Limited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</si>
  <si>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</si>
  <si>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</si>
  <si>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</si>
  <si>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</si>
  <si>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</si>
  <si>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</si>
  <si>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</si>
  <si>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</si>
  <si>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</si>
  <si>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</si>
  <si>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</si>
  <si>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</si>
  <si>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</si>
  <si>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</si>
  <si>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</si>
  <si>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</si>
  <si>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Legacy Equity Fund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</si>
  <si>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</si>
  <si>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</si>
  <si>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</si>
  <si>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</si>
  <si>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</si>
  <si>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</si>
  <si>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</si>
  <si>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</si>
  <si>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</si>
  <si>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</si>
  <si>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</si>
  <si>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</si>
  <si>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</si>
  <si>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</si>
  <si>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</si>
  <si>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</si>
  <si>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</si>
  <si>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</si>
  <si>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</si>
  <si>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</si>
  <si>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</si>
  <si>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</si>
  <si>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</si>
  <si>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</si>
  <si>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</si>
  <si>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</si>
  <si>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</si>
  <si>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Coronation Money Market Fund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</si>
  <si>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</si>
  <si>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</si>
  <si>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</si>
  <si>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</si>
  <si>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</si>
  <si>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</si>
  <si>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</si>
  <si>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</si>
  <si>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</si>
  <si>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</si>
  <si>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</si>
  <si>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</si>
  <si>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</si>
  <si>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</si>
  <si>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Money Market Fund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</si>
  <si>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</si>
  <si>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</si>
  <si>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</si>
  <si>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</si>
  <si>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</si>
  <si>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</si>
  <si>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</si>
  <si>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</si>
  <si>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</si>
  <si>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RMBN Money Market Fund</t>
  </si>
  <si>
    <t>RMB Nigeria Asset Management Ltd.</t>
  </si>
  <si>
    <t>RT Briscoe Savings &amp; Investment Fund</t>
  </si>
  <si>
    <t>DLM Asset Management Limited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</si>
  <si>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</si>
  <si>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</si>
  <si>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</si>
  <si>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</si>
  <si>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</si>
  <si>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</si>
  <si>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</si>
  <si>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</si>
  <si>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</si>
  <si>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</si>
  <si>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</si>
  <si>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</si>
  <si>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</si>
  <si>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</si>
  <si>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</si>
  <si>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</si>
  <si>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</si>
  <si>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</si>
  <si>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</si>
  <si>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</si>
  <si>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CEAT Fixed Income Fund</t>
  </si>
  <si>
    <t>Capital Express Asset and Trust Limited</t>
  </si>
  <si>
    <t>Comercio Partners Fixed Income Fund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</si>
  <si>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</si>
  <si>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</si>
  <si>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</si>
  <si>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</si>
  <si>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</si>
  <si>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</si>
  <si>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EDC Fixed Income Fund</t>
  </si>
  <si>
    <t>Emerging Africa Bond Fund</t>
  </si>
  <si>
    <t>FBN Bond Fund</t>
  </si>
  <si>
    <t>GDL Income Fund</t>
  </si>
  <si>
    <t>Guaranty Trust Fixed Income Fund</t>
  </si>
  <si>
    <t>Lead Fixed Income Fund</t>
  </si>
  <si>
    <t>Lead Asset Management Limited</t>
  </si>
  <si>
    <t>Legacy Debt Fund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</si>
  <si>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</si>
  <si>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</si>
  <si>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</si>
  <si>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</si>
  <si>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</si>
  <si>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</si>
  <si>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</si>
  <si>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</si>
  <si>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</si>
  <si>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</si>
  <si>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</si>
  <si>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</si>
  <si>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</si>
  <si>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</si>
  <si>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</si>
  <si>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</si>
  <si>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</si>
  <si>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</si>
  <si>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</si>
  <si>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</si>
  <si>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</si>
  <si>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EUROBONDS</t>
  </si>
  <si>
    <t>Afrinvest Dollar Fund</t>
  </si>
  <si>
    <t>AIICO Eurobond Fund</t>
  </si>
  <si>
    <t>ARM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</si>
  <si>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</si>
  <si>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</si>
  <si>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</si>
  <si>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</si>
  <si>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</si>
  <si>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</si>
  <si>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</si>
  <si>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</si>
  <si>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</si>
  <si>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</si>
  <si>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</si>
  <si>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</si>
  <si>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FIXED INCOME</t>
  </si>
  <si>
    <t>AVA GAM Fixed Income Dollar Fund</t>
  </si>
  <si>
    <t>AXA Mansard Dollar Bond Fund</t>
  </si>
  <si>
    <t>Cordros Dollar Fund</t>
  </si>
  <si>
    <t>FSDH Dollar Fund</t>
  </si>
  <si>
    <t>Lead Dollar Fixed Income Fund</t>
  </si>
  <si>
    <t>Meristem Dollar Fund</t>
  </si>
  <si>
    <t>Nigeria Dollar Income Fund</t>
  </si>
  <si>
    <t>Nova Dollar Fixed Income Fund</t>
  </si>
  <si>
    <t>Stanbic IBTC Dollar Fund</t>
  </si>
  <si>
    <t>United Capital Global Fixed Income Fund</t>
  </si>
  <si>
    <t>RMBN Dollar Fixed Income Fund</t>
  </si>
  <si>
    <t>Zedcrest Dollar Fund</t>
  </si>
  <si>
    <t>REAL ESTATE INVESTMENT TRUSTS</t>
  </si>
  <si>
    <t>Housing Solution Fund</t>
  </si>
  <si>
    <t>Fundco Capital Managers Limited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</si>
  <si>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</si>
  <si>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</si>
  <si>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</si>
  <si>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</si>
  <si>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</si>
  <si>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</si>
  <si>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</si>
  <si>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</si>
  <si>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</si>
  <si>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</si>
  <si>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</si>
  <si>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</si>
  <si>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</si>
  <si>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</si>
  <si>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</si>
  <si>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</si>
  <si>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</si>
  <si>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</si>
  <si>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</si>
  <si>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</si>
  <si>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</si>
  <si>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</si>
  <si>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</si>
  <si>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</si>
  <si>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</si>
  <si>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</si>
  <si>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</si>
  <si>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</si>
  <si>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</si>
  <si>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</si>
  <si>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</si>
  <si>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</si>
  <si>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</si>
  <si>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</si>
  <si>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ETHICAL FUNDS</t>
  </si>
  <si>
    <t>ESG Impact Fund</t>
  </si>
  <si>
    <t>Zenith Asset Management Ltd.</t>
  </si>
  <si>
    <t>Stanbic IBTC Ethical Fund</t>
  </si>
  <si>
    <t>SHARI'AH COMPLIANT FUNDS</t>
  </si>
  <si>
    <t>EQUITIES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</si>
  <si>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</si>
  <si>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</si>
  <si>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</si>
  <si>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</si>
  <si>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</si>
  <si>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>Cordros Halal Fixed Income Fund</t>
  </si>
  <si>
    <t>EDC Halal Fund</t>
  </si>
  <si>
    <t>Emerging Africa Halal Fund</t>
  </si>
  <si>
    <t>FBN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</si>
  <si>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</si>
  <si>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</si>
  <si>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</si>
  <si>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</si>
  <si>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</si>
  <si>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</si>
  <si>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</si>
  <si>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</si>
  <si>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BALANCED</t>
  </si>
  <si>
    <t>Lotus Waqf (Endowment) Fund</t>
  </si>
  <si>
    <t>Mutual Funds Total</t>
  </si>
  <si>
    <t>SPECIALISED FUNDS</t>
  </si>
  <si>
    <t>Clean Energy Fund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</si>
  <si>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</si>
  <si>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</si>
  <si>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</si>
  <si>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</si>
  <si>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</si>
  <si>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</si>
  <si>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</si>
  <si>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</si>
  <si>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</si>
  <si>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</si>
  <si>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</si>
  <si>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</si>
  <si>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</si>
  <si>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</si>
  <si>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</si>
  <si>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</si>
  <si>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</si>
  <si>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</si>
  <si>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</si>
  <si>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</si>
  <si>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</si>
  <si>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</si>
  <si>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</si>
  <si>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Note:</t>
  </si>
  <si>
    <t>FUNDS</t>
  </si>
  <si>
    <t>BONDS/FIXED INCOME FUNDS</t>
  </si>
  <si>
    <t>REAL ESTATE INVESTMENT TRUST</t>
  </si>
  <si>
    <t>SHARI'AH COMPLAINT FUNDS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</si>
  <si>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</si>
  <si>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</si>
  <si>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</si>
  <si>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</si>
  <si>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</si>
  <si>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</si>
  <si>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</si>
  <si>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t xml:space="preserve"> </t>
  </si>
  <si>
    <t>Guaranty Trust Investment Fund 724</t>
  </si>
  <si>
    <t>CardinalStone Money Market Fund</t>
  </si>
  <si>
    <t>STL Dollar Fund</t>
  </si>
  <si>
    <t>ARM Short-Term Eurobond Fund</t>
  </si>
  <si>
    <t>ARM Sharia Compliant Fixed Income Fund</t>
  </si>
  <si>
    <t>One17 Halal Fund</t>
  </si>
  <si>
    <t>One17 Capital Limited</t>
  </si>
  <si>
    <t>Zrosk Magna Equity Fund</t>
  </si>
  <si>
    <t>Zrosk Investment Management Limited</t>
  </si>
  <si>
    <t>Coronation Premium Fixed Income Fund</t>
  </si>
  <si>
    <t>Coronation Dollar Fund</t>
  </si>
  <si>
    <t>Coronation Asset Management Limited</t>
  </si>
  <si>
    <t>FCMB-TLG Private Debt Fund</t>
  </si>
  <si>
    <t>FSL Money Market Fund</t>
  </si>
  <si>
    <t>FSL Asset Management Limited</t>
  </si>
  <si>
    <t>FSL Eurobond Fund</t>
  </si>
  <si>
    <t>AVA GAM Money Market Fund</t>
  </si>
  <si>
    <t>Guaranty Trust Dollar Fund</t>
  </si>
  <si>
    <t>Parthian Capital Limited</t>
  </si>
  <si>
    <t>Parthian Money Market Fund</t>
  </si>
  <si>
    <t>Parthian Dollar Fixed Income Fund</t>
  </si>
  <si>
    <t>CardinalStone Balanced Fund</t>
  </si>
  <si>
    <t>Vetiva USD Fixed Income Fund</t>
  </si>
  <si>
    <t>Mango Asset Management Limited</t>
  </si>
  <si>
    <t>Mango Naira Money Market Fund</t>
  </si>
  <si>
    <t>FBN Blended Dollar Fund</t>
  </si>
  <si>
    <t>ValuAlliance Money Market Fund</t>
  </si>
  <si>
    <t>ARM Specialized Dollar Fund</t>
  </si>
  <si>
    <t>ARM Halal Balanced Fund</t>
  </si>
  <si>
    <t>MOFI Real Estate Investment Fund</t>
  </si>
  <si>
    <t>United Capital Children Investment Fund</t>
  </si>
  <si>
    <t>Trustbanc Fixed Income Fund</t>
  </si>
  <si>
    <t>First Asset Management Limited</t>
  </si>
  <si>
    <t>% Change (Current from Previous)</t>
  </si>
  <si>
    <t>Difference</t>
  </si>
  <si>
    <t>Greenwich Fixed Income Dollar Fund</t>
  </si>
  <si>
    <t>DLM Money Market Fund</t>
  </si>
  <si>
    <t>CFG Asset Management Limited</t>
  </si>
  <si>
    <t>CFG AM Fixed Income Dollar Fund</t>
  </si>
  <si>
    <t>CFG AM Fixed Income Naira Fund</t>
  </si>
  <si>
    <t>NAV, Unit Price and Yield as at Week Ended October 3, 2025</t>
  </si>
  <si>
    <t>Week Ended October 3, 2025</t>
  </si>
  <si>
    <t>WEEKLY VALUATION REPORT OF COLLECTIVE INVESTMENT SCHEMES AS AT WEEK ENDED FRIDAY, OCTOBER 10, 2025</t>
  </si>
  <si>
    <t>NAV, Unit Price and Yield as at Week Ended October 10, 2025</t>
  </si>
  <si>
    <t>NFEM RATE NG₦/US$ as at 10th October, 2025 = N1455.1730</t>
  </si>
  <si>
    <t>Week Ended October 10,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</si>
</sst>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0.0%"/>
    <numFmt numFmtId="167" formatCode="_-* #,##0.0000_-;\-* #,##0.0000_-;_-* &quot;-&quot;??_-;_-@_-"/>
  </numFmts>
  <fonts count="5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b/>
      <sz val="9"/>
      <color theme="1"/>
      <name val="Arial Narrow"/>
      <family val="2"/>
    </font>
    <font>
      <sz val="8"/>
      <color rgb="FF000000"/>
      <name val="Arial Narrow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Times New Roman"/>
      <family val="1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8"/>
      <color rgb="FFFF0000"/>
      <name val="Arial Narrow"/>
      <family val="2"/>
    </font>
    <font>
      <i/>
      <sz val="8"/>
      <name val="Arial Narrow"/>
      <family val="2"/>
    </font>
    <font>
      <sz val="10"/>
      <name val="Arial Narrow"/>
      <family val="2"/>
    </font>
    <font>
      <b/>
      <sz val="6"/>
      <color theme="0"/>
      <name val="Times New Roman"/>
      <family val="1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ptos"/>
      <charset val="134"/>
    </font>
    <font>
      <sz val="11"/>
      <color theme="1"/>
      <name val="Aptos"/>
      <charset val="134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family val="2"/>
    </font>
    <font>
      <b/>
      <sz val="18"/>
      <color theme="3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sz val="8"/>
      <color rgb="FF424242"/>
      <name val="Arial"/>
      <family val="2"/>
    </font>
    <font>
      <sz val="8"/>
      <color theme="0"/>
      <name val="Arial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b/>
      <sz val="18"/>
      <color theme="0"/>
      <name val="Ebrima"/>
    </font>
    <font>
      <b/>
      <sz val="8"/>
      <color theme="4"/>
      <name val="Arial Narrow"/>
      <family val="2"/>
    </font>
    <font>
      <b/>
      <sz val="11"/>
      <color theme="0"/>
      <name val="Calibri"/>
      <family val="2"/>
      <scheme val="minor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  <font>
      <b/>
      <sz val="12"/>
      <color theme="0"/>
      <name val="Arial Narrow"/>
      <family val="2"/>
    </font>
    <font>
      <b/>
      <sz val="8"/>
      <color theme="0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Arial Narrow"/>
      <family val="2"/>
    </font>
    <font>
      <sz val="10"/>
      <color theme="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rgb="FFFFEB9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1">
    <xf numFmtId="0" fontId="0" fillId="0" borderId="0"/>
    <xf numFmtId="164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14" fillId="5" borderId="0" applyNumberFormat="0" applyBorder="0" applyAlignment="0" applyProtection="0"/>
    <xf numFmtId="0" fontId="14" fillId="17" borderId="0" applyNumberFormat="0" applyBorder="0" applyAlignment="0" applyProtection="0"/>
    <xf numFmtId="0" fontId="14" fillId="16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43" fontId="35" fillId="0" borderId="0" applyFont="0" applyFill="0" applyBorder="0" applyAlignment="0" applyProtection="0"/>
    <xf numFmtId="164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6" fillId="21" borderId="0" applyNumberFormat="0" applyBorder="0" applyAlignment="0" applyProtection="0"/>
    <xf numFmtId="0" fontId="37" fillId="0" borderId="0"/>
    <xf numFmtId="0" fontId="40" fillId="0" borderId="0"/>
    <xf numFmtId="0" fontId="38" fillId="0" borderId="0"/>
    <xf numFmtId="9" fontId="4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39" fillId="0" borderId="0" applyNumberFormat="0" applyFill="0" applyBorder="0" applyAlignment="0" applyProtection="0"/>
    <xf numFmtId="43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164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89">
    <xf numFmtId="0" fontId="0" fillId="0" borderId="0" xfId="0"/>
    <xf numFmtId="0" fontId="7" fillId="0" borderId="1" xfId="0" applyFont="1" applyBorder="1" applyAlignment="1">
      <alignment horizontal="right"/>
    </xf>
    <xf numFmtId="16" fontId="8" fillId="2" borderId="1" xfId="0" applyNumberFormat="1" applyFont="1" applyFill="1" applyBorder="1"/>
    <xf numFmtId="0" fontId="8" fillId="0" borderId="1" xfId="0" applyFont="1" applyBorder="1" applyAlignment="1">
      <alignment horizontal="right"/>
    </xf>
    <xf numFmtId="4" fontId="9" fillId="2" borderId="1" xfId="0" applyNumberFormat="1" applyFont="1" applyFill="1" applyBorder="1" applyAlignment="1">
      <alignment horizontal="right"/>
    </xf>
    <xf numFmtId="4" fontId="9" fillId="2" borderId="1" xfId="0" applyNumberFormat="1" applyFont="1" applyFill="1" applyBorder="1"/>
    <xf numFmtId="4" fontId="10" fillId="2" borderId="1" xfId="0" applyNumberFormat="1" applyFont="1" applyFill="1" applyBorder="1"/>
    <xf numFmtId="164" fontId="9" fillId="2" borderId="1" xfId="1" applyFont="1" applyFill="1" applyBorder="1" applyAlignment="1">
      <alignment horizontal="right" vertical="top" wrapText="1"/>
    </xf>
    <xf numFmtId="0" fontId="11" fillId="3" borderId="1" xfId="0" applyFont="1" applyFill="1" applyBorder="1" applyAlignment="1">
      <alignment horizontal="right"/>
    </xf>
    <xf numFmtId="43" fontId="11" fillId="3" borderId="1" xfId="0" applyNumberFormat="1" applyFont="1" applyFill="1" applyBorder="1"/>
    <xf numFmtId="0" fontId="10" fillId="0" borderId="0" xfId="0" applyFont="1"/>
    <xf numFmtId="164" fontId="10" fillId="0" borderId="0" xfId="1" applyFont="1"/>
    <xf numFmtId="0" fontId="7" fillId="4" borderId="1" xfId="0" applyFont="1" applyFill="1" applyBorder="1" applyAlignment="1">
      <alignment horizontal="right"/>
    </xf>
    <xf numFmtId="43" fontId="7" fillId="4" borderId="1" xfId="0" applyNumberFormat="1" applyFont="1" applyFill="1" applyBorder="1"/>
    <xf numFmtId="164" fontId="7" fillId="4" borderId="1" xfId="1" applyFont="1" applyFill="1" applyBorder="1"/>
    <xf numFmtId="0" fontId="12" fillId="0" borderId="0" xfId="0" applyFont="1"/>
    <xf numFmtId="0" fontId="13" fillId="0" borderId="1" xfId="0" applyFont="1" applyBorder="1" applyAlignment="1">
      <alignment horizontal="right"/>
    </xf>
    <xf numFmtId="164" fontId="9" fillId="0" borderId="1" xfId="1" applyFont="1" applyBorder="1"/>
    <xf numFmtId="164" fontId="12" fillId="0" borderId="0" xfId="1" applyFont="1"/>
    <xf numFmtId="0" fontId="14" fillId="0" borderId="0" xfId="0" applyFont="1"/>
    <xf numFmtId="0" fontId="10" fillId="2" borderId="0" xfId="0" applyFont="1" applyFill="1" applyAlignment="1">
      <alignment wrapText="1"/>
    </xf>
    <xf numFmtId="0" fontId="16" fillId="3" borderId="1" xfId="0" applyFont="1" applyFill="1" applyBorder="1" applyAlignment="1">
      <alignment horizontal="center" vertical="top" wrapText="1"/>
    </xf>
    <xf numFmtId="0" fontId="16" fillId="3" borderId="1" xfId="0" applyFont="1" applyFill="1" applyBorder="1" applyAlignment="1">
      <alignment vertical="top" wrapText="1"/>
    </xf>
    <xf numFmtId="0" fontId="15" fillId="3" borderId="1" xfId="0" applyFont="1" applyFill="1" applyBorder="1" applyAlignment="1">
      <alignment vertical="top" wrapText="1"/>
    </xf>
    <xf numFmtId="0" fontId="15" fillId="3" borderId="1" xfId="0" applyFont="1" applyFill="1" applyBorder="1" applyAlignment="1">
      <alignment horizontal="center" vertical="top"/>
    </xf>
    <xf numFmtId="0" fontId="15" fillId="3" borderId="1" xfId="0" applyFont="1" applyFill="1" applyBorder="1" applyAlignment="1">
      <alignment horizontal="center" vertical="top" wrapText="1"/>
    </xf>
    <xf numFmtId="164" fontId="19" fillId="2" borderId="1" xfId="10" applyFont="1" applyFill="1" applyBorder="1"/>
    <xf numFmtId="10" fontId="19" fillId="8" borderId="1" xfId="2" applyNumberFormat="1" applyFont="1" applyFill="1" applyBorder="1" applyAlignment="1">
      <alignment horizontal="center"/>
    </xf>
    <xf numFmtId="4" fontId="19" fillId="2" borderId="1" xfId="0" applyNumberFormat="1" applyFont="1" applyFill="1" applyBorder="1" applyAlignment="1">
      <alignment horizontal="right"/>
    </xf>
    <xf numFmtId="164" fontId="19" fillId="10" borderId="1" xfId="1" applyFont="1" applyFill="1" applyBorder="1" applyAlignment="1">
      <alignment horizontal="center"/>
    </xf>
    <xf numFmtId="4" fontId="19" fillId="2" borderId="1" xfId="0" applyNumberFormat="1" applyFont="1" applyFill="1" applyBorder="1"/>
    <xf numFmtId="164" fontId="17" fillId="10" borderId="1" xfId="1" applyFont="1" applyFill="1" applyBorder="1" applyAlignment="1">
      <alignment horizontal="center"/>
    </xf>
    <xf numFmtId="164" fontId="19" fillId="2" borderId="1" xfId="1" applyFont="1" applyFill="1" applyBorder="1"/>
    <xf numFmtId="0" fontId="17" fillId="0" borderId="1" xfId="0" applyFont="1" applyBorder="1"/>
    <xf numFmtId="0" fontId="17" fillId="2" borderId="1" xfId="0" applyFont="1" applyFill="1" applyBorder="1"/>
    <xf numFmtId="0" fontId="16" fillId="2" borderId="1" xfId="0" applyFont="1" applyFill="1" applyBorder="1" applyAlignment="1">
      <alignment horizontal="right"/>
    </xf>
    <xf numFmtId="164" fontId="16" fillId="2" borderId="1" xfId="1" applyFont="1" applyFill="1" applyBorder="1" applyAlignment="1">
      <alignment horizontal="right" vertical="top" wrapText="1"/>
    </xf>
    <xf numFmtId="10" fontId="20" fillId="8" borderId="1" xfId="2" applyNumberFormat="1" applyFont="1" applyFill="1" applyBorder="1" applyAlignment="1">
      <alignment horizontal="center" vertical="top" wrapText="1"/>
    </xf>
    <xf numFmtId="10" fontId="19" fillId="2" borderId="1" xfId="2" applyNumberFormat="1" applyFont="1" applyFill="1" applyBorder="1" applyAlignment="1">
      <alignment horizontal="center" vertical="top" wrapText="1"/>
    </xf>
    <xf numFmtId="4" fontId="19" fillId="2" borderId="1" xfId="1" applyNumberFormat="1" applyFont="1" applyFill="1" applyBorder="1" applyAlignment="1">
      <alignment vertical="top" wrapText="1"/>
    </xf>
    <xf numFmtId="164" fontId="16" fillId="10" borderId="1" xfId="1" applyFont="1" applyFill="1" applyBorder="1" applyAlignment="1">
      <alignment horizontal="center"/>
    </xf>
    <xf numFmtId="164" fontId="19" fillId="2" borderId="1" xfId="10" applyFont="1" applyFill="1" applyBorder="1" applyAlignment="1">
      <alignment horizontal="right"/>
    </xf>
    <xf numFmtId="4" fontId="19" fillId="2" borderId="1" xfId="1" applyNumberFormat="1" applyFont="1" applyFill="1" applyBorder="1" applyAlignment="1">
      <alignment horizontal="right"/>
    </xf>
    <xf numFmtId="164" fontId="19" fillId="10" borderId="1" xfId="1" applyFont="1" applyFill="1" applyBorder="1" applyAlignment="1">
      <alignment horizontal="center" wrapText="1"/>
    </xf>
    <xf numFmtId="164" fontId="19" fillId="2" borderId="1" xfId="10" applyFont="1" applyFill="1" applyBorder="1" applyAlignment="1">
      <alignment horizontal="right" wrapText="1"/>
    </xf>
    <xf numFmtId="164" fontId="16" fillId="2" borderId="1" xfId="1" applyFont="1" applyFill="1" applyBorder="1" applyAlignment="1">
      <alignment horizontal="right"/>
    </xf>
    <xf numFmtId="164" fontId="15" fillId="3" borderId="1" xfId="1" applyFont="1" applyFill="1" applyBorder="1" applyAlignment="1">
      <alignment horizontal="center" vertical="top"/>
    </xf>
    <xf numFmtId="10" fontId="19" fillId="10" borderId="1" xfId="2" applyNumberFormat="1" applyFont="1" applyFill="1" applyBorder="1" applyAlignment="1">
      <alignment horizontal="center"/>
    </xf>
    <xf numFmtId="10" fontId="17" fillId="10" borderId="1" xfId="2" applyNumberFormat="1" applyFont="1" applyFill="1" applyBorder="1" applyAlignment="1">
      <alignment horizontal="center"/>
    </xf>
    <xf numFmtId="10" fontId="19" fillId="10" borderId="1" xfId="2" applyNumberFormat="1" applyFont="1" applyFill="1" applyBorder="1" applyAlignment="1">
      <alignment horizontal="center" vertical="top" wrapText="1"/>
    </xf>
    <xf numFmtId="10" fontId="19" fillId="10" borderId="1" xfId="2" applyNumberFormat="1" applyFont="1" applyFill="1" applyBorder="1" applyAlignment="1">
      <alignment horizontal="center" wrapText="1"/>
    </xf>
    <xf numFmtId="10" fontId="19" fillId="8" borderId="1" xfId="2" applyNumberFormat="1" applyFont="1" applyFill="1" applyBorder="1" applyAlignment="1">
      <alignment horizontal="center" wrapText="1"/>
    </xf>
    <xf numFmtId="10" fontId="19" fillId="10" borderId="1" xfId="1" applyNumberFormat="1" applyFont="1" applyFill="1" applyBorder="1" applyAlignment="1">
      <alignment horizontal="center"/>
    </xf>
    <xf numFmtId="10" fontId="19" fillId="3" borderId="1" xfId="2" applyNumberFormat="1" applyFont="1" applyFill="1" applyBorder="1" applyAlignment="1">
      <alignment horizontal="center" vertical="top" wrapText="1"/>
    </xf>
    <xf numFmtId="10" fontId="17" fillId="3" borderId="1" xfId="2" applyNumberFormat="1" applyFont="1" applyFill="1" applyBorder="1" applyAlignment="1">
      <alignment horizontal="center" vertical="top" wrapText="1"/>
    </xf>
    <xf numFmtId="10" fontId="17" fillId="3" borderId="1" xfId="1" applyNumberFormat="1" applyFont="1" applyFill="1" applyBorder="1" applyAlignment="1">
      <alignment horizontal="center" vertical="top" wrapText="1"/>
    </xf>
    <xf numFmtId="10" fontId="21" fillId="11" borderId="0" xfId="0" applyNumberFormat="1" applyFont="1" applyFill="1" applyAlignment="1">
      <alignment horizontal="right" vertical="center" wrapText="1"/>
    </xf>
    <xf numFmtId="2" fontId="19" fillId="2" borderId="1" xfId="0" applyNumberFormat="1" applyFont="1" applyFill="1" applyBorder="1"/>
    <xf numFmtId="164" fontId="19" fillId="2" borderId="1" xfId="10" applyFont="1" applyFill="1" applyBorder="1" applyAlignment="1">
      <alignment wrapText="1"/>
    </xf>
    <xf numFmtId="164" fontId="19" fillId="12" borderId="1" xfId="1" applyFont="1" applyFill="1" applyBorder="1" applyAlignment="1">
      <alignment horizontal="center"/>
    </xf>
    <xf numFmtId="10" fontId="19" fillId="12" borderId="1" xfId="2" applyNumberFormat="1" applyFont="1" applyFill="1" applyBorder="1" applyAlignment="1">
      <alignment horizontal="center"/>
    </xf>
    <xf numFmtId="4" fontId="0" fillId="0" borderId="0" xfId="0" applyNumberFormat="1"/>
    <xf numFmtId="164" fontId="23" fillId="0" borderId="0" xfId="1" applyFont="1"/>
    <xf numFmtId="4" fontId="24" fillId="0" borderId="0" xfId="0" applyNumberFormat="1" applyFont="1"/>
    <xf numFmtId="2" fontId="0" fillId="0" borderId="0" xfId="0" applyNumberFormat="1"/>
    <xf numFmtId="165" fontId="0" fillId="0" borderId="0" xfId="0" applyNumberFormat="1"/>
    <xf numFmtId="4" fontId="25" fillId="11" borderId="0" xfId="0" applyNumberFormat="1" applyFont="1" applyFill="1" applyAlignment="1">
      <alignment horizontal="right" vertical="center" wrapText="1"/>
    </xf>
    <xf numFmtId="0" fontId="16" fillId="0" borderId="1" xfId="0" applyFont="1" applyBorder="1" applyAlignment="1">
      <alignment horizontal="right"/>
    </xf>
    <xf numFmtId="4" fontId="27" fillId="0" borderId="1" xfId="0" applyNumberFormat="1" applyFont="1" applyBorder="1"/>
    <xf numFmtId="0" fontId="28" fillId="2" borderId="1" xfId="0" applyFont="1" applyFill="1" applyBorder="1"/>
    <xf numFmtId="4" fontId="19" fillId="2" borderId="1" xfId="1" applyNumberFormat="1" applyFont="1" applyFill="1" applyBorder="1" applyAlignment="1">
      <alignment horizontal="right" vertical="top" wrapText="1"/>
    </xf>
    <xf numFmtId="164" fontId="16" fillId="2" borderId="1" xfId="1" applyFont="1" applyFill="1" applyBorder="1"/>
    <xf numFmtId="43" fontId="19" fillId="2" borderId="1" xfId="0" applyNumberFormat="1" applyFont="1" applyFill="1" applyBorder="1"/>
    <xf numFmtId="4" fontId="19" fillId="2" borderId="1" xfId="10" applyNumberFormat="1" applyFont="1" applyFill="1" applyBorder="1" applyAlignment="1">
      <alignment horizontal="right"/>
    </xf>
    <xf numFmtId="4" fontId="19" fillId="2" borderId="1" xfId="0" applyNumberFormat="1" applyFont="1" applyFill="1" applyBorder="1" applyAlignment="1">
      <alignment horizontal="right" wrapText="1"/>
    </xf>
    <xf numFmtId="4" fontId="19" fillId="2" borderId="1" xfId="10" applyNumberFormat="1" applyFont="1" applyFill="1" applyBorder="1" applyAlignment="1">
      <alignment horizontal="right" wrapText="1"/>
    </xf>
    <xf numFmtId="4" fontId="19" fillId="10" borderId="1" xfId="1" applyNumberFormat="1" applyFont="1" applyFill="1" applyBorder="1" applyAlignment="1">
      <alignment horizontal="center"/>
    </xf>
    <xf numFmtId="4" fontId="19" fillId="10" borderId="1" xfId="1" applyNumberFormat="1" applyFont="1" applyFill="1" applyBorder="1" applyAlignment="1">
      <alignment horizontal="center" vertical="top" wrapText="1"/>
    </xf>
    <xf numFmtId="43" fontId="19" fillId="10" borderId="1" xfId="0" applyNumberFormat="1" applyFont="1" applyFill="1" applyBorder="1" applyAlignment="1">
      <alignment horizontal="center"/>
    </xf>
    <xf numFmtId="164" fontId="0" fillId="0" borderId="0" xfId="1" applyFont="1"/>
    <xf numFmtId="4" fontId="16" fillId="10" borderId="1" xfId="1" applyNumberFormat="1" applyFont="1" applyFill="1" applyBorder="1" applyAlignment="1">
      <alignment horizontal="right" vertical="top" wrapText="1"/>
    </xf>
    <xf numFmtId="0" fontId="19" fillId="15" borderId="1" xfId="0" applyFont="1" applyFill="1" applyBorder="1" applyAlignment="1">
      <alignment horizontal="right" vertical="center"/>
    </xf>
    <xf numFmtId="0" fontId="16" fillId="15" borderId="1" xfId="0" applyFont="1" applyFill="1" applyBorder="1" applyAlignment="1">
      <alignment horizontal="right" vertical="center"/>
    </xf>
    <xf numFmtId="164" fontId="16" fillId="15" borderId="1" xfId="1" applyFont="1" applyFill="1" applyBorder="1" applyAlignment="1">
      <alignment horizontal="right" vertical="center" wrapText="1"/>
    </xf>
    <xf numFmtId="10" fontId="19" fillId="15" borderId="1" xfId="1" applyNumberFormat="1" applyFont="1" applyFill="1" applyBorder="1" applyAlignment="1">
      <alignment horizontal="right" vertical="center" wrapText="1"/>
    </xf>
    <xf numFmtId="4" fontId="19" fillId="15" borderId="1" xfId="1" applyNumberFormat="1" applyFont="1" applyFill="1" applyBorder="1" applyAlignment="1">
      <alignment horizontal="right" vertical="center" wrapText="1"/>
    </xf>
    <xf numFmtId="164" fontId="16" fillId="15" borderId="1" xfId="1" applyFont="1" applyFill="1" applyBorder="1" applyAlignment="1">
      <alignment horizontal="right" vertical="top" wrapText="1"/>
    </xf>
    <xf numFmtId="4" fontId="19" fillId="2" borderId="1" xfId="10" applyNumberFormat="1" applyFont="1" applyFill="1" applyBorder="1" applyAlignment="1">
      <alignment horizontal="right" vertical="top" wrapText="1"/>
    </xf>
    <xf numFmtId="164" fontId="29" fillId="15" borderId="1" xfId="1" applyFont="1" applyFill="1" applyBorder="1" applyAlignment="1">
      <alignment horizontal="right" vertical="top" wrapText="1"/>
    </xf>
    <xf numFmtId="4" fontId="19" fillId="15" borderId="1" xfId="1" applyNumberFormat="1" applyFont="1" applyFill="1" applyBorder="1" applyAlignment="1">
      <alignment horizontal="right" vertical="top" wrapText="1"/>
    </xf>
    <xf numFmtId="164" fontId="19" fillId="2" borderId="1" xfId="10" applyFont="1" applyFill="1" applyBorder="1" applyAlignment="1">
      <alignment horizontal="right" vertical="top" wrapText="1"/>
    </xf>
    <xf numFmtId="10" fontId="19" fillId="8" borderId="1" xfId="2" applyNumberFormat="1" applyFont="1" applyFill="1" applyBorder="1" applyAlignment="1">
      <alignment horizontal="center" vertical="top" wrapText="1"/>
    </xf>
    <xf numFmtId="164" fontId="19" fillId="10" borderId="1" xfId="1" applyFont="1" applyFill="1" applyBorder="1" applyAlignment="1">
      <alignment horizontal="center" vertical="top" wrapText="1"/>
    </xf>
    <xf numFmtId="164" fontId="19" fillId="2" borderId="1" xfId="1" applyFont="1" applyFill="1" applyBorder="1" applyAlignment="1">
      <alignment horizontal="right" vertical="top" wrapText="1"/>
    </xf>
    <xf numFmtId="0" fontId="19" fillId="16" borderId="1" xfId="0" applyFont="1" applyFill="1" applyBorder="1" applyAlignment="1">
      <alignment horizontal="right" vertical="top" wrapText="1"/>
    </xf>
    <xf numFmtId="0" fontId="26" fillId="16" borderId="1" xfId="0" applyFont="1" applyFill="1" applyBorder="1" applyAlignment="1">
      <alignment horizontal="right" vertical="top" wrapText="1"/>
    </xf>
    <xf numFmtId="164" fontId="26" fillId="16" borderId="1" xfId="1" applyFont="1" applyFill="1" applyBorder="1" applyAlignment="1">
      <alignment horizontal="right" vertical="top" wrapText="1"/>
    </xf>
    <xf numFmtId="164" fontId="30" fillId="16" borderId="1" xfId="1" applyFont="1" applyFill="1" applyBorder="1" applyAlignment="1">
      <alignment horizontal="right" vertical="top" wrapText="1"/>
    </xf>
    <xf numFmtId="4" fontId="30" fillId="16" borderId="1" xfId="0" applyNumberFormat="1" applyFont="1" applyFill="1" applyBorder="1" applyAlignment="1">
      <alignment horizontal="right"/>
    </xf>
    <xf numFmtId="0" fontId="31" fillId="6" borderId="1" xfId="0" applyFont="1" applyFill="1" applyBorder="1" applyAlignment="1">
      <alignment horizontal="right" vertical="center"/>
    </xf>
    <xf numFmtId="0" fontId="14" fillId="6" borderId="1" xfId="0" applyFont="1" applyFill="1" applyBorder="1"/>
    <xf numFmtId="0" fontId="32" fillId="0" borderId="0" xfId="0" applyFont="1"/>
    <xf numFmtId="43" fontId="0" fillId="0" borderId="0" xfId="0" applyNumberFormat="1"/>
    <xf numFmtId="0" fontId="33" fillId="0" borderId="0" xfId="0" applyFont="1"/>
    <xf numFmtId="0" fontId="28" fillId="2" borderId="0" xfId="0" applyFont="1" applyFill="1" applyAlignment="1">
      <alignment wrapText="1"/>
    </xf>
    <xf numFmtId="43" fontId="33" fillId="0" borderId="0" xfId="11" applyFont="1" applyBorder="1"/>
    <xf numFmtId="2" fontId="33" fillId="0" borderId="0" xfId="0" applyNumberFormat="1" applyFont="1"/>
    <xf numFmtId="9" fontId="19" fillId="15" borderId="1" xfId="2" applyFont="1" applyFill="1" applyBorder="1" applyAlignment="1">
      <alignment horizontal="center" vertical="center" wrapText="1"/>
    </xf>
    <xf numFmtId="4" fontId="19" fillId="15" borderId="1" xfId="1" applyNumberFormat="1" applyFont="1" applyFill="1" applyBorder="1" applyAlignment="1">
      <alignment horizontal="center" vertical="center" wrapText="1"/>
    </xf>
    <xf numFmtId="4" fontId="19" fillId="15" borderId="1" xfId="1" applyNumberFormat="1" applyFont="1" applyFill="1" applyBorder="1" applyAlignment="1">
      <alignment horizontal="center" vertical="top" wrapText="1"/>
    </xf>
    <xf numFmtId="9" fontId="30" fillId="16" borderId="1" xfId="2" applyFont="1" applyFill="1" applyBorder="1" applyAlignment="1">
      <alignment horizontal="center"/>
    </xf>
    <xf numFmtId="4" fontId="30" fillId="16" borderId="1" xfId="0" applyNumberFormat="1" applyFont="1" applyFill="1" applyBorder="1" applyAlignment="1">
      <alignment horizontal="center"/>
    </xf>
    <xf numFmtId="10" fontId="33" fillId="0" borderId="0" xfId="2" applyNumberFormat="1" applyFont="1" applyBorder="1"/>
    <xf numFmtId="10" fontId="34" fillId="0" borderId="0" xfId="2" applyNumberFormat="1" applyFont="1" applyBorder="1"/>
    <xf numFmtId="10" fontId="17" fillId="15" borderId="1" xfId="2" applyNumberFormat="1" applyFont="1" applyFill="1" applyBorder="1" applyAlignment="1">
      <alignment horizontal="center" vertical="top" wrapText="1"/>
    </xf>
    <xf numFmtId="166" fontId="17" fillId="15" borderId="1" xfId="2" applyNumberFormat="1" applyFont="1" applyFill="1" applyBorder="1" applyAlignment="1">
      <alignment horizontal="center" vertical="top" wrapText="1"/>
    </xf>
    <xf numFmtId="10" fontId="17" fillId="15" borderId="1" xfId="1" applyNumberFormat="1" applyFont="1" applyFill="1" applyBorder="1" applyAlignment="1">
      <alignment horizontal="center" vertical="top" wrapText="1"/>
    </xf>
    <xf numFmtId="10" fontId="30" fillId="16" borderId="1" xfId="2" applyNumberFormat="1" applyFont="1" applyFill="1" applyBorder="1" applyAlignment="1">
      <alignment horizontal="center" vertical="top" wrapText="1"/>
    </xf>
    <xf numFmtId="166" fontId="30" fillId="16" borderId="1" xfId="2" applyNumberFormat="1" applyFont="1" applyFill="1" applyBorder="1" applyAlignment="1">
      <alignment horizontal="center" vertical="top" wrapText="1"/>
    </xf>
    <xf numFmtId="166" fontId="19" fillId="16" borderId="1" xfId="2" applyNumberFormat="1" applyFont="1" applyFill="1" applyBorder="1" applyAlignment="1">
      <alignment horizontal="center" vertical="top" wrapText="1"/>
    </xf>
    <xf numFmtId="43" fontId="7" fillId="4" borderId="1" xfId="0" quotePrefix="1" applyNumberFormat="1" applyFont="1" applyFill="1" applyBorder="1" applyAlignment="1">
      <alignment horizontal="center"/>
    </xf>
    <xf numFmtId="0" fontId="42" fillId="0" borderId="0" xfId="0" applyFont="1"/>
    <xf numFmtId="0" fontId="31" fillId="6" borderId="1" xfId="0" applyFont="1" applyFill="1" applyBorder="1" applyAlignment="1">
      <alignment horizontal="left" vertical="center"/>
    </xf>
    <xf numFmtId="4" fontId="23" fillId="0" borderId="0" xfId="0" applyNumberFormat="1" applyFont="1"/>
    <xf numFmtId="0" fontId="19" fillId="15" borderId="1" xfId="0" applyFont="1" applyFill="1" applyBorder="1" applyAlignment="1">
      <alignment horizontal="right"/>
    </xf>
    <xf numFmtId="0" fontId="16" fillId="15" borderId="1" xfId="0" applyFont="1" applyFill="1" applyBorder="1" applyAlignment="1">
      <alignment horizontal="right"/>
    </xf>
    <xf numFmtId="43" fontId="12" fillId="0" borderId="0" xfId="0" applyNumberFormat="1" applyFont="1"/>
    <xf numFmtId="164" fontId="19" fillId="2" borderId="1" xfId="1" applyFont="1" applyFill="1" applyBorder="1" applyAlignment="1">
      <alignment horizontal="right"/>
    </xf>
    <xf numFmtId="0" fontId="19" fillId="2" borderId="1" xfId="0" applyFont="1" applyFill="1" applyBorder="1" applyAlignment="1">
      <alignment horizontal="center" wrapText="1"/>
    </xf>
    <xf numFmtId="0" fontId="10" fillId="0" borderId="1" xfId="0" applyFont="1" applyBorder="1"/>
    <xf numFmtId="4" fontId="9" fillId="2" borderId="0" xfId="0" applyNumberFormat="1" applyFont="1" applyFill="1" applyAlignment="1">
      <alignment horizontal="right"/>
    </xf>
    <xf numFmtId="167" fontId="43" fillId="0" borderId="0" xfId="1" applyNumberFormat="1" applyFont="1"/>
    <xf numFmtId="0" fontId="13" fillId="0" borderId="0" xfId="0" applyFont="1" applyAlignment="1">
      <alignment horizontal="right"/>
    </xf>
    <xf numFmtId="164" fontId="45" fillId="2" borderId="0" xfId="1" applyFont="1" applyFill="1" applyBorder="1" applyAlignment="1">
      <alignment horizontal="right" vertical="top" wrapText="1"/>
    </xf>
    <xf numFmtId="0" fontId="44" fillId="0" borderId="0" xfId="0" applyFont="1" applyAlignment="1">
      <alignment horizontal="right"/>
    </xf>
    <xf numFmtId="4" fontId="45" fillId="2" borderId="0" xfId="0" applyNumberFormat="1" applyFont="1" applyFill="1"/>
    <xf numFmtId="0" fontId="10" fillId="7" borderId="1" xfId="0" applyFont="1" applyFill="1" applyBorder="1"/>
    <xf numFmtId="0" fontId="15" fillId="8" borderId="1" xfId="0" applyFont="1" applyFill="1" applyBorder="1"/>
    <xf numFmtId="0" fontId="47" fillId="8" borderId="1" xfId="0" applyFont="1" applyFill="1" applyBorder="1"/>
    <xf numFmtId="0" fontId="23" fillId="0" borderId="0" xfId="0" applyFont="1"/>
    <xf numFmtId="0" fontId="19" fillId="0" borderId="1" xfId="0" applyFont="1" applyBorder="1"/>
    <xf numFmtId="10" fontId="19" fillId="3" borderId="1" xfId="1" applyNumberFormat="1" applyFont="1" applyFill="1" applyBorder="1" applyAlignment="1">
      <alignment horizontal="center" vertical="top" wrapText="1"/>
    </xf>
    <xf numFmtId="4" fontId="9" fillId="2" borderId="0" xfId="0" applyNumberFormat="1" applyFont="1" applyFill="1"/>
    <xf numFmtId="0" fontId="48" fillId="0" borderId="0" xfId="0" applyFont="1"/>
    <xf numFmtId="16" fontId="49" fillId="2" borderId="0" xfId="0" applyNumberFormat="1" applyFont="1" applyFill="1"/>
    <xf numFmtId="164" fontId="50" fillId="0" borderId="0" xfId="1" applyFont="1"/>
    <xf numFmtId="43" fontId="50" fillId="0" borderId="0" xfId="0" applyNumberFormat="1" applyFont="1"/>
    <xf numFmtId="4" fontId="50" fillId="0" borderId="0" xfId="0" applyNumberFormat="1" applyFont="1"/>
    <xf numFmtId="0" fontId="51" fillId="0" borderId="0" xfId="0" applyFont="1" applyAlignment="1">
      <alignment horizontal="right"/>
    </xf>
    <xf numFmtId="16" fontId="44" fillId="2" borderId="0" xfId="0" applyNumberFormat="1" applyFont="1" applyFill="1"/>
    <xf numFmtId="4" fontId="45" fillId="2" borderId="0" xfId="0" applyNumberFormat="1" applyFont="1" applyFill="1" applyAlignment="1">
      <alignment horizontal="right"/>
    </xf>
    <xf numFmtId="164" fontId="14" fillId="0" borderId="0" xfId="1" applyFont="1" applyBorder="1"/>
    <xf numFmtId="164" fontId="43" fillId="0" borderId="0" xfId="1" applyFont="1" applyBorder="1"/>
    <xf numFmtId="4" fontId="43" fillId="2" borderId="0" xfId="0" applyNumberFormat="1" applyFont="1" applyFill="1"/>
    <xf numFmtId="0" fontId="52" fillId="0" borderId="0" xfId="0" applyFont="1" applyAlignment="1">
      <alignment horizontal="right"/>
    </xf>
    <xf numFmtId="10" fontId="0" fillId="0" borderId="0" xfId="2" applyNumberFormat="1" applyFont="1"/>
    <xf numFmtId="0" fontId="53" fillId="0" borderId="0" xfId="0" applyFont="1" applyAlignment="1">
      <alignment horizontal="right"/>
    </xf>
    <xf numFmtId="16" fontId="53" fillId="2" borderId="0" xfId="0" applyNumberFormat="1" applyFont="1" applyFill="1" applyAlignment="1">
      <alignment horizontal="center" wrapText="1"/>
    </xf>
    <xf numFmtId="0" fontId="53" fillId="0" borderId="0" xfId="0" applyFont="1" applyAlignment="1">
      <alignment horizontal="right" wrapText="1"/>
    </xf>
    <xf numFmtId="4" fontId="54" fillId="2" borderId="0" xfId="0" applyNumberFormat="1" applyFont="1" applyFill="1"/>
    <xf numFmtId="4" fontId="54" fillId="2" borderId="0" xfId="0" applyNumberFormat="1" applyFont="1" applyFill="1" applyAlignment="1">
      <alignment horizontal="right"/>
    </xf>
    <xf numFmtId="164" fontId="54" fillId="2" borderId="0" xfId="1" applyFont="1" applyFill="1" applyBorder="1" applyAlignment="1">
      <alignment horizontal="right" vertical="top" wrapText="1"/>
    </xf>
    <xf numFmtId="0" fontId="52" fillId="0" borderId="0" xfId="0" applyFont="1" applyAlignment="1">
      <alignment horizontal="right" wrapText="1"/>
    </xf>
    <xf numFmtId="4" fontId="43" fillId="2" borderId="0" xfId="0" applyNumberFormat="1" applyFont="1" applyFill="1" applyAlignment="1">
      <alignment horizontal="right"/>
    </xf>
    <xf numFmtId="164" fontId="43" fillId="2" borderId="0" xfId="1" applyFont="1" applyFill="1" applyBorder="1" applyAlignment="1">
      <alignment horizontal="right" vertical="top" wrapText="1"/>
    </xf>
    <xf numFmtId="0" fontId="1" fillId="0" borderId="0" xfId="0" applyFont="1"/>
    <xf numFmtId="164" fontId="9" fillId="2" borderId="0" xfId="1" applyFont="1" applyFill="1" applyBorder="1" applyAlignment="1">
      <alignment horizontal="right" vertical="top" wrapText="1"/>
    </xf>
    <xf numFmtId="0" fontId="19" fillId="2" borderId="1" xfId="0" applyFont="1" applyFill="1" applyBorder="1" applyAlignment="1">
      <alignment horizontal="center"/>
    </xf>
    <xf numFmtId="4" fontId="19" fillId="2" borderId="1" xfId="0" applyNumberFormat="1" applyFont="1" applyFill="1" applyBorder="1" applyAlignment="1">
      <alignment wrapText="1"/>
    </xf>
    <xf numFmtId="0" fontId="19" fillId="2" borderId="1" xfId="0" applyFont="1" applyFill="1" applyBorder="1" applyAlignment="1">
      <alignment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4" fontId="19" fillId="2" borderId="1" xfId="42" applyNumberFormat="1" applyFont="1" applyFill="1" applyBorder="1" applyAlignment="1">
      <alignment wrapText="1"/>
    </xf>
    <xf numFmtId="0" fontId="19" fillId="2" borderId="1" xfId="0" applyFont="1" applyFill="1" applyBorder="1" applyAlignment="1">
      <alignment horizontal="center" vertical="center"/>
    </xf>
    <xf numFmtId="49" fontId="19" fillId="2" borderId="1" xfId="0" applyNumberFormat="1" applyFont="1" applyFill="1" applyBorder="1" applyAlignment="1">
      <alignment wrapText="1"/>
    </xf>
    <xf numFmtId="4" fontId="19" fillId="0" borderId="1" xfId="0" applyNumberFormat="1" applyFont="1" applyBorder="1" applyAlignment="1">
      <alignment wrapText="1"/>
    </xf>
    <xf numFmtId="0" fontId="19" fillId="2" borderId="1" xfId="0" applyFont="1" applyFill="1" applyBorder="1" applyAlignment="1">
      <alignment horizontal="left" wrapText="1"/>
    </xf>
    <xf numFmtId="0" fontId="46" fillId="6" borderId="1" xfId="0" applyFont="1" applyFill="1" applyBorder="1" applyAlignment="1">
      <alignment horizontal="center"/>
    </xf>
    <xf numFmtId="0" fontId="15" fillId="8" borderId="1" xfId="0" applyFont="1" applyFill="1" applyBorder="1" applyAlignment="1">
      <alignment horizontal="center" vertical="top" wrapText="1"/>
    </xf>
    <xf numFmtId="0" fontId="17" fillId="2" borderId="1" xfId="0" applyFont="1" applyFill="1" applyBorder="1" applyAlignment="1">
      <alignment horizontal="center" vertical="top" wrapText="1"/>
    </xf>
    <xf numFmtId="0" fontId="18" fillId="9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 wrapText="1"/>
    </xf>
    <xf numFmtId="0" fontId="22" fillId="13" borderId="1" xfId="0" applyFont="1" applyFill="1" applyBorder="1" applyAlignment="1">
      <alignment horizontal="center"/>
    </xf>
    <xf numFmtId="0" fontId="26" fillId="9" borderId="1" xfId="0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/>
    </xf>
    <xf numFmtId="0" fontId="26" fillId="14" borderId="1" xfId="0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center"/>
    </xf>
    <xf numFmtId="0" fontId="30" fillId="2" borderId="0" xfId="0" applyFont="1" applyFill="1" applyAlignment="1">
      <alignment horizontal="center" wrapText="1"/>
    </xf>
    <xf numFmtId="0" fontId="55" fillId="0" borderId="0" xfId="0" applyFont="1"/>
  </cellXfs>
  <cellStyles count="61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10 13 2" xfId="45"/>
    <cellStyle name="Comma 11" xfId="43"/>
    <cellStyle name="Comma 14" xfId="28"/>
    <cellStyle name="Comma 15" xfId="30"/>
    <cellStyle name="Comma 15 2" xfId="34"/>
    <cellStyle name="Comma 2" xfId="11"/>
    <cellStyle name="Comma 2 2" xfId="12"/>
    <cellStyle name="Comma 2 2 2" xfId="47"/>
    <cellStyle name="Comma 2 3" xfId="46"/>
    <cellStyle name="Comma 3" xfId="13"/>
    <cellStyle name="Comma 3 2" xfId="14"/>
    <cellStyle name="Comma 3 2 2" xfId="15"/>
    <cellStyle name="Comma 3 2 2 2" xfId="49"/>
    <cellStyle name="Comma 3 2 3" xfId="48"/>
    <cellStyle name="Comma 4" xfId="16"/>
    <cellStyle name="Comma 5" xfId="17"/>
    <cellStyle name="Comma 6" xfId="18"/>
    <cellStyle name="Comma 7" xfId="37"/>
    <cellStyle name="Comma 7 2" xfId="56"/>
    <cellStyle name="Comma 8" xfId="19"/>
    <cellStyle name="Comma 9" xfId="40"/>
    <cellStyle name="Comma 9 2" xfId="59"/>
    <cellStyle name="Neutral 2" xfId="20"/>
    <cellStyle name="Normal" xfId="0" builtinId="0"/>
    <cellStyle name="Normal 2" xfId="21"/>
    <cellStyle name="Normal 2 2" xfId="22"/>
    <cellStyle name="Normal 2 2 2" xfId="50"/>
    <cellStyle name="Normal 27 2" xfId="23"/>
    <cellStyle name="Normal 3" xfId="33"/>
    <cellStyle name="Normal 3 2" xfId="54"/>
    <cellStyle name="Normal 4" xfId="36"/>
    <cellStyle name="Normal 4 2" xfId="55"/>
    <cellStyle name="Normal 5" xfId="39"/>
    <cellStyle name="Normal 5 2" xfId="58"/>
    <cellStyle name="Normal 6" xfId="42"/>
    <cellStyle name="Normal 6 2" xfId="31"/>
    <cellStyle name="Normal 6 2 2" xfId="52"/>
    <cellStyle name="Percent" xfId="2" builtinId="5"/>
    <cellStyle name="Percent 13" xfId="29"/>
    <cellStyle name="Percent 13 2" xfId="35"/>
    <cellStyle name="Percent 2" xfId="32"/>
    <cellStyle name="Percent 2 2" xfId="24"/>
    <cellStyle name="Percent 2 2 2" xfId="51"/>
    <cellStyle name="Percent 2 3" xfId="53"/>
    <cellStyle name="Percent 3" xfId="38"/>
    <cellStyle name="Percent 3 2" xfId="57"/>
    <cellStyle name="Percent 4" xfId="41"/>
    <cellStyle name="Percent 4 2" xfId="60"/>
    <cellStyle name="Percent 5" xfId="25"/>
    <cellStyle name="Percent 6" xfId="26"/>
    <cellStyle name="Percent 7" xfId="44"/>
    <cellStyle name="Title 2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October 3, 2025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Comparison'!$B$3:$B$10</c:f>
              <c:numCache>
                <c:formatCode>#,##0.00</c:formatCode>
                <c:ptCount val="8"/>
                <c:pt idx="0">
                  <c:v>72.157008607625713</c:v>
                </c:pt>
                <c:pt idx="1">
                  <c:v>4086.8641162664794</c:v>
                </c:pt>
                <c:pt idx="2">
                  <c:v>236.13817186633187</c:v>
                </c:pt>
                <c:pt idx="3">
                  <c:v>1897.8873335364215</c:v>
                </c:pt>
                <c:pt idx="4">
                  <c:v>367.81847828237329</c:v>
                </c:pt>
                <c:pt idx="5" formatCode="_-* #,##0.00_-;\-* #,##0.00_-;_-* &quot;-&quot;??_-;_-@_-">
                  <c:v>77.203925561305738</c:v>
                </c:pt>
                <c:pt idx="6">
                  <c:v>8.2208766232899997</c:v>
                </c:pt>
                <c:pt idx="7">
                  <c:v>65.919902571820003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C4-4569-86DB-18C6F766F1CB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October 10, 2025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Comparison'!$C$3:$C$10</c:f>
              <c:numCache>
                <c:formatCode>#,##0.00</c:formatCode>
                <c:ptCount val="8"/>
                <c:pt idx="0">
                  <c:v>73.550112013645503</c:v>
                </c:pt>
                <c:pt idx="1">
                  <c:v>4172.7591221779403</c:v>
                </c:pt>
                <c:pt idx="2">
                  <c:v>239.78026597400003</c:v>
                </c:pt>
                <c:pt idx="3">
                  <c:v>1916.7479723695214</c:v>
                </c:pt>
                <c:pt idx="4">
                  <c:v>367.96901960186682</c:v>
                </c:pt>
                <c:pt idx="5" formatCode="_-* #,##0.00_-;\-* #,##0.00_-;_-* &quot;-&quot;??_-;_-@_-">
                  <c:v>77.988718310700833</c:v>
                </c:pt>
                <c:pt idx="6">
                  <c:v>8.3003962871100008</c:v>
                </c:pt>
                <c:pt idx="7">
                  <c:v>68.565919306979978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C4-4569-86DB-18C6F766F1C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28913752"/>
        <c:axId val="328916104"/>
      </c:barChart>
      <c:catAx>
        <c:axId val="328913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328916104"/>
        <c:crosses val="autoZero"/>
        <c:auto val="1"/>
        <c:lblAlgn val="ctr"/>
        <c:lblOffset val="100"/>
        <c:noMultiLvlLbl val="0"/>
      </c:catAx>
      <c:valAx>
        <c:axId val="328916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328913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10TH OCTOBER, 2025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4175604054306885"/>
          <c:y val="1.6533275298465034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10-Oct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6C1-41E2-BD65-8D78AE0E5F1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6C1-41E2-BD65-8D78AE0E5F1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6C1-41E2-BD65-8D78AE0E5F1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6C1-41E2-BD65-8D78AE0E5F1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6C1-41E2-BD65-8D78AE0E5F1E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6C1-41E2-BD65-8D78AE0E5F1E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6C1-41E2-BD65-8D78AE0E5F1E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6C1-41E2-BD65-8D78AE0E5F1E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941221286673269"/>
                </c:manualLayout>
              </c:layout>
              <c:numFmt formatCode="0.00%" sourceLinked="0"/>
              <c:spPr>
                <a:gradFill rotWithShape="1">
                  <a:gsLst>
                    <a:gs pos="0">
                      <a:schemeClr val="dk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dk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dk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6350" cap="flat" cmpd="sng" algn="ctr">
                  <a:solidFill>
                    <a:schemeClr val="dk1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100" b="0" i="0" u="none" strike="noStrike" kern="1200" baseline="0">
                      <a:solidFill>
                        <a:schemeClr val="lt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447913288926979E-2"/>
                      <c:h val="7.407629741261133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36C1-41E2-BD65-8D78AE0E5F1E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6C1-41E2-BD65-8D78AE0E5F1E}"/>
                </c:ext>
              </c:extLst>
            </c:dLbl>
            <c:dLbl>
              <c:idx val="2"/>
              <c:layout>
                <c:manualLayout>
                  <c:x val="-2.4332941580313142E-2"/>
                  <c:y val="-9.756313468434001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6C1-41E2-BD65-8D78AE0E5F1E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6C1-41E2-BD65-8D78AE0E5F1E}"/>
                </c:ext>
              </c:extLst>
            </c:dLbl>
            <c:dLbl>
              <c:idx val="4"/>
              <c:layout>
                <c:manualLayout>
                  <c:x val="-2.2105334402515699E-2"/>
                  <c:y val="-0.1021892063928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6C1-41E2-BD65-8D78AE0E5F1E}"/>
                </c:ext>
              </c:extLst>
            </c:dLbl>
            <c:dLbl>
              <c:idx val="5"/>
              <c:layout>
                <c:manualLayout>
                  <c:x val="0.11860977719486063"/>
                  <c:y val="-0.1342913300279879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6C1-41E2-BD65-8D78AE0E5F1E}"/>
                </c:ext>
              </c:extLst>
            </c:dLbl>
            <c:dLbl>
              <c:idx val="6"/>
              <c:layout>
                <c:manualLayout>
                  <c:x val="2.4747124087697164E-2"/>
                  <c:y val="0.1181680341758866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6C1-41E2-BD65-8D78AE0E5F1E}"/>
                </c:ext>
              </c:extLst>
            </c:dLbl>
            <c:dLbl>
              <c:idx val="7"/>
              <c:layout>
                <c:manualLayout>
                  <c:x val="-0.23297582723395899"/>
                  <c:y val="-0.328662582722912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6C1-41E2-BD65-8D78AE0E5F1E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SHARI'AH COMPLAINT FUNDS</c:v>
                </c:pt>
                <c:pt idx="3">
                  <c:v>BALANCED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DOLLAR FUNDS</c:v>
                </c:pt>
                <c:pt idx="7">
                  <c:v>MONEY MARKET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8300396287.1100006</c:v>
                </c:pt>
                <c:pt idx="1">
                  <c:v>73550112013.645508</c:v>
                </c:pt>
                <c:pt idx="2" formatCode="_-* #,##0.00_-;\-* #,##0.00_-;_-* &quot;-&quot;??_-;_-@_-">
                  <c:v>68565919306.97998</c:v>
                </c:pt>
                <c:pt idx="3">
                  <c:v>77988718310.700836</c:v>
                </c:pt>
                <c:pt idx="4">
                  <c:v>367969019601.86682</c:v>
                </c:pt>
                <c:pt idx="5">
                  <c:v>239780265974.00003</c:v>
                </c:pt>
                <c:pt idx="6">
                  <c:v>1916747972369.5215</c:v>
                </c:pt>
                <c:pt idx="7">
                  <c:v>4172759122177.9399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6C1-41E2-BD65-8D78AE0E5F1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45891</c:v>
                </c:pt>
                <c:pt idx="1">
                  <c:v>45898</c:v>
                </c:pt>
                <c:pt idx="2">
                  <c:v>45904</c:v>
                </c:pt>
                <c:pt idx="3">
                  <c:v>45912</c:v>
                </c:pt>
                <c:pt idx="4">
                  <c:v>45919</c:v>
                </c:pt>
                <c:pt idx="5">
                  <c:v>45926</c:v>
                </c:pt>
                <c:pt idx="6">
                  <c:v>45933</c:v>
                </c:pt>
                <c:pt idx="7">
                  <c:v>45940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6503.8359094696516</c:v>
                </c:pt>
                <c:pt idx="1">
                  <c:v>6560.9507360896305</c:v>
                </c:pt>
                <c:pt idx="2">
                  <c:v>6542.8543765579298</c:v>
                </c:pt>
                <c:pt idx="3">
                  <c:v>6621.1686110231039</c:v>
                </c:pt>
                <c:pt idx="4">
                  <c:v>6693.7872553133138</c:v>
                </c:pt>
                <c:pt idx="5">
                  <c:v>6745.4768805021786</c:v>
                </c:pt>
                <c:pt idx="6">
                  <c:v>6812.2098133156478</c:v>
                </c:pt>
                <c:pt idx="7">
                  <c:v>6925.6615260417657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8B-4464-8D73-A29E32154D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28914144"/>
        <c:axId val="328914928"/>
      </c:lineChart>
      <c:dateAx>
        <c:axId val="328914144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8914928"/>
        <c:crosses val="autoZero"/>
        <c:auto val="1"/>
        <c:lblOffset val="100"/>
        <c:baseTimeUnit val="days"/>
      </c:dateAx>
      <c:valAx>
        <c:axId val="328914928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8914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 sz="1600"/>
              <a:t>AGGREGATE </a:t>
            </a:r>
            <a:r>
              <a: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45891</c:v>
                </c:pt>
                <c:pt idx="1">
                  <c:v>45898</c:v>
                </c:pt>
                <c:pt idx="2">
                  <c:v>45904</c:v>
                </c:pt>
                <c:pt idx="3">
                  <c:v>45912</c:v>
                </c:pt>
                <c:pt idx="4">
                  <c:v>45919</c:v>
                </c:pt>
                <c:pt idx="5">
                  <c:v>45926</c:v>
                </c:pt>
                <c:pt idx="6">
                  <c:v>45933</c:v>
                </c:pt>
                <c:pt idx="7">
                  <c:v>45940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16.805945304309997</c:v>
                </c:pt>
                <c:pt idx="1">
                  <c:v>16.769372316030001</c:v>
                </c:pt>
                <c:pt idx="2">
                  <c:v>16.688373226208999</c:v>
                </c:pt>
                <c:pt idx="3">
                  <c:v>16.922657208430998</c:v>
                </c:pt>
                <c:pt idx="4">
                  <c:v>16.933585980109999</c:v>
                </c:pt>
                <c:pt idx="5">
                  <c:v>17.030106986159996</c:v>
                </c:pt>
                <c:pt idx="6">
                  <c:v>17.235315862969998</c:v>
                </c:pt>
                <c:pt idx="7">
                  <c:v>17.549594999559996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E-4C32-8EA2-A8782F52023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28909832"/>
        <c:axId val="328912184"/>
      </c:lineChart>
      <c:dateAx>
        <c:axId val="32890983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8912184"/>
        <c:crosses val="autoZero"/>
        <c:auto val="1"/>
        <c:lblOffset val="100"/>
        <c:baseTimeUnit val="days"/>
      </c:dateAx>
      <c:valAx>
        <c:axId val="328912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8909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15240</xdr:colOff>
      <xdr:row>22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191846</xdr:colOff>
      <xdr:row>32</xdr:row>
      <xdr:rowOff>44823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19</xdr:row>
      <xdr:rowOff>8659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434339</xdr:colOff>
      <xdr:row>18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263"/>
  <sheetViews>
    <sheetView tabSelected="1" zoomScale="130" zoomScaleNormal="130" zoomScaleSheetLayoutView="100" workbookViewId="0">
      <pane ySplit="3" topLeftCell="A4" activePane="bottomLeft" state="frozen"/>
      <selection pane="bottomLeft" activeCell="A4" sqref="A4"/>
    </sheetView>
  </sheetViews>
  <sheetFormatPr defaultColWidth="9" defaultRowHeight="14.4"/>
  <cols>
    <col min="1" max="1" width="6" customWidth="1"/>
    <col min="2" max="2" width="39.109375" customWidth="1"/>
    <col min="3" max="3" width="36.109375" customWidth="1"/>
    <col min="4" max="4" width="21" customWidth="1"/>
    <col min="8" max="8" width="10.44140625" customWidth="1"/>
    <col min="11" max="11" width="20.5546875" customWidth="1"/>
    <col min="13" max="14" width="10.109375" customWidth="1"/>
    <col min="15" max="15" width="10.5546875" customWidth="1"/>
    <col min="16" max="16" width="8.33203125" customWidth="1"/>
    <col min="17" max="17" width="9.109375" customWidth="1"/>
    <col min="20" max="20" width="9.33203125" customWidth="1"/>
    <col min="24" max="24" width="18.88671875" customWidth="1"/>
    <col min="25" max="25" width="11.33203125" customWidth="1"/>
    <col min="26" max="27" width="17.33203125" customWidth="1"/>
  </cols>
  <sheetData>
    <row r="1" spans="1:25" ht="27">
      <c r="A1" s="177" t="s">
        <v>325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</row>
    <row r="2" spans="1:25" ht="14.4" customHeight="1">
      <c r="A2" s="136"/>
      <c r="B2" s="137"/>
      <c r="C2" s="138"/>
      <c r="D2" s="178" t="s">
        <v>323</v>
      </c>
      <c r="E2" s="178"/>
      <c r="F2" s="178"/>
      <c r="G2" s="178"/>
      <c r="H2" s="178"/>
      <c r="I2" s="178"/>
      <c r="J2" s="178"/>
      <c r="K2" s="178" t="s">
        <v>326</v>
      </c>
      <c r="L2" s="178"/>
      <c r="M2" s="178"/>
      <c r="N2" s="178"/>
      <c r="O2" s="178"/>
      <c r="P2" s="178"/>
      <c r="Q2" s="178"/>
      <c r="R2" s="178" t="s">
        <v>316</v>
      </c>
      <c r="S2" s="178"/>
      <c r="T2" s="178"/>
      <c r="U2" s="178" t="s">
        <v>317</v>
      </c>
      <c r="V2" s="178"/>
    </row>
    <row r="3" spans="1:25" ht="20.399999999999999">
      <c r="A3" s="21" t="s">
        <v>0</v>
      </c>
      <c r="B3" s="22" t="s">
        <v>1</v>
      </c>
      <c r="C3" s="23" t="s">
        <v>2</v>
      </c>
      <c r="D3" s="24" t="s">
        <v>3</v>
      </c>
      <c r="E3" s="25" t="s">
        <v>4</v>
      </c>
      <c r="F3" s="25" t="s">
        <v>282</v>
      </c>
      <c r="G3" s="25" t="s">
        <v>6</v>
      </c>
      <c r="H3" s="25" t="s">
        <v>7</v>
      </c>
      <c r="I3" s="25" t="s">
        <v>8</v>
      </c>
      <c r="J3" s="25" t="s">
        <v>9</v>
      </c>
      <c r="K3" s="46" t="s">
        <v>3</v>
      </c>
      <c r="L3" s="25" t="s">
        <v>4</v>
      </c>
      <c r="M3" s="25" t="s">
        <v>5</v>
      </c>
      <c r="N3" s="25" t="s">
        <v>6</v>
      </c>
      <c r="O3" s="25" t="s">
        <v>7</v>
      </c>
      <c r="P3" s="25" t="s">
        <v>8</v>
      </c>
      <c r="Q3" s="25" t="s">
        <v>9</v>
      </c>
      <c r="R3" s="24" t="s">
        <v>10</v>
      </c>
      <c r="S3" s="25" t="s">
        <v>11</v>
      </c>
      <c r="T3" s="25" t="s">
        <v>12</v>
      </c>
      <c r="U3" s="25" t="s">
        <v>13</v>
      </c>
      <c r="V3" s="25" t="s">
        <v>14</v>
      </c>
    </row>
    <row r="4" spans="1:25" ht="5.25" customHeight="1">
      <c r="A4" s="129"/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</row>
    <row r="5" spans="1:25" ht="15" customHeight="1">
      <c r="A5" s="180" t="s">
        <v>15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</row>
    <row r="6" spans="1:25">
      <c r="A6" s="170">
        <v>1</v>
      </c>
      <c r="B6" s="168" t="s">
        <v>16</v>
      </c>
      <c r="C6" s="169" t="s">
        <v>17</v>
      </c>
      <c r="D6" s="30">
        <v>3500026772.8299999</v>
      </c>
      <c r="E6" s="27">
        <f t="shared" ref="E6:E22" si="0">(D6/$D$25)</f>
        <v>4.8505707766551026E-2</v>
      </c>
      <c r="F6" s="30">
        <v>577.0702</v>
      </c>
      <c r="G6" s="30">
        <v>580.50639999999999</v>
      </c>
      <c r="H6" s="29">
        <v>1696</v>
      </c>
      <c r="I6" s="47">
        <v>-6.0000000000000001E-3</v>
      </c>
      <c r="J6" s="47">
        <v>0.45169999999999999</v>
      </c>
      <c r="K6" s="30">
        <v>3645632476.3600001</v>
      </c>
      <c r="L6" s="27">
        <f t="shared" ref="L6:L21" si="1">(K6/$K$25)</f>
        <v>4.9566647508077731E-2</v>
      </c>
      <c r="M6" s="30">
        <v>592.92780000000005</v>
      </c>
      <c r="N6" s="30">
        <v>596.77800000000002</v>
      </c>
      <c r="O6" s="29">
        <v>1695</v>
      </c>
      <c r="P6" s="47">
        <v>1.0999999999999999E-2</v>
      </c>
      <c r="Q6" s="47">
        <v>0.49159999999999998</v>
      </c>
      <c r="R6" s="53">
        <f>((K6-D6)/D6)</f>
        <v>4.1601311355760999E-2</v>
      </c>
      <c r="S6" s="53">
        <f>((N6-G6)/G6)</f>
        <v>2.8030009660530934E-2</v>
      </c>
      <c r="T6" s="53">
        <f>((O6-H6)/H6)</f>
        <v>-5.8962264150943394E-4</v>
      </c>
      <c r="U6" s="54">
        <f>P6-I6</f>
        <v>1.7000000000000001E-2</v>
      </c>
      <c r="V6" s="55">
        <f>Q6-J6</f>
        <v>3.9899999999999991E-2</v>
      </c>
    </row>
    <row r="7" spans="1:25">
      <c r="A7" s="170">
        <v>2</v>
      </c>
      <c r="B7" s="168" t="s">
        <v>18</v>
      </c>
      <c r="C7" s="169" t="s">
        <v>19</v>
      </c>
      <c r="D7" s="30">
        <v>1142683910.1500001</v>
      </c>
      <c r="E7" s="27">
        <f t="shared" si="0"/>
        <v>1.5836076525340307E-2</v>
      </c>
      <c r="F7" s="30">
        <v>391.92660000000001</v>
      </c>
      <c r="G7" s="30">
        <v>396.55869999999999</v>
      </c>
      <c r="H7" s="29">
        <v>597</v>
      </c>
      <c r="I7" s="47">
        <v>5.561E-3</v>
      </c>
      <c r="J7" s="47">
        <v>0.52200000000000002</v>
      </c>
      <c r="K7" s="30">
        <v>1158031460.8800001</v>
      </c>
      <c r="L7" s="27">
        <f t="shared" si="1"/>
        <v>1.5744795339878673E-2</v>
      </c>
      <c r="M7" s="30">
        <v>401.11090000000002</v>
      </c>
      <c r="N7" s="30">
        <v>405.8886</v>
      </c>
      <c r="O7" s="29">
        <v>599</v>
      </c>
      <c r="P7" s="47">
        <v>3.5850000000000001E-3</v>
      </c>
      <c r="Q7" s="47">
        <v>0.55759999999999998</v>
      </c>
      <c r="R7" s="53">
        <f t="shared" ref="R7:R25" si="2">((K7-D7)/D7)</f>
        <v>1.3431142762818237E-2</v>
      </c>
      <c r="S7" s="53">
        <f t="shared" ref="S7:S25" si="3">((N7-G7)/G7)</f>
        <v>2.3527160039610806E-2</v>
      </c>
      <c r="T7" s="53">
        <f t="shared" ref="T7:T25" si="4">((O7-H7)/H7)</f>
        <v>3.3500837520938024E-3</v>
      </c>
      <c r="U7" s="54">
        <f t="shared" ref="U7:U25" si="5">P7-I7</f>
        <v>-1.9759999999999999E-3</v>
      </c>
      <c r="V7" s="55">
        <f t="shared" ref="V7:V25" si="6">Q7-J7</f>
        <v>3.5599999999999965E-2</v>
      </c>
    </row>
    <row r="8" spans="1:25">
      <c r="A8" s="170">
        <v>3</v>
      </c>
      <c r="B8" s="168" t="s">
        <v>20</v>
      </c>
      <c r="C8" s="169" t="s">
        <v>21</v>
      </c>
      <c r="D8" s="30">
        <v>6284659698.3599997</v>
      </c>
      <c r="E8" s="27">
        <f t="shared" si="0"/>
        <v>8.7097009973551243E-2</v>
      </c>
      <c r="F8" s="30">
        <v>49.050400000000003</v>
      </c>
      <c r="G8" s="139">
        <v>50.529299999999999</v>
      </c>
      <c r="H8" s="31">
        <v>7623</v>
      </c>
      <c r="I8" s="48">
        <v>1.0146999999999999</v>
      </c>
      <c r="J8" s="48">
        <v>0.5071</v>
      </c>
      <c r="K8" s="30">
        <v>6465484588.6300001</v>
      </c>
      <c r="L8" s="27">
        <f t="shared" si="1"/>
        <v>8.7905842854875335E-2</v>
      </c>
      <c r="M8" s="30">
        <v>49.888500000000001</v>
      </c>
      <c r="N8" s="139">
        <v>51.392699999999998</v>
      </c>
      <c r="O8" s="31">
        <v>7719</v>
      </c>
      <c r="P8" s="48">
        <v>0.89100000000000001</v>
      </c>
      <c r="Q8" s="48">
        <v>0.52500000000000002</v>
      </c>
      <c r="R8" s="53">
        <f t="shared" si="2"/>
        <v>2.8772423480174631E-2</v>
      </c>
      <c r="S8" s="53">
        <f t="shared" si="3"/>
        <v>1.7087115792223495E-2</v>
      </c>
      <c r="T8" s="53">
        <f t="shared" si="4"/>
        <v>1.2593467138921684E-2</v>
      </c>
      <c r="U8" s="54">
        <f t="shared" si="5"/>
        <v>-0.12369999999999992</v>
      </c>
      <c r="V8" s="55">
        <f t="shared" si="6"/>
        <v>1.7900000000000027E-2</v>
      </c>
      <c r="X8" s="56"/>
      <c r="Y8" s="56"/>
    </row>
    <row r="9" spans="1:25">
      <c r="A9" s="170">
        <v>4</v>
      </c>
      <c r="B9" s="168" t="s">
        <v>22</v>
      </c>
      <c r="C9" s="169" t="s">
        <v>23</v>
      </c>
      <c r="D9" s="30">
        <v>1061740737.4400001</v>
      </c>
      <c r="E9" s="27">
        <f t="shared" si="0"/>
        <v>1.4714311997238102E-2</v>
      </c>
      <c r="F9" s="30">
        <v>244.27459999999999</v>
      </c>
      <c r="G9" s="30">
        <v>244.27459999999999</v>
      </c>
      <c r="H9" s="29">
        <v>2197</v>
      </c>
      <c r="I9" s="47">
        <v>3.3999999999999998E-3</v>
      </c>
      <c r="J9" s="47">
        <v>0.26989999999999997</v>
      </c>
      <c r="K9" s="30">
        <v>1117953886.79</v>
      </c>
      <c r="L9" s="27">
        <f t="shared" si="1"/>
        <v>1.5199893734799338E-2</v>
      </c>
      <c r="M9" s="30">
        <v>250.541</v>
      </c>
      <c r="N9" s="30">
        <v>250.541</v>
      </c>
      <c r="O9" s="29">
        <v>2207</v>
      </c>
      <c r="P9" s="47">
        <v>2.5700000000000001E-2</v>
      </c>
      <c r="Q9" s="47">
        <v>0.29859999999999998</v>
      </c>
      <c r="R9" s="53">
        <f t="shared" si="2"/>
        <v>5.2944327525321654E-2</v>
      </c>
      <c r="S9" s="53">
        <f t="shared" si="3"/>
        <v>2.5653096965464296E-2</v>
      </c>
      <c r="T9" s="53">
        <f t="shared" si="4"/>
        <v>4.5516613563950838E-3</v>
      </c>
      <c r="U9" s="54">
        <f t="shared" si="5"/>
        <v>2.23E-2</v>
      </c>
      <c r="V9" s="55">
        <f t="shared" si="6"/>
        <v>2.8700000000000003E-2</v>
      </c>
    </row>
    <row r="10" spans="1:25">
      <c r="A10" s="170">
        <v>5</v>
      </c>
      <c r="B10" s="168" t="s">
        <v>24</v>
      </c>
      <c r="C10" s="169" t="s">
        <v>25</v>
      </c>
      <c r="D10" s="30">
        <v>1807782054.3800001</v>
      </c>
      <c r="E10" s="27">
        <f t="shared" si="0"/>
        <v>2.5053450652456087E-2</v>
      </c>
      <c r="F10" s="30">
        <v>1.6071</v>
      </c>
      <c r="G10" s="30">
        <v>1.6266</v>
      </c>
      <c r="H10" s="29">
        <v>785</v>
      </c>
      <c r="I10" s="47">
        <v>1.52E-2</v>
      </c>
      <c r="J10" s="47">
        <v>0.36359999999999998</v>
      </c>
      <c r="K10" s="30">
        <v>1809088863.6199999</v>
      </c>
      <c r="L10" s="27">
        <f t="shared" si="1"/>
        <v>2.4596684003477327E-2</v>
      </c>
      <c r="M10" s="30">
        <v>1.6283000000000001</v>
      </c>
      <c r="N10" s="30">
        <v>1.6484000000000001</v>
      </c>
      <c r="O10" s="29">
        <v>816</v>
      </c>
      <c r="P10" s="47">
        <v>1.3299999999999999E-2</v>
      </c>
      <c r="Q10" s="47">
        <v>0.38080000000000003</v>
      </c>
      <c r="R10" s="53">
        <f t="shared" si="2"/>
        <v>7.2287986089559705E-4</v>
      </c>
      <c r="S10" s="53">
        <f t="shared" si="3"/>
        <v>1.3402188614287497E-2</v>
      </c>
      <c r="T10" s="53">
        <f t="shared" si="4"/>
        <v>3.949044585987261E-2</v>
      </c>
      <c r="U10" s="54">
        <f t="shared" si="5"/>
        <v>-1.9000000000000006E-3</v>
      </c>
      <c r="V10" s="55">
        <f t="shared" si="6"/>
        <v>1.7200000000000049E-2</v>
      </c>
    </row>
    <row r="11" spans="1:25">
      <c r="A11" s="170">
        <v>6</v>
      </c>
      <c r="B11" s="168" t="s">
        <v>26</v>
      </c>
      <c r="C11" s="169" t="s">
        <v>27</v>
      </c>
      <c r="D11" s="32">
        <v>199622527.62</v>
      </c>
      <c r="E11" s="27">
        <f t="shared" si="0"/>
        <v>2.7665022632174839E-3</v>
      </c>
      <c r="F11" s="30">
        <v>204.4393</v>
      </c>
      <c r="G11" s="30">
        <v>206.19640000000001</v>
      </c>
      <c r="H11" s="31">
        <v>98</v>
      </c>
      <c r="I11" s="48">
        <v>4.0819999999999997E-3</v>
      </c>
      <c r="J11" s="48">
        <v>0.26040000000000002</v>
      </c>
      <c r="K11" s="32">
        <v>205902456.15000001</v>
      </c>
      <c r="L11" s="27">
        <f t="shared" si="1"/>
        <v>2.7994852830652331E-3</v>
      </c>
      <c r="M11" s="30">
        <v>210.95930000000001</v>
      </c>
      <c r="N11" s="30">
        <v>212.7801</v>
      </c>
      <c r="O11" s="31">
        <v>99</v>
      </c>
      <c r="P11" s="48">
        <v>6.3150000000000003E-3</v>
      </c>
      <c r="Q11" s="48">
        <v>0.26350000000000001</v>
      </c>
      <c r="R11" s="53">
        <f t="shared" si="2"/>
        <v>3.1459017200475628E-2</v>
      </c>
      <c r="S11" s="53">
        <f t="shared" si="3"/>
        <v>3.1929267436288863E-2</v>
      </c>
      <c r="T11" s="53">
        <f t="shared" si="4"/>
        <v>1.020408163265306E-2</v>
      </c>
      <c r="U11" s="54">
        <f t="shared" si="5"/>
        <v>2.2330000000000006E-3</v>
      </c>
      <c r="V11" s="55">
        <f t="shared" si="6"/>
        <v>3.0999999999999917E-3</v>
      </c>
    </row>
    <row r="12" spans="1:25">
      <c r="A12" s="170">
        <v>7</v>
      </c>
      <c r="B12" s="168" t="s">
        <v>28</v>
      </c>
      <c r="C12" s="169" t="s">
        <v>29</v>
      </c>
      <c r="D12" s="30">
        <v>2740593775.3600001</v>
      </c>
      <c r="E12" s="27">
        <f t="shared" si="0"/>
        <v>3.7980978261761923E-2</v>
      </c>
      <c r="F12" s="30">
        <v>492.38</v>
      </c>
      <c r="G12" s="30">
        <v>499.25</v>
      </c>
      <c r="H12" s="31">
        <v>1813</v>
      </c>
      <c r="I12" s="48">
        <v>4.1999999999999997E-3</v>
      </c>
      <c r="J12" s="48">
        <v>0.52049999999999996</v>
      </c>
      <c r="K12" s="30">
        <v>2758189867.8000002</v>
      </c>
      <c r="L12" s="27">
        <f t="shared" si="1"/>
        <v>3.7500824842908224E-2</v>
      </c>
      <c r="M12" s="30">
        <v>494.69</v>
      </c>
      <c r="N12" s="30">
        <v>501.73</v>
      </c>
      <c r="O12" s="31">
        <v>1817</v>
      </c>
      <c r="P12" s="48">
        <v>4.7999999999999996E-3</v>
      </c>
      <c r="Q12" s="48">
        <v>0.52769999999999995</v>
      </c>
      <c r="R12" s="53">
        <f t="shared" si="2"/>
        <v>6.4205401757101571E-3</v>
      </c>
      <c r="S12" s="53">
        <f t="shared" si="3"/>
        <v>4.9674511767651844E-3</v>
      </c>
      <c r="T12" s="53">
        <f t="shared" si="4"/>
        <v>2.206287920573635E-3</v>
      </c>
      <c r="U12" s="54">
        <f t="shared" si="5"/>
        <v>5.9999999999999984E-4</v>
      </c>
      <c r="V12" s="55">
        <f t="shared" si="6"/>
        <v>7.1999999999999842E-3</v>
      </c>
    </row>
    <row r="13" spans="1:25">
      <c r="A13" s="170">
        <v>8</v>
      </c>
      <c r="B13" s="168" t="s">
        <v>30</v>
      </c>
      <c r="C13" s="169" t="s">
        <v>31</v>
      </c>
      <c r="D13" s="26">
        <v>492674942.62</v>
      </c>
      <c r="E13" s="27">
        <f t="shared" si="0"/>
        <v>6.8278182830313868E-3</v>
      </c>
      <c r="F13" s="30">
        <v>243.05</v>
      </c>
      <c r="G13" s="30">
        <v>254.85</v>
      </c>
      <c r="H13" s="29">
        <v>2469</v>
      </c>
      <c r="I13" s="47">
        <v>-1.6500000000000001E-2</v>
      </c>
      <c r="J13" s="47">
        <v>0.14765</v>
      </c>
      <c r="K13" s="26">
        <v>494341732.07999998</v>
      </c>
      <c r="L13" s="27">
        <f t="shared" si="1"/>
        <v>6.7211553938665161E-3</v>
      </c>
      <c r="M13" s="30">
        <v>246.35</v>
      </c>
      <c r="N13" s="30">
        <v>257.17</v>
      </c>
      <c r="O13" s="29">
        <v>2469</v>
      </c>
      <c r="P13" s="47">
        <v>3.8999999999999998E-3</v>
      </c>
      <c r="Q13" s="47">
        <v>0.16320000000000001</v>
      </c>
      <c r="R13" s="53">
        <f t="shared" si="2"/>
        <v>3.3831423435828614E-3</v>
      </c>
      <c r="S13" s="53">
        <f t="shared" si="3"/>
        <v>9.1033941534236669E-3</v>
      </c>
      <c r="T13" s="53">
        <f t="shared" si="4"/>
        <v>0</v>
      </c>
      <c r="U13" s="54">
        <f t="shared" si="5"/>
        <v>2.0400000000000001E-2</v>
      </c>
      <c r="V13" s="55">
        <f t="shared" si="6"/>
        <v>1.5550000000000008E-2</v>
      </c>
    </row>
    <row r="14" spans="1:25">
      <c r="A14" s="170">
        <v>9</v>
      </c>
      <c r="B14" s="168" t="s">
        <v>32</v>
      </c>
      <c r="C14" s="169" t="s">
        <v>33</v>
      </c>
      <c r="D14" s="32">
        <v>88357642.535699993</v>
      </c>
      <c r="E14" s="27">
        <f t="shared" si="0"/>
        <v>1.2245192011238969E-3</v>
      </c>
      <c r="F14" s="30">
        <v>316.36</v>
      </c>
      <c r="G14" s="30">
        <v>324.74</v>
      </c>
      <c r="H14" s="29">
        <v>21</v>
      </c>
      <c r="I14" s="47">
        <v>1.4E-2</v>
      </c>
      <c r="J14" s="47">
        <v>0.42799999999999999</v>
      </c>
      <c r="K14" s="32">
        <v>88902432.125499994</v>
      </c>
      <c r="L14" s="27">
        <f t="shared" si="1"/>
        <v>1.2087327903593976E-3</v>
      </c>
      <c r="M14" s="30">
        <v>318.33999999999997</v>
      </c>
      <c r="N14" s="30">
        <v>326.79000000000002</v>
      </c>
      <c r="O14" s="29">
        <v>21</v>
      </c>
      <c r="P14" s="47">
        <v>6.3E-3</v>
      </c>
      <c r="Q14" s="47">
        <v>0.437</v>
      </c>
      <c r="R14" s="53">
        <f t="shared" si="2"/>
        <v>6.1657325180431745E-3</v>
      </c>
      <c r="S14" s="53">
        <f t="shared" si="3"/>
        <v>6.3127425016936975E-3</v>
      </c>
      <c r="T14" s="53">
        <f t="shared" si="4"/>
        <v>0</v>
      </c>
      <c r="U14" s="54">
        <f t="shared" si="5"/>
        <v>-7.7000000000000002E-3</v>
      </c>
      <c r="V14" s="55">
        <f t="shared" si="6"/>
        <v>9.000000000000008E-3</v>
      </c>
    </row>
    <row r="15" spans="1:25" ht="14.25" customHeight="1">
      <c r="A15" s="170">
        <v>10</v>
      </c>
      <c r="B15" s="168" t="s">
        <v>34</v>
      </c>
      <c r="C15" s="169" t="s">
        <v>35</v>
      </c>
      <c r="D15" s="26">
        <v>2115518837.1500001</v>
      </c>
      <c r="E15" s="27">
        <f t="shared" si="0"/>
        <v>2.9318272444659343E-2</v>
      </c>
      <c r="F15" s="30">
        <v>3.8511000000000002</v>
      </c>
      <c r="G15" s="30">
        <v>3.8883000000000001</v>
      </c>
      <c r="H15" s="29">
        <v>1595</v>
      </c>
      <c r="I15" s="47">
        <v>3.1099999999999999E-2</v>
      </c>
      <c r="J15" s="47">
        <v>0.83850000000000002</v>
      </c>
      <c r="K15" s="26">
        <v>2153908994.1300001</v>
      </c>
      <c r="L15" s="27">
        <f t="shared" si="1"/>
        <v>2.9284917930925688E-2</v>
      </c>
      <c r="M15" s="30">
        <v>3.8346749999999998</v>
      </c>
      <c r="N15" s="30">
        <v>3.872662</v>
      </c>
      <c r="O15" s="29">
        <v>1775</v>
      </c>
      <c r="P15" s="47">
        <v>-4.3E-3</v>
      </c>
      <c r="Q15" s="47">
        <v>0.83069999999999999</v>
      </c>
      <c r="R15" s="53">
        <f t="shared" si="2"/>
        <v>1.8146922781230701E-2</v>
      </c>
      <c r="S15" s="53">
        <f t="shared" si="3"/>
        <v>-4.0218090167939823E-3</v>
      </c>
      <c r="T15" s="53">
        <f t="shared" si="4"/>
        <v>0.11285266457680251</v>
      </c>
      <c r="U15" s="54">
        <f t="shared" si="5"/>
        <v>-3.5400000000000001E-2</v>
      </c>
      <c r="V15" s="55">
        <f t="shared" si="6"/>
        <v>-7.8000000000000291E-3</v>
      </c>
    </row>
    <row r="16" spans="1:25" ht="14.25" customHeight="1">
      <c r="A16" s="173">
        <v>11</v>
      </c>
      <c r="B16" s="168" t="s">
        <v>36</v>
      </c>
      <c r="C16" s="169" t="s">
        <v>37</v>
      </c>
      <c r="D16" s="26">
        <v>73867223.469999999</v>
      </c>
      <c r="E16" s="27">
        <f t="shared" si="0"/>
        <v>1.0237012993661373E-3</v>
      </c>
      <c r="F16" s="30">
        <v>22.54</v>
      </c>
      <c r="G16" s="30">
        <v>22.97</v>
      </c>
      <c r="H16" s="29">
        <v>52</v>
      </c>
      <c r="I16" s="47">
        <v>1.2500000000000001E-2</v>
      </c>
      <c r="J16" s="47">
        <v>1.27</v>
      </c>
      <c r="K16" s="26">
        <v>78900786.260000005</v>
      </c>
      <c r="L16" s="27">
        <f t="shared" si="1"/>
        <v>1.0727486892931149E-3</v>
      </c>
      <c r="M16" s="30">
        <v>23.54</v>
      </c>
      <c r="N16" s="30">
        <v>23.76</v>
      </c>
      <c r="O16" s="29">
        <v>56</v>
      </c>
      <c r="P16" s="47">
        <v>2.2499999999999999E-2</v>
      </c>
      <c r="Q16" s="47">
        <v>1.33</v>
      </c>
      <c r="R16" s="53">
        <f t="shared" ref="R16" si="7">((K16-D16)/D16)</f>
        <v>6.8143386925113111E-2</v>
      </c>
      <c r="S16" s="53">
        <f t="shared" ref="S16" si="8">((N16-G16)/G16)</f>
        <v>3.439268611232054E-2</v>
      </c>
      <c r="T16" s="53">
        <f t="shared" ref="T16" si="9">((O16-H16)/H16)</f>
        <v>7.6923076923076927E-2</v>
      </c>
      <c r="U16" s="54">
        <f t="shared" ref="U16" si="10">P16-I16</f>
        <v>9.9999999999999985E-3</v>
      </c>
      <c r="V16" s="55">
        <f t="shared" ref="V16" si="11">Q16-J16</f>
        <v>6.0000000000000053E-2</v>
      </c>
    </row>
    <row r="17" spans="1:22">
      <c r="A17" s="170">
        <v>12</v>
      </c>
      <c r="B17" s="168" t="s">
        <v>38</v>
      </c>
      <c r="C17" s="169" t="s">
        <v>39</v>
      </c>
      <c r="D17" s="123">
        <v>2546166648.6799998</v>
      </c>
      <c r="E17" s="27">
        <f t="shared" si="0"/>
        <v>3.5286477333414779E-2</v>
      </c>
      <c r="F17" s="30">
        <v>5.1100000000000003</v>
      </c>
      <c r="G17" s="30">
        <v>5.21</v>
      </c>
      <c r="H17" s="29">
        <v>3662</v>
      </c>
      <c r="I17" s="47">
        <v>-9.2999999999999992E-3</v>
      </c>
      <c r="J17" s="47">
        <v>0.40300000000000002</v>
      </c>
      <c r="K17" s="123">
        <v>2609881168.9699998</v>
      </c>
      <c r="L17" s="27">
        <f t="shared" si="1"/>
        <v>3.5484394211198443E-2</v>
      </c>
      <c r="M17" s="30">
        <v>5.28</v>
      </c>
      <c r="N17" s="30">
        <v>5.38</v>
      </c>
      <c r="O17" s="29">
        <v>3667</v>
      </c>
      <c r="P17" s="47">
        <v>1.34E-2</v>
      </c>
      <c r="Q17" s="47">
        <v>0.44919999999999999</v>
      </c>
      <c r="R17" s="53">
        <f t="shared" si="2"/>
        <v>2.5023703897398566E-2</v>
      </c>
      <c r="S17" s="53">
        <f t="shared" si="3"/>
        <v>3.2629558541266784E-2</v>
      </c>
      <c r="T17" s="53">
        <f t="shared" si="4"/>
        <v>1.3653741125068269E-3</v>
      </c>
      <c r="U17" s="54">
        <f t="shared" si="5"/>
        <v>2.2699999999999998E-2</v>
      </c>
      <c r="V17" s="55">
        <f t="shared" si="6"/>
        <v>4.6199999999999963E-2</v>
      </c>
    </row>
    <row r="18" spans="1:22">
      <c r="A18" s="170">
        <v>13</v>
      </c>
      <c r="B18" s="168" t="s">
        <v>40</v>
      </c>
      <c r="C18" s="169" t="s">
        <v>41</v>
      </c>
      <c r="D18" s="30">
        <v>2157494916.73</v>
      </c>
      <c r="E18" s="27">
        <f t="shared" si="0"/>
        <v>2.9900004980278398E-2</v>
      </c>
      <c r="F18" s="30">
        <v>33.380000000000003</v>
      </c>
      <c r="G18" s="30">
        <v>33.520000000000003</v>
      </c>
      <c r="H18" s="29">
        <v>875</v>
      </c>
      <c r="I18" s="47">
        <v>5.1900000000000002E-2</v>
      </c>
      <c r="J18" s="47">
        <v>0.4194</v>
      </c>
      <c r="K18" s="30">
        <v>2157494916.73</v>
      </c>
      <c r="L18" s="27">
        <f t="shared" si="1"/>
        <v>2.9333672752663208E-2</v>
      </c>
      <c r="M18" s="30">
        <v>34.92</v>
      </c>
      <c r="N18" s="30">
        <v>35.07</v>
      </c>
      <c r="O18" s="29">
        <v>898</v>
      </c>
      <c r="P18" s="47">
        <v>4.6199999999999998E-2</v>
      </c>
      <c r="Q18" s="47">
        <v>0.4829</v>
      </c>
      <c r="R18" s="53">
        <f t="shared" si="2"/>
        <v>0</v>
      </c>
      <c r="S18" s="53">
        <f t="shared" si="3"/>
        <v>4.6241050119331654E-2</v>
      </c>
      <c r="T18" s="53">
        <f t="shared" si="4"/>
        <v>2.6285714285714287E-2</v>
      </c>
      <c r="U18" s="54">
        <f t="shared" si="5"/>
        <v>-5.7000000000000037E-3</v>
      </c>
      <c r="V18" s="55">
        <f t="shared" si="6"/>
        <v>6.3500000000000001E-2</v>
      </c>
    </row>
    <row r="19" spans="1:22">
      <c r="A19" s="170">
        <v>14</v>
      </c>
      <c r="B19" s="168" t="s">
        <v>42</v>
      </c>
      <c r="C19" s="169" t="s">
        <v>43</v>
      </c>
      <c r="D19" s="30">
        <v>172030708.06</v>
      </c>
      <c r="E19" s="27">
        <f t="shared" si="0"/>
        <v>2.3841164064251326E-3</v>
      </c>
      <c r="F19" s="30">
        <v>1.87</v>
      </c>
      <c r="G19" s="30">
        <v>1.94</v>
      </c>
      <c r="H19" s="29">
        <v>23</v>
      </c>
      <c r="I19" s="47">
        <v>5.3E-3</v>
      </c>
      <c r="J19" s="47">
        <v>0.34010000000000001</v>
      </c>
      <c r="K19" s="30">
        <v>178706242.24000001</v>
      </c>
      <c r="L19" s="27">
        <f t="shared" si="1"/>
        <v>2.429720871218323E-3</v>
      </c>
      <c r="M19" s="30">
        <v>1.94</v>
      </c>
      <c r="N19" s="30">
        <v>2.0099999999999998</v>
      </c>
      <c r="O19" s="29">
        <v>24</v>
      </c>
      <c r="P19" s="47">
        <v>5.04E-2</v>
      </c>
      <c r="Q19" s="47">
        <v>0.39050000000000001</v>
      </c>
      <c r="R19" s="53">
        <f t="shared" si="2"/>
        <v>3.8804317294745705E-2</v>
      </c>
      <c r="S19" s="53">
        <f t="shared" si="3"/>
        <v>3.6082474226804044E-2</v>
      </c>
      <c r="T19" s="53">
        <f t="shared" si="4"/>
        <v>4.3478260869565216E-2</v>
      </c>
      <c r="U19" s="54">
        <f t="shared" si="5"/>
        <v>4.5100000000000001E-2</v>
      </c>
      <c r="V19" s="55">
        <f t="shared" si="6"/>
        <v>5.04E-2</v>
      </c>
    </row>
    <row r="20" spans="1:22">
      <c r="A20" s="170">
        <v>15</v>
      </c>
      <c r="B20" s="168" t="s">
        <v>44</v>
      </c>
      <c r="C20" s="169" t="s">
        <v>45</v>
      </c>
      <c r="D20" s="26">
        <v>8055134198</v>
      </c>
      <c r="E20" s="27">
        <f t="shared" si="0"/>
        <v>0.11163342762450265</v>
      </c>
      <c r="F20" s="30">
        <v>49.26</v>
      </c>
      <c r="G20" s="30">
        <v>49.75</v>
      </c>
      <c r="H20" s="29">
        <v>8944</v>
      </c>
      <c r="I20" s="47">
        <v>1.52E-2</v>
      </c>
      <c r="J20" s="47">
        <v>0.61770000000000003</v>
      </c>
      <c r="K20" s="26">
        <v>8199867053.9200001</v>
      </c>
      <c r="L20" s="27">
        <f t="shared" si="1"/>
        <v>0.11148680579029854</v>
      </c>
      <c r="M20" s="30">
        <v>50.49</v>
      </c>
      <c r="N20" s="30">
        <v>50.76</v>
      </c>
      <c r="O20" s="29">
        <v>8944</v>
      </c>
      <c r="P20" s="47">
        <v>4.0399999999999998E-2</v>
      </c>
      <c r="Q20" s="47">
        <v>0.65810000000000002</v>
      </c>
      <c r="R20" s="53">
        <f t="shared" si="2"/>
        <v>1.7967777117349034E-2</v>
      </c>
      <c r="S20" s="53">
        <f t="shared" si="3"/>
        <v>2.0301507537688401E-2</v>
      </c>
      <c r="T20" s="53">
        <f t="shared" si="4"/>
        <v>0</v>
      </c>
      <c r="U20" s="54">
        <f t="shared" si="5"/>
        <v>2.52E-2</v>
      </c>
      <c r="V20" s="55">
        <f t="shared" si="6"/>
        <v>4.0399999999999991E-2</v>
      </c>
    </row>
    <row r="21" spans="1:22" ht="12.75" customHeight="1">
      <c r="A21" s="170">
        <v>16</v>
      </c>
      <c r="B21" s="168" t="s">
        <v>46</v>
      </c>
      <c r="C21" s="169" t="s">
        <v>47</v>
      </c>
      <c r="D21" s="30">
        <v>1522478410.8099999</v>
      </c>
      <c r="E21" s="27">
        <f t="shared" si="0"/>
        <v>2.109952228048851E-2</v>
      </c>
      <c r="F21" s="30">
        <v>12168.41</v>
      </c>
      <c r="G21" s="30">
        <v>12336.64</v>
      </c>
      <c r="H21" s="29">
        <v>26</v>
      </c>
      <c r="I21" s="47">
        <v>1.5699999999999999E-2</v>
      </c>
      <c r="J21" s="47">
        <v>0.52100000000000002</v>
      </c>
      <c r="K21" s="30">
        <v>1524815201.8199999</v>
      </c>
      <c r="L21" s="27">
        <f t="shared" si="1"/>
        <v>2.0731650300370802E-2</v>
      </c>
      <c r="M21" s="30">
        <v>12221.27</v>
      </c>
      <c r="N21" s="30">
        <v>12390.85</v>
      </c>
      <c r="O21" s="29">
        <v>26</v>
      </c>
      <c r="P21" s="47">
        <v>4.4000000000000003E-3</v>
      </c>
      <c r="Q21" s="47">
        <v>0.52769999999999995</v>
      </c>
      <c r="R21" s="53">
        <f t="shared" si="2"/>
        <v>1.5348598662602735E-3</v>
      </c>
      <c r="S21" s="53">
        <f t="shared" si="3"/>
        <v>4.3942272774435296E-3</v>
      </c>
      <c r="T21" s="53">
        <f t="shared" si="4"/>
        <v>0</v>
      </c>
      <c r="U21" s="54">
        <f t="shared" si="5"/>
        <v>-1.1299999999999998E-2</v>
      </c>
      <c r="V21" s="55">
        <f t="shared" si="6"/>
        <v>6.6999999999999282E-3</v>
      </c>
    </row>
    <row r="22" spans="1:22">
      <c r="A22" s="170">
        <v>17</v>
      </c>
      <c r="B22" s="168" t="s">
        <v>48</v>
      </c>
      <c r="C22" s="169" t="s">
        <v>47</v>
      </c>
      <c r="D22" s="30">
        <v>23619027566.02</v>
      </c>
      <c r="E22" s="27">
        <f t="shared" si="0"/>
        <v>0.32732825295537388</v>
      </c>
      <c r="F22" s="30">
        <v>40409.54</v>
      </c>
      <c r="G22" s="30">
        <v>40970.89</v>
      </c>
      <c r="H22" s="29">
        <v>19113</v>
      </c>
      <c r="I22" s="47">
        <v>1.15E-2</v>
      </c>
      <c r="J22" s="47">
        <v>0.59409999999999996</v>
      </c>
      <c r="K22" s="30">
        <v>23905702828.34</v>
      </c>
      <c r="L22" s="27">
        <f t="shared" ref="L22" si="12">(K22/$K$25)</f>
        <v>0.32502605602972917</v>
      </c>
      <c r="M22" s="30">
        <v>40715.25</v>
      </c>
      <c r="N22" s="30">
        <v>41278.910000000003</v>
      </c>
      <c r="O22" s="29">
        <v>19215</v>
      </c>
      <c r="P22" s="47">
        <v>7.4999999999999997E-3</v>
      </c>
      <c r="Q22" s="47">
        <v>0.60609999999999997</v>
      </c>
      <c r="R22" s="53">
        <f t="shared" si="2"/>
        <v>1.2137471008011819E-2</v>
      </c>
      <c r="S22" s="53">
        <f t="shared" si="3"/>
        <v>7.5180207215416626E-3</v>
      </c>
      <c r="T22" s="53">
        <f t="shared" si="4"/>
        <v>5.3366818395856226E-3</v>
      </c>
      <c r="U22" s="54">
        <f t="shared" si="5"/>
        <v>-4.0000000000000001E-3</v>
      </c>
      <c r="V22" s="55">
        <f t="shared" si="6"/>
        <v>1.2000000000000011E-2</v>
      </c>
    </row>
    <row r="23" spans="1:22">
      <c r="A23" s="170">
        <v>18</v>
      </c>
      <c r="B23" s="169" t="s">
        <v>49</v>
      </c>
      <c r="C23" s="169" t="s">
        <v>50</v>
      </c>
      <c r="D23" s="30">
        <v>5997885840.2399998</v>
      </c>
      <c r="E23" s="27">
        <f t="shared" ref="E23" si="13">(D23/$D$25)</f>
        <v>8.3122706386779585E-2</v>
      </c>
      <c r="F23" s="30">
        <v>1.8456999999999999</v>
      </c>
      <c r="G23" s="28">
        <v>1.8644000000000001</v>
      </c>
      <c r="H23" s="29">
        <v>6104</v>
      </c>
      <c r="I23" s="47">
        <v>9.9000000000000008E-3</v>
      </c>
      <c r="J23" s="47">
        <v>0.42249999999999999</v>
      </c>
      <c r="K23" s="30">
        <v>6111781678.5600004</v>
      </c>
      <c r="L23" s="27">
        <f>(K23/$K$25)</f>
        <v>8.3096837125497536E-2</v>
      </c>
      <c r="M23" s="30">
        <v>1.8772</v>
      </c>
      <c r="N23" s="28">
        <v>1.8967000000000001</v>
      </c>
      <c r="O23" s="29">
        <v>6178</v>
      </c>
      <c r="P23" s="47">
        <v>1.7100000000000001E-2</v>
      </c>
      <c r="Q23" s="47">
        <v>0.44369999999999998</v>
      </c>
      <c r="R23" s="53">
        <f t="shared" ref="R23" si="14">((K23-D23)/D23)</f>
        <v>1.8989330799841168E-2</v>
      </c>
      <c r="S23" s="53">
        <f t="shared" ref="S23" si="15">((N23-G23)/G23)</f>
        <v>1.7324608453121646E-2</v>
      </c>
      <c r="T23" s="53">
        <f t="shared" ref="T23" si="16">((O23-H23)/H23)</f>
        <v>1.2123197903014417E-2</v>
      </c>
      <c r="U23" s="54">
        <f t="shared" ref="U23" si="17">P23-I23</f>
        <v>7.1999999999999998E-3</v>
      </c>
      <c r="V23" s="55">
        <f t="shared" ref="V23" si="18">Q23-J23</f>
        <v>2.1199999999999997E-2</v>
      </c>
    </row>
    <row r="24" spans="1:22">
      <c r="A24" s="170">
        <v>19</v>
      </c>
      <c r="B24" s="169" t="s">
        <v>290</v>
      </c>
      <c r="C24" s="169" t="s">
        <v>291</v>
      </c>
      <c r="D24" s="30">
        <v>8579262197.1700001</v>
      </c>
      <c r="E24" s="27">
        <f>(D24/$D$25)</f>
        <v>0.11889714336443992</v>
      </c>
      <c r="F24" s="30">
        <v>207.45</v>
      </c>
      <c r="G24" s="28">
        <v>210.88</v>
      </c>
      <c r="H24" s="29">
        <v>70</v>
      </c>
      <c r="I24" s="47">
        <v>3.85E-2</v>
      </c>
      <c r="J24" s="47">
        <v>0.70420000000000005</v>
      </c>
      <c r="K24" s="30">
        <v>8885525378.2399998</v>
      </c>
      <c r="L24" s="27">
        <f>(K24/$K$25)</f>
        <v>0.12080913454749732</v>
      </c>
      <c r="M24" s="30">
        <v>212.92</v>
      </c>
      <c r="N24" s="28">
        <v>216.56</v>
      </c>
      <c r="O24" s="29">
        <v>74</v>
      </c>
      <c r="P24" s="47">
        <v>2.6700000000000002E-2</v>
      </c>
      <c r="Q24" s="47">
        <v>0.74970000000000003</v>
      </c>
      <c r="R24" s="53">
        <f t="shared" si="2"/>
        <v>3.5698079162451199E-2</v>
      </c>
      <c r="S24" s="53">
        <f t="shared" si="3"/>
        <v>2.6934749620637362E-2</v>
      </c>
      <c r="T24" s="53">
        <f t="shared" si="4"/>
        <v>5.7142857142857141E-2</v>
      </c>
      <c r="U24" s="54">
        <f t="shared" si="5"/>
        <v>-1.1799999999999998E-2</v>
      </c>
      <c r="V24" s="55">
        <f t="shared" si="6"/>
        <v>4.5499999999999985E-2</v>
      </c>
    </row>
    <row r="25" spans="1:22">
      <c r="A25" s="33"/>
      <c r="B25" s="34"/>
      <c r="C25" s="35" t="s">
        <v>51</v>
      </c>
      <c r="D25" s="36">
        <f>SUM(D6:D24)</f>
        <v>72157008607.625717</v>
      </c>
      <c r="E25" s="37">
        <f>(D25/$D$226)</f>
        <v>1.0592305666596221E-2</v>
      </c>
      <c r="F25" s="38"/>
      <c r="G25" s="39"/>
      <c r="H25" s="40">
        <f>SUM(H6:H24)</f>
        <v>57763</v>
      </c>
      <c r="I25" s="49"/>
      <c r="J25" s="29">
        <v>0</v>
      </c>
      <c r="K25" s="36">
        <f>SUM(K6:K24)</f>
        <v>73550112013.645508</v>
      </c>
      <c r="L25" s="37">
        <f>(K25/$K$226)</f>
        <v>1.0619940309973786E-2</v>
      </c>
      <c r="M25" s="38"/>
      <c r="N25" s="39"/>
      <c r="O25" s="40">
        <f>SUM(O6:O24)</f>
        <v>58299</v>
      </c>
      <c r="P25" s="49"/>
      <c r="Q25" s="40"/>
      <c r="R25" s="53">
        <f t="shared" si="2"/>
        <v>1.9306557088517723E-2</v>
      </c>
      <c r="S25" s="53" t="e">
        <f t="shared" si="3"/>
        <v>#DIV/0!</v>
      </c>
      <c r="T25" s="53">
        <f t="shared" si="4"/>
        <v>9.2792964354344483E-3</v>
      </c>
      <c r="U25" s="54">
        <f t="shared" si="5"/>
        <v>0</v>
      </c>
      <c r="V25" s="55">
        <f t="shared" si="6"/>
        <v>0</v>
      </c>
    </row>
    <row r="26" spans="1:22" ht="4.5" customHeight="1">
      <c r="A26" s="33"/>
      <c r="B26" s="181"/>
      <c r="C26" s="181"/>
      <c r="D26" s="181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/>
      <c r="R26" s="181"/>
      <c r="S26" s="181"/>
      <c r="T26" s="181"/>
      <c r="U26" s="181"/>
      <c r="V26" s="181"/>
    </row>
    <row r="27" spans="1:22" ht="15" customHeight="1">
      <c r="A27" s="180" t="s">
        <v>52</v>
      </c>
      <c r="B27" s="180"/>
      <c r="C27" s="180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0"/>
      <c r="R27" s="180"/>
      <c r="S27" s="180"/>
      <c r="T27" s="180"/>
      <c r="U27" s="180"/>
      <c r="V27" s="180"/>
    </row>
    <row r="28" spans="1:22">
      <c r="A28" s="171">
        <v>20</v>
      </c>
      <c r="B28" s="168" t="s">
        <v>53</v>
      </c>
      <c r="C28" s="169" t="s">
        <v>17</v>
      </c>
      <c r="D28" s="41">
        <v>4694859917.9700003</v>
      </c>
      <c r="E28" s="27">
        <f t="shared" ref="E28:E33" si="19">(D28/$K$70)</f>
        <v>1.1251212400488514E-3</v>
      </c>
      <c r="F28" s="28">
        <v>100</v>
      </c>
      <c r="G28" s="28">
        <v>100</v>
      </c>
      <c r="H28" s="29">
        <v>870</v>
      </c>
      <c r="I28" s="47">
        <v>0.17269999999999999</v>
      </c>
      <c r="J28" s="47">
        <v>0.17269999999999999</v>
      </c>
      <c r="K28" s="41">
        <v>4972092544.6499996</v>
      </c>
      <c r="L28" s="27">
        <f t="shared" ref="L28:L33" si="20">(K28/$K$70)</f>
        <v>1.1915599245170072E-3</v>
      </c>
      <c r="M28" s="28">
        <v>100</v>
      </c>
      <c r="N28" s="28">
        <v>100</v>
      </c>
      <c r="O28" s="29">
        <v>870</v>
      </c>
      <c r="P28" s="47">
        <v>0.1696</v>
      </c>
      <c r="Q28" s="47">
        <v>0.1696</v>
      </c>
      <c r="R28" s="53">
        <f>((K28-D28)/D28)</f>
        <v>5.9050244634321555E-2</v>
      </c>
      <c r="S28" s="53">
        <f>((N28-G28)/G28)</f>
        <v>0</v>
      </c>
      <c r="T28" s="53">
        <f>((O28-H28)/H28)</f>
        <v>0</v>
      </c>
      <c r="U28" s="54">
        <f>P28-I28</f>
        <v>-3.0999999999999917E-3</v>
      </c>
      <c r="V28" s="55">
        <f>Q28-J28</f>
        <v>-3.0999999999999917E-3</v>
      </c>
    </row>
    <row r="29" spans="1:22">
      <c r="A29" s="171">
        <v>21</v>
      </c>
      <c r="B29" s="168" t="s">
        <v>54</v>
      </c>
      <c r="C29" s="169" t="s">
        <v>55</v>
      </c>
      <c r="D29" s="41">
        <v>26136510531.740002</v>
      </c>
      <c r="E29" s="27">
        <f t="shared" si="19"/>
        <v>6.2636039527961653E-3</v>
      </c>
      <c r="F29" s="28">
        <v>100</v>
      </c>
      <c r="G29" s="28">
        <v>100</v>
      </c>
      <c r="H29" s="29">
        <v>3411</v>
      </c>
      <c r="I29" s="47">
        <v>0.196494</v>
      </c>
      <c r="J29" s="47">
        <v>0.196494</v>
      </c>
      <c r="K29" s="41">
        <v>27118449868.279999</v>
      </c>
      <c r="L29" s="27">
        <f t="shared" si="20"/>
        <v>6.4989253091910391E-3</v>
      </c>
      <c r="M29" s="28">
        <v>100</v>
      </c>
      <c r="N29" s="28">
        <v>100</v>
      </c>
      <c r="O29" s="29">
        <v>3457</v>
      </c>
      <c r="P29" s="47">
        <v>0.19239999999999999</v>
      </c>
      <c r="Q29" s="47">
        <v>0.19239999999999999</v>
      </c>
      <c r="R29" s="53">
        <f t="shared" ref="R29:R70" si="21">((K29-D29)/D29)</f>
        <v>3.7569641721971136E-2</v>
      </c>
      <c r="S29" s="53">
        <f t="shared" ref="S29:S70" si="22">((N29-G29)/G29)</f>
        <v>0</v>
      </c>
      <c r="T29" s="53">
        <f t="shared" ref="T29:T70" si="23">((O29-H29)/H29)</f>
        <v>1.3485781295807681E-2</v>
      </c>
      <c r="U29" s="54">
        <f t="shared" ref="U29:U70" si="24">P29-I29</f>
        <v>-4.0940000000000143E-3</v>
      </c>
      <c r="V29" s="55">
        <f t="shared" ref="V29:V70" si="25">Q29-J29</f>
        <v>-4.0940000000000143E-3</v>
      </c>
    </row>
    <row r="30" spans="1:22">
      <c r="A30" s="167">
        <v>22</v>
      </c>
      <c r="B30" s="168" t="s">
        <v>56</v>
      </c>
      <c r="C30" s="169" t="s">
        <v>19</v>
      </c>
      <c r="D30" s="41">
        <v>2473052903.6300001</v>
      </c>
      <c r="E30" s="27">
        <f t="shared" si="19"/>
        <v>5.9266610681788141E-4</v>
      </c>
      <c r="F30" s="28">
        <v>100</v>
      </c>
      <c r="G30" s="28">
        <v>100</v>
      </c>
      <c r="H30" s="29">
        <v>2224</v>
      </c>
      <c r="I30" s="47">
        <v>0.19209999999999999</v>
      </c>
      <c r="J30" s="47">
        <v>0.19950000000000001</v>
      </c>
      <c r="K30" s="41">
        <v>2396860570.6900001</v>
      </c>
      <c r="L30" s="27">
        <f t="shared" si="20"/>
        <v>5.744066457013643E-4</v>
      </c>
      <c r="M30" s="28">
        <v>100</v>
      </c>
      <c r="N30" s="28">
        <v>100</v>
      </c>
      <c r="O30" s="29">
        <v>2238</v>
      </c>
      <c r="P30" s="47">
        <v>0.19189999999999999</v>
      </c>
      <c r="Q30" s="47">
        <v>0.19189999999999999</v>
      </c>
      <c r="R30" s="53">
        <f t="shared" si="21"/>
        <v>-3.08090186134568E-2</v>
      </c>
      <c r="S30" s="53">
        <f t="shared" si="22"/>
        <v>0</v>
      </c>
      <c r="T30" s="53">
        <f t="shared" si="23"/>
        <v>6.2949640287769783E-3</v>
      </c>
      <c r="U30" s="54">
        <f t="shared" si="24"/>
        <v>-2.0000000000000573E-4</v>
      </c>
      <c r="V30" s="55">
        <f t="shared" si="25"/>
        <v>-7.6000000000000234E-3</v>
      </c>
    </row>
    <row r="31" spans="1:22">
      <c r="A31" s="171">
        <v>23</v>
      </c>
      <c r="B31" s="168" t="s">
        <v>57</v>
      </c>
      <c r="C31" s="169" t="s">
        <v>21</v>
      </c>
      <c r="D31" s="41">
        <v>282179439495.70001</v>
      </c>
      <c r="E31" s="27">
        <f t="shared" si="19"/>
        <v>6.7624186116072432E-2</v>
      </c>
      <c r="F31" s="28">
        <v>1</v>
      </c>
      <c r="G31" s="28">
        <v>1</v>
      </c>
      <c r="H31" s="29">
        <v>75037</v>
      </c>
      <c r="I31" s="47">
        <v>0.20169999999999999</v>
      </c>
      <c r="J31" s="47">
        <v>0.20169999999999999</v>
      </c>
      <c r="K31" s="41">
        <v>286178185379.66998</v>
      </c>
      <c r="L31" s="27">
        <f t="shared" si="20"/>
        <v>6.8582483915415049E-2</v>
      </c>
      <c r="M31" s="28">
        <v>1</v>
      </c>
      <c r="N31" s="28">
        <v>1</v>
      </c>
      <c r="O31" s="29">
        <v>75481</v>
      </c>
      <c r="P31" s="47">
        <v>0.19350000000000001</v>
      </c>
      <c r="Q31" s="47">
        <v>0.19350000000000001</v>
      </c>
      <c r="R31" s="53">
        <f t="shared" si="21"/>
        <v>1.4170932833080865E-2</v>
      </c>
      <c r="S31" s="53">
        <f t="shared" si="22"/>
        <v>0</v>
      </c>
      <c r="T31" s="53">
        <f t="shared" si="23"/>
        <v>5.9170809067526685E-3</v>
      </c>
      <c r="U31" s="54">
        <f t="shared" si="24"/>
        <v>-8.1999999999999851E-3</v>
      </c>
      <c r="V31" s="55">
        <f t="shared" si="25"/>
        <v>-8.1999999999999851E-3</v>
      </c>
    </row>
    <row r="32" spans="1:22">
      <c r="A32" s="171">
        <v>24</v>
      </c>
      <c r="B32" s="168" t="s">
        <v>299</v>
      </c>
      <c r="C32" s="169" t="s">
        <v>113</v>
      </c>
      <c r="D32" s="41">
        <v>1323743125.2</v>
      </c>
      <c r="E32" s="27">
        <f t="shared" si="19"/>
        <v>3.1723449315930853E-4</v>
      </c>
      <c r="F32" s="28">
        <v>1</v>
      </c>
      <c r="G32" s="28">
        <v>1</v>
      </c>
      <c r="H32" s="29">
        <v>300</v>
      </c>
      <c r="I32" s="47">
        <v>0.19</v>
      </c>
      <c r="J32" s="47">
        <v>0.19</v>
      </c>
      <c r="K32" s="41">
        <v>1405774447.1700001</v>
      </c>
      <c r="L32" s="27">
        <f t="shared" si="20"/>
        <v>3.3689326558497025E-4</v>
      </c>
      <c r="M32" s="28">
        <v>1</v>
      </c>
      <c r="N32" s="28">
        <v>1</v>
      </c>
      <c r="O32" s="29">
        <v>300</v>
      </c>
      <c r="P32" s="47">
        <v>0.185</v>
      </c>
      <c r="Q32" s="47">
        <v>0.185</v>
      </c>
      <c r="R32" s="53">
        <f t="shared" si="21"/>
        <v>6.1969214727824316E-2</v>
      </c>
      <c r="S32" s="53">
        <f t="shared" si="22"/>
        <v>0</v>
      </c>
      <c r="T32" s="53">
        <f t="shared" si="23"/>
        <v>0</v>
      </c>
      <c r="U32" s="54">
        <f t="shared" si="24"/>
        <v>-5.0000000000000044E-3</v>
      </c>
      <c r="V32" s="55">
        <f t="shared" si="25"/>
        <v>-5.0000000000000044E-3</v>
      </c>
    </row>
    <row r="33" spans="1:22">
      <c r="A33" s="171">
        <v>25</v>
      </c>
      <c r="B33" s="168" t="s">
        <v>58</v>
      </c>
      <c r="C33" s="169" t="s">
        <v>23</v>
      </c>
      <c r="D33" s="41">
        <v>160477377099.97</v>
      </c>
      <c r="E33" s="27">
        <f t="shared" si="19"/>
        <v>3.8458337134066357E-2</v>
      </c>
      <c r="F33" s="28">
        <v>1</v>
      </c>
      <c r="G33" s="28">
        <v>1</v>
      </c>
      <c r="H33" s="29">
        <v>36071</v>
      </c>
      <c r="I33" s="47">
        <v>0.18179999999999999</v>
      </c>
      <c r="J33" s="47">
        <v>0.18179999999999999</v>
      </c>
      <c r="K33" s="41">
        <v>161919422040.39001</v>
      </c>
      <c r="L33" s="27">
        <f t="shared" si="20"/>
        <v>3.8803922608376541E-2</v>
      </c>
      <c r="M33" s="28">
        <v>1</v>
      </c>
      <c r="N33" s="28">
        <v>1</v>
      </c>
      <c r="O33" s="29">
        <v>36208</v>
      </c>
      <c r="P33" s="47">
        <v>0.18360000000000001</v>
      </c>
      <c r="Q33" s="47">
        <v>0.18360000000000001</v>
      </c>
      <c r="R33" s="53">
        <f t="shared" si="21"/>
        <v>8.9859702749359241E-3</v>
      </c>
      <c r="S33" s="53">
        <f t="shared" si="22"/>
        <v>0</v>
      </c>
      <c r="T33" s="53">
        <f t="shared" si="23"/>
        <v>3.798064927504089E-3</v>
      </c>
      <c r="U33" s="54">
        <f t="shared" si="24"/>
        <v>1.8000000000000238E-3</v>
      </c>
      <c r="V33" s="55">
        <f t="shared" si="25"/>
        <v>1.8000000000000238E-3</v>
      </c>
    </row>
    <row r="34" spans="1:22">
      <c r="A34" s="171">
        <v>26</v>
      </c>
      <c r="B34" s="168" t="s">
        <v>284</v>
      </c>
      <c r="C34" s="169" t="s">
        <v>25</v>
      </c>
      <c r="D34" s="30">
        <v>13120654216.68</v>
      </c>
      <c r="E34" s="27">
        <f t="shared" ref="E34" si="26">(D34/$D$25)</f>
        <v>0.1818347859738379</v>
      </c>
      <c r="F34" s="30">
        <v>1</v>
      </c>
      <c r="G34" s="30">
        <v>1</v>
      </c>
      <c r="H34" s="29">
        <v>1183</v>
      </c>
      <c r="I34" s="47">
        <v>0.20319999999999999</v>
      </c>
      <c r="J34" s="47">
        <v>0.20319999999999999</v>
      </c>
      <c r="K34" s="30">
        <v>13630780957.360001</v>
      </c>
      <c r="L34" s="27">
        <f t="shared" ref="L34" si="27">(K34/$K$25)</f>
        <v>0.18532644729121728</v>
      </c>
      <c r="M34" s="30">
        <v>1</v>
      </c>
      <c r="N34" s="30">
        <v>1</v>
      </c>
      <c r="O34" s="29">
        <v>1198</v>
      </c>
      <c r="P34" s="47">
        <v>0.2001</v>
      </c>
      <c r="Q34" s="47">
        <v>0.2001</v>
      </c>
      <c r="R34" s="53">
        <f t="shared" si="21"/>
        <v>3.8879672633357516E-2</v>
      </c>
      <c r="S34" s="53">
        <f t="shared" si="22"/>
        <v>0</v>
      </c>
      <c r="T34" s="53">
        <f t="shared" si="23"/>
        <v>1.2679628064243449E-2</v>
      </c>
      <c r="U34" s="54">
        <f t="shared" si="24"/>
        <v>-3.0999999999999917E-3</v>
      </c>
      <c r="V34" s="55">
        <f t="shared" si="25"/>
        <v>-3.0999999999999917E-3</v>
      </c>
    </row>
    <row r="35" spans="1:22" ht="15" customHeight="1">
      <c r="A35" s="171">
        <v>27</v>
      </c>
      <c r="B35" s="168" t="s">
        <v>59</v>
      </c>
      <c r="C35" s="169" t="s">
        <v>45</v>
      </c>
      <c r="D35" s="41">
        <v>34927202112</v>
      </c>
      <c r="E35" s="27">
        <f t="shared" ref="E35:E48" si="28">(D35/$K$70)</f>
        <v>8.3702895588590818E-3</v>
      </c>
      <c r="F35" s="28">
        <v>100</v>
      </c>
      <c r="G35" s="28">
        <v>100</v>
      </c>
      <c r="H35" s="29">
        <v>2083</v>
      </c>
      <c r="I35" s="47">
        <v>0.2</v>
      </c>
      <c r="J35" s="47">
        <v>0.2</v>
      </c>
      <c r="K35" s="41">
        <v>35057700792.300003</v>
      </c>
      <c r="L35" s="27">
        <f t="shared" ref="L35:L48" si="29">(K35/$K$70)</f>
        <v>8.4015635136882524E-3</v>
      </c>
      <c r="M35" s="28">
        <v>100</v>
      </c>
      <c r="N35" s="28">
        <v>100</v>
      </c>
      <c r="O35" s="29">
        <v>2083</v>
      </c>
      <c r="P35" s="47">
        <v>0.17199999999999999</v>
      </c>
      <c r="Q35" s="47">
        <v>0.17199999999999999</v>
      </c>
      <c r="R35" s="53">
        <f t="shared" si="21"/>
        <v>3.7363050118225014E-3</v>
      </c>
      <c r="S35" s="53">
        <f t="shared" si="22"/>
        <v>0</v>
      </c>
      <c r="T35" s="53">
        <f t="shared" si="23"/>
        <v>0</v>
      </c>
      <c r="U35" s="54">
        <f t="shared" si="24"/>
        <v>-2.8000000000000025E-2</v>
      </c>
      <c r="V35" s="55">
        <f t="shared" si="25"/>
        <v>-2.8000000000000025E-2</v>
      </c>
    </row>
    <row r="36" spans="1:22" ht="15" customHeight="1">
      <c r="A36" s="171">
        <v>28</v>
      </c>
      <c r="B36" s="168" t="s">
        <v>60</v>
      </c>
      <c r="C36" s="169" t="s">
        <v>61</v>
      </c>
      <c r="D36" s="41">
        <v>1642336178.8900001</v>
      </c>
      <c r="E36" s="27">
        <f t="shared" si="28"/>
        <v>3.9358518687577517E-4</v>
      </c>
      <c r="F36" s="28">
        <v>1</v>
      </c>
      <c r="G36" s="28">
        <v>1</v>
      </c>
      <c r="H36" s="29">
        <v>537</v>
      </c>
      <c r="I36" s="47">
        <v>0.191</v>
      </c>
      <c r="J36" s="47">
        <v>0.191</v>
      </c>
      <c r="K36" s="41">
        <v>1726562999.71</v>
      </c>
      <c r="L36" s="27">
        <f t="shared" si="29"/>
        <v>4.137701096939508E-4</v>
      </c>
      <c r="M36" s="28">
        <v>1</v>
      </c>
      <c r="N36" s="28">
        <v>1</v>
      </c>
      <c r="O36" s="29">
        <v>540</v>
      </c>
      <c r="P36" s="47">
        <v>0.191</v>
      </c>
      <c r="Q36" s="47">
        <v>0.191</v>
      </c>
      <c r="R36" s="53">
        <f t="shared" si="21"/>
        <v>5.1284762463752104E-2</v>
      </c>
      <c r="S36" s="53">
        <f t="shared" si="22"/>
        <v>0</v>
      </c>
      <c r="T36" s="53">
        <f t="shared" si="23"/>
        <v>5.5865921787709499E-3</v>
      </c>
      <c r="U36" s="54">
        <f t="shared" si="24"/>
        <v>0</v>
      </c>
      <c r="V36" s="55">
        <f t="shared" si="25"/>
        <v>0</v>
      </c>
    </row>
    <row r="37" spans="1:22">
      <c r="A37" s="171">
        <v>29</v>
      </c>
      <c r="B37" s="168" t="s">
        <v>62</v>
      </c>
      <c r="C37" s="169" t="s">
        <v>63</v>
      </c>
      <c r="D37" s="41">
        <v>75079601492.089996</v>
      </c>
      <c r="E37" s="27">
        <f t="shared" si="28"/>
        <v>1.7992795484658305E-2</v>
      </c>
      <c r="F37" s="28">
        <v>100</v>
      </c>
      <c r="G37" s="28">
        <v>100</v>
      </c>
      <c r="H37" s="29">
        <v>5156</v>
      </c>
      <c r="I37" s="47">
        <v>0.188</v>
      </c>
      <c r="J37" s="47">
        <v>0.188</v>
      </c>
      <c r="K37" s="41">
        <v>75079601492.089996</v>
      </c>
      <c r="L37" s="27">
        <f t="shared" si="29"/>
        <v>1.7992795484658305E-2</v>
      </c>
      <c r="M37" s="28">
        <v>100</v>
      </c>
      <c r="N37" s="28">
        <v>100</v>
      </c>
      <c r="O37" s="29">
        <v>5156</v>
      </c>
      <c r="P37" s="47">
        <v>0.188</v>
      </c>
      <c r="Q37" s="47">
        <v>0.188</v>
      </c>
      <c r="R37" s="53">
        <f t="shared" si="21"/>
        <v>0</v>
      </c>
      <c r="S37" s="53">
        <f t="shared" si="22"/>
        <v>0</v>
      </c>
      <c r="T37" s="53">
        <f t="shared" si="23"/>
        <v>0</v>
      </c>
      <c r="U37" s="54">
        <f t="shared" si="24"/>
        <v>0</v>
      </c>
      <c r="V37" s="55">
        <f t="shared" si="25"/>
        <v>0</v>
      </c>
    </row>
    <row r="38" spans="1:22">
      <c r="A38" s="171">
        <v>30</v>
      </c>
      <c r="B38" s="168" t="s">
        <v>64</v>
      </c>
      <c r="C38" s="169" t="s">
        <v>65</v>
      </c>
      <c r="D38" s="41">
        <v>28839889234.27</v>
      </c>
      <c r="E38" s="27">
        <f t="shared" si="28"/>
        <v>6.9114675421803979E-3</v>
      </c>
      <c r="F38" s="28">
        <v>100</v>
      </c>
      <c r="G38" s="28">
        <v>100</v>
      </c>
      <c r="H38" s="29">
        <v>5326</v>
      </c>
      <c r="I38" s="47">
        <v>0.1898</v>
      </c>
      <c r="J38" s="47">
        <v>0.1898</v>
      </c>
      <c r="K38" s="41">
        <v>30370407433.330002</v>
      </c>
      <c r="L38" s="27">
        <f t="shared" si="29"/>
        <v>7.278255596378254E-3</v>
      </c>
      <c r="M38" s="28">
        <v>100</v>
      </c>
      <c r="N38" s="28">
        <v>100</v>
      </c>
      <c r="O38" s="29">
        <v>5339</v>
      </c>
      <c r="P38" s="47">
        <v>0.1981</v>
      </c>
      <c r="Q38" s="47">
        <v>0.1981</v>
      </c>
      <c r="R38" s="53">
        <f t="shared" si="21"/>
        <v>5.3069489505573754E-2</v>
      </c>
      <c r="S38" s="53">
        <f t="shared" si="22"/>
        <v>0</v>
      </c>
      <c r="T38" s="53">
        <f t="shared" si="23"/>
        <v>2.4408561772437101E-3</v>
      </c>
      <c r="U38" s="54">
        <f t="shared" si="24"/>
        <v>8.3000000000000018E-3</v>
      </c>
      <c r="V38" s="55">
        <f t="shared" si="25"/>
        <v>8.3000000000000018E-3</v>
      </c>
    </row>
    <row r="39" spans="1:22">
      <c r="A39" s="171">
        <v>31</v>
      </c>
      <c r="B39" s="168" t="s">
        <v>66</v>
      </c>
      <c r="C39" s="169" t="s">
        <v>294</v>
      </c>
      <c r="D39" s="41">
        <v>63184580546.029999</v>
      </c>
      <c r="E39" s="27">
        <f t="shared" si="28"/>
        <v>1.5142158628378071E-2</v>
      </c>
      <c r="F39" s="28">
        <v>1</v>
      </c>
      <c r="G39" s="28">
        <v>1</v>
      </c>
      <c r="H39" s="29">
        <v>10611</v>
      </c>
      <c r="I39" s="47">
        <v>0.17899999999999999</v>
      </c>
      <c r="J39" s="47">
        <v>0.17899999999999999</v>
      </c>
      <c r="K39" s="41">
        <v>63693891284.980003</v>
      </c>
      <c r="L39" s="27">
        <f t="shared" si="29"/>
        <v>1.5264214736587877E-2</v>
      </c>
      <c r="M39" s="28">
        <v>1</v>
      </c>
      <c r="N39" s="28">
        <v>1</v>
      </c>
      <c r="O39" s="29">
        <v>11124</v>
      </c>
      <c r="P39" s="47">
        <v>0.1777</v>
      </c>
      <c r="Q39" s="47">
        <v>0.1777</v>
      </c>
      <c r="R39" s="53">
        <f t="shared" si="21"/>
        <v>8.0606808583459921E-3</v>
      </c>
      <c r="S39" s="53">
        <f t="shared" si="22"/>
        <v>0</v>
      </c>
      <c r="T39" s="53">
        <f t="shared" si="23"/>
        <v>4.8346055979643768E-2</v>
      </c>
      <c r="U39" s="54">
        <f t="shared" si="24"/>
        <v>-1.2999999999999956E-3</v>
      </c>
      <c r="V39" s="55">
        <f t="shared" si="25"/>
        <v>-1.2999999999999956E-3</v>
      </c>
    </row>
    <row r="40" spans="1:22">
      <c r="A40" s="171">
        <v>32</v>
      </c>
      <c r="B40" s="168" t="s">
        <v>319</v>
      </c>
      <c r="C40" s="169" t="s">
        <v>94</v>
      </c>
      <c r="D40" s="41">
        <v>887623000</v>
      </c>
      <c r="E40" s="27">
        <v>0</v>
      </c>
      <c r="F40" s="28">
        <v>1000</v>
      </c>
      <c r="G40" s="28">
        <v>1000</v>
      </c>
      <c r="H40" s="29">
        <v>37</v>
      </c>
      <c r="I40" s="47">
        <v>0.19850000000000001</v>
      </c>
      <c r="J40" s="47">
        <v>0.19850000000000001</v>
      </c>
      <c r="K40" s="41">
        <v>948797234.32000005</v>
      </c>
      <c r="L40" s="27">
        <f t="shared" si="29"/>
        <v>2.2737886528776733E-4</v>
      </c>
      <c r="M40" s="28">
        <v>1000</v>
      </c>
      <c r="N40" s="28">
        <v>1000</v>
      </c>
      <c r="O40" s="29">
        <v>39</v>
      </c>
      <c r="P40" s="47">
        <v>0.19320000000000001</v>
      </c>
      <c r="Q40" s="47">
        <v>0.19320000000000001</v>
      </c>
      <c r="R40" s="53">
        <f t="shared" si="21"/>
        <v>6.8919163113168605E-2</v>
      </c>
      <c r="S40" s="53">
        <f t="shared" si="22"/>
        <v>0</v>
      </c>
      <c r="T40" s="53">
        <f t="shared" si="23"/>
        <v>5.4054054054054057E-2</v>
      </c>
      <c r="U40" s="54">
        <f t="shared" si="24"/>
        <v>-5.2999999999999992E-3</v>
      </c>
      <c r="V40" s="55">
        <f t="shared" si="25"/>
        <v>-5.2999999999999992E-3</v>
      </c>
    </row>
    <row r="41" spans="1:22">
      <c r="A41" s="171">
        <v>33</v>
      </c>
      <c r="B41" s="168" t="s">
        <v>67</v>
      </c>
      <c r="C41" s="169" t="s">
        <v>68</v>
      </c>
      <c r="D41" s="41">
        <v>82101226140.5</v>
      </c>
      <c r="E41" s="27">
        <f t="shared" si="28"/>
        <v>1.9675524931246902E-2</v>
      </c>
      <c r="F41" s="42">
        <v>100</v>
      </c>
      <c r="G41" s="42">
        <v>100</v>
      </c>
      <c r="H41" s="29">
        <v>4301</v>
      </c>
      <c r="I41" s="47">
        <v>0.184</v>
      </c>
      <c r="J41" s="47">
        <v>0.184</v>
      </c>
      <c r="K41" s="41">
        <v>82033911065.809998</v>
      </c>
      <c r="L41" s="27">
        <f t="shared" si="29"/>
        <v>1.9659392901403092E-2</v>
      </c>
      <c r="M41" s="42">
        <v>100</v>
      </c>
      <c r="N41" s="42">
        <v>100</v>
      </c>
      <c r="O41" s="29">
        <v>4301</v>
      </c>
      <c r="P41" s="47">
        <v>0.1835</v>
      </c>
      <c r="Q41" s="47">
        <v>0.1835</v>
      </c>
      <c r="R41" s="53">
        <f t="shared" si="21"/>
        <v>-8.1990340284085418E-4</v>
      </c>
      <c r="S41" s="53">
        <f t="shared" si="22"/>
        <v>0</v>
      </c>
      <c r="T41" s="53">
        <f t="shared" si="23"/>
        <v>0</v>
      </c>
      <c r="U41" s="54">
        <f t="shared" si="24"/>
        <v>-5.0000000000000044E-4</v>
      </c>
      <c r="V41" s="55">
        <f t="shared" si="25"/>
        <v>-5.0000000000000044E-4</v>
      </c>
    </row>
    <row r="42" spans="1:22">
      <c r="A42" s="171">
        <v>34</v>
      </c>
      <c r="B42" s="168" t="s">
        <v>69</v>
      </c>
      <c r="C42" s="169" t="s">
        <v>68</v>
      </c>
      <c r="D42" s="41">
        <v>11807989822.870001</v>
      </c>
      <c r="E42" s="27">
        <f t="shared" si="28"/>
        <v>2.8297798835574556E-3</v>
      </c>
      <c r="F42" s="42">
        <v>1000000</v>
      </c>
      <c r="G42" s="42">
        <v>1000000</v>
      </c>
      <c r="H42" s="29">
        <v>45</v>
      </c>
      <c r="I42" s="47">
        <v>0.1797</v>
      </c>
      <c r="J42" s="47">
        <v>0.1797</v>
      </c>
      <c r="K42" s="41">
        <v>11357907202.43</v>
      </c>
      <c r="L42" s="27">
        <f t="shared" si="29"/>
        <v>2.7219177694833788E-3</v>
      </c>
      <c r="M42" s="42">
        <v>1000000</v>
      </c>
      <c r="N42" s="42">
        <v>1000000</v>
      </c>
      <c r="O42" s="29">
        <v>45</v>
      </c>
      <c r="P42" s="47">
        <v>0.18149999999999999</v>
      </c>
      <c r="Q42" s="47">
        <v>0.18149999999999999</v>
      </c>
      <c r="R42" s="53">
        <f t="shared" si="21"/>
        <v>-3.8116785938303366E-2</v>
      </c>
      <c r="S42" s="53">
        <f t="shared" si="22"/>
        <v>0</v>
      </c>
      <c r="T42" s="53">
        <f t="shared" si="23"/>
        <v>0</v>
      </c>
      <c r="U42" s="54">
        <f t="shared" si="24"/>
        <v>1.799999999999996E-3</v>
      </c>
      <c r="V42" s="55">
        <f t="shared" si="25"/>
        <v>1.799999999999996E-3</v>
      </c>
    </row>
    <row r="43" spans="1:22">
      <c r="A43" s="171">
        <v>35</v>
      </c>
      <c r="B43" s="168" t="s">
        <v>70</v>
      </c>
      <c r="C43" s="169" t="s">
        <v>71</v>
      </c>
      <c r="D43" s="41">
        <v>6833687499.4200001</v>
      </c>
      <c r="E43" s="27">
        <f t="shared" si="28"/>
        <v>1.637690386463815E-3</v>
      </c>
      <c r="F43" s="28">
        <v>1</v>
      </c>
      <c r="G43" s="28">
        <v>1</v>
      </c>
      <c r="H43" s="29">
        <v>1036</v>
      </c>
      <c r="I43" s="47">
        <v>0.2084</v>
      </c>
      <c r="J43" s="47">
        <v>0.2084</v>
      </c>
      <c r="K43" s="41">
        <v>6865486970.3599997</v>
      </c>
      <c r="L43" s="27">
        <f t="shared" si="29"/>
        <v>1.6453111165392674E-3</v>
      </c>
      <c r="M43" s="28">
        <v>1</v>
      </c>
      <c r="N43" s="28">
        <v>1</v>
      </c>
      <c r="O43" s="29">
        <v>10.38</v>
      </c>
      <c r="P43" s="47">
        <v>0.2074</v>
      </c>
      <c r="Q43" s="47">
        <v>0.2074</v>
      </c>
      <c r="R43" s="53">
        <f t="shared" si="21"/>
        <v>4.6533399343617219E-3</v>
      </c>
      <c r="S43" s="53">
        <f t="shared" si="22"/>
        <v>0</v>
      </c>
      <c r="T43" s="53">
        <f t="shared" si="23"/>
        <v>-0.98998069498069485</v>
      </c>
      <c r="U43" s="54">
        <f t="shared" si="24"/>
        <v>-1.0000000000000009E-3</v>
      </c>
      <c r="V43" s="55">
        <f t="shared" si="25"/>
        <v>-1.0000000000000009E-3</v>
      </c>
    </row>
    <row r="44" spans="1:22">
      <c r="A44" s="171">
        <v>36</v>
      </c>
      <c r="B44" s="168" t="s">
        <v>72</v>
      </c>
      <c r="C44" s="169" t="s">
        <v>315</v>
      </c>
      <c r="D44" s="41">
        <v>632423333400</v>
      </c>
      <c r="E44" s="27">
        <f t="shared" si="28"/>
        <v>0.15155999061597197</v>
      </c>
      <c r="F44" s="28">
        <v>100</v>
      </c>
      <c r="G44" s="28">
        <v>100</v>
      </c>
      <c r="H44" s="29">
        <v>15086</v>
      </c>
      <c r="I44" s="47">
        <v>0.19020000000000001</v>
      </c>
      <c r="J44" s="47">
        <v>0.19020000000000001</v>
      </c>
      <c r="K44" s="41">
        <v>637860533163.30005</v>
      </c>
      <c r="L44" s="27">
        <f t="shared" si="29"/>
        <v>0.15286301329331792</v>
      </c>
      <c r="M44" s="28">
        <v>100</v>
      </c>
      <c r="N44" s="28">
        <v>100</v>
      </c>
      <c r="O44" s="29">
        <v>33235</v>
      </c>
      <c r="P44" s="47">
        <v>0.18179999999999999</v>
      </c>
      <c r="Q44" s="47">
        <v>0.18179999999999999</v>
      </c>
      <c r="R44" s="53">
        <f t="shared" si="21"/>
        <v>8.5974053709702188E-3</v>
      </c>
      <c r="S44" s="53">
        <f t="shared" si="22"/>
        <v>0</v>
      </c>
      <c r="T44" s="53">
        <f t="shared" si="23"/>
        <v>1.2030359273498608</v>
      </c>
      <c r="U44" s="54">
        <f t="shared" si="24"/>
        <v>-8.4000000000000186E-3</v>
      </c>
      <c r="V44" s="55">
        <f t="shared" si="25"/>
        <v>-8.4000000000000186E-3</v>
      </c>
    </row>
    <row r="45" spans="1:22">
      <c r="A45" s="171">
        <v>37</v>
      </c>
      <c r="B45" s="168" t="s">
        <v>73</v>
      </c>
      <c r="C45" s="169" t="s">
        <v>74</v>
      </c>
      <c r="D45" s="41">
        <v>2904061283.5300002</v>
      </c>
      <c r="E45" s="27">
        <f t="shared" si="28"/>
        <v>6.9595708702549009E-4</v>
      </c>
      <c r="F45" s="28">
        <v>1</v>
      </c>
      <c r="G45" s="28">
        <v>1</v>
      </c>
      <c r="H45" s="43">
        <v>1559</v>
      </c>
      <c r="I45" s="50">
        <v>0.19059999999999999</v>
      </c>
      <c r="J45" s="50">
        <v>0.19059999999999999</v>
      </c>
      <c r="K45" s="41">
        <v>2720008554.8000002</v>
      </c>
      <c r="L45" s="27">
        <f t="shared" si="29"/>
        <v>6.5184892661149165E-4</v>
      </c>
      <c r="M45" s="28">
        <v>1</v>
      </c>
      <c r="N45" s="28">
        <v>1</v>
      </c>
      <c r="O45" s="43">
        <v>1591</v>
      </c>
      <c r="P45" s="50">
        <v>0.18229999999999999</v>
      </c>
      <c r="Q45" s="50">
        <v>0.18229999999999999</v>
      </c>
      <c r="R45" s="53">
        <f t="shared" si="21"/>
        <v>-6.3377701350116389E-2</v>
      </c>
      <c r="S45" s="53">
        <f t="shared" si="22"/>
        <v>0</v>
      </c>
      <c r="T45" s="53">
        <f t="shared" si="23"/>
        <v>2.052597819114817E-2</v>
      </c>
      <c r="U45" s="54">
        <f t="shared" si="24"/>
        <v>-8.3000000000000018E-3</v>
      </c>
      <c r="V45" s="55">
        <f t="shared" si="25"/>
        <v>-8.3000000000000018E-3</v>
      </c>
    </row>
    <row r="46" spans="1:22">
      <c r="A46" s="171">
        <v>38</v>
      </c>
      <c r="B46" s="168" t="s">
        <v>296</v>
      </c>
      <c r="C46" s="169" t="s">
        <v>297</v>
      </c>
      <c r="D46" s="41">
        <v>2158881693.5799999</v>
      </c>
      <c r="E46" s="27">
        <f t="shared" si="28"/>
        <v>5.1737510610322217E-4</v>
      </c>
      <c r="F46" s="28">
        <v>1</v>
      </c>
      <c r="G46" s="28">
        <v>1</v>
      </c>
      <c r="H46" s="43">
        <v>391</v>
      </c>
      <c r="I46" s="50">
        <v>0.1825</v>
      </c>
      <c r="J46" s="50">
        <v>0.1825</v>
      </c>
      <c r="K46" s="41">
        <v>2325013725.7600002</v>
      </c>
      <c r="L46" s="27">
        <f t="shared" si="29"/>
        <v>5.5718857899146525E-4</v>
      </c>
      <c r="M46" s="28">
        <v>1</v>
      </c>
      <c r="N46" s="28">
        <v>1</v>
      </c>
      <c r="O46" s="43">
        <v>401</v>
      </c>
      <c r="P46" s="50">
        <v>0.1794</v>
      </c>
      <c r="Q46" s="50">
        <v>0.1794</v>
      </c>
      <c r="R46" s="53">
        <f t="shared" si="21"/>
        <v>7.6952818986810348E-2</v>
      </c>
      <c r="S46" s="53">
        <f t="shared" si="22"/>
        <v>0</v>
      </c>
      <c r="T46" s="53">
        <f t="shared" si="23"/>
        <v>2.557544757033248E-2</v>
      </c>
      <c r="U46" s="54">
        <f t="shared" si="24"/>
        <v>-3.0999999999999917E-3</v>
      </c>
      <c r="V46" s="55">
        <f t="shared" si="25"/>
        <v>-3.0999999999999917E-3</v>
      </c>
    </row>
    <row r="47" spans="1:22">
      <c r="A47" s="171">
        <v>39</v>
      </c>
      <c r="B47" s="168" t="s">
        <v>75</v>
      </c>
      <c r="C47" s="169" t="s">
        <v>76</v>
      </c>
      <c r="D47" s="41">
        <v>1327413727.8399999</v>
      </c>
      <c r="E47" s="27">
        <f t="shared" si="28"/>
        <v>3.1811415156577895E-4</v>
      </c>
      <c r="F47" s="28">
        <v>10</v>
      </c>
      <c r="G47" s="28">
        <v>10</v>
      </c>
      <c r="H47" s="29">
        <v>487</v>
      </c>
      <c r="I47" s="47">
        <v>0.1832</v>
      </c>
      <c r="J47" s="47">
        <v>0.1832</v>
      </c>
      <c r="K47" s="41">
        <v>2372352705.5700002</v>
      </c>
      <c r="L47" s="27">
        <f t="shared" si="29"/>
        <v>5.6853334594875171E-4</v>
      </c>
      <c r="M47" s="28">
        <v>10</v>
      </c>
      <c r="N47" s="28">
        <v>10</v>
      </c>
      <c r="O47" s="29">
        <v>490</v>
      </c>
      <c r="P47" s="47">
        <v>0.17430000000000001</v>
      </c>
      <c r="Q47" s="47">
        <v>0.17430000000000001</v>
      </c>
      <c r="R47" s="53">
        <f t="shared" si="21"/>
        <v>0.78719916467215578</v>
      </c>
      <c r="S47" s="53">
        <f t="shared" si="22"/>
        <v>0</v>
      </c>
      <c r="T47" s="53">
        <f t="shared" si="23"/>
        <v>6.1601642710472282E-3</v>
      </c>
      <c r="U47" s="54">
        <f t="shared" si="24"/>
        <v>-8.8999999999999913E-3</v>
      </c>
      <c r="V47" s="55">
        <f t="shared" si="25"/>
        <v>-8.8999999999999913E-3</v>
      </c>
    </row>
    <row r="48" spans="1:22">
      <c r="A48" s="171">
        <v>40</v>
      </c>
      <c r="B48" s="168" t="s">
        <v>77</v>
      </c>
      <c r="C48" s="169" t="s">
        <v>78</v>
      </c>
      <c r="D48" s="41">
        <v>9190819182.2900009</v>
      </c>
      <c r="E48" s="27">
        <f t="shared" si="28"/>
        <v>2.2025760206098172E-3</v>
      </c>
      <c r="F48" s="28">
        <v>100</v>
      </c>
      <c r="G48" s="28">
        <v>100</v>
      </c>
      <c r="H48" s="29">
        <v>1753</v>
      </c>
      <c r="I48" s="47">
        <v>0.15129999999999999</v>
      </c>
      <c r="J48" s="47">
        <v>0.15129999999999999</v>
      </c>
      <c r="K48" s="41">
        <v>9186842107.2399998</v>
      </c>
      <c r="L48" s="27">
        <f t="shared" si="29"/>
        <v>2.2016229162168835E-3</v>
      </c>
      <c r="M48" s="28">
        <v>100</v>
      </c>
      <c r="N48" s="28">
        <v>100</v>
      </c>
      <c r="O48" s="29">
        <v>1753</v>
      </c>
      <c r="P48" s="47">
        <v>0.1757</v>
      </c>
      <c r="Q48" s="47">
        <v>0.1757</v>
      </c>
      <c r="R48" s="53">
        <f t="shared" si="21"/>
        <v>-4.3272258665088973E-4</v>
      </c>
      <c r="S48" s="53">
        <f t="shared" si="22"/>
        <v>0</v>
      </c>
      <c r="T48" s="53">
        <f t="shared" si="23"/>
        <v>0</v>
      </c>
      <c r="U48" s="54">
        <f t="shared" si="24"/>
        <v>2.4400000000000005E-2</v>
      </c>
      <c r="V48" s="55">
        <f t="shared" si="25"/>
        <v>2.4400000000000005E-2</v>
      </c>
    </row>
    <row r="49" spans="1:22">
      <c r="A49" s="171">
        <v>41</v>
      </c>
      <c r="B49" s="168" t="s">
        <v>79</v>
      </c>
      <c r="C49" s="168" t="s">
        <v>80</v>
      </c>
      <c r="D49" s="127">
        <v>123472668.022312</v>
      </c>
      <c r="E49" s="27">
        <f>(D49/$D$194)</f>
        <v>1.5993055680085255E-3</v>
      </c>
      <c r="F49" s="30">
        <v>1</v>
      </c>
      <c r="G49" s="30">
        <v>1</v>
      </c>
      <c r="H49" s="29">
        <v>150</v>
      </c>
      <c r="I49" s="47">
        <v>0.1812</v>
      </c>
      <c r="J49" s="47">
        <v>0.1812</v>
      </c>
      <c r="K49" s="127">
        <v>122394187.209639</v>
      </c>
      <c r="L49" s="51">
        <f>(K49/$K$194)</f>
        <v>1.569383237227086E-3</v>
      </c>
      <c r="M49" s="30">
        <v>1</v>
      </c>
      <c r="N49" s="30">
        <v>1</v>
      </c>
      <c r="O49" s="29">
        <v>152</v>
      </c>
      <c r="P49" s="47">
        <v>0.17130000000000001</v>
      </c>
      <c r="Q49" s="47">
        <v>0.17130000000000001</v>
      </c>
      <c r="R49" s="54">
        <f t="shared" si="21"/>
        <v>-8.7345712208803713E-3</v>
      </c>
      <c r="S49" s="54">
        <f t="shared" si="22"/>
        <v>0</v>
      </c>
      <c r="T49" s="54">
        <f t="shared" si="23"/>
        <v>1.3333333333333334E-2</v>
      </c>
      <c r="U49" s="54">
        <f t="shared" si="24"/>
        <v>-9.8999999999999921E-3</v>
      </c>
      <c r="V49" s="55">
        <f t="shared" si="25"/>
        <v>-9.8999999999999921E-3</v>
      </c>
    </row>
    <row r="50" spans="1:22">
      <c r="A50" s="171">
        <v>42</v>
      </c>
      <c r="B50" s="168" t="s">
        <v>283</v>
      </c>
      <c r="C50" s="169" t="s">
        <v>35</v>
      </c>
      <c r="D50" s="41">
        <v>663580212.69000006</v>
      </c>
      <c r="E50" s="27">
        <f t="shared" ref="E50" si="30">(D50/$K$70)</f>
        <v>1.5902672386793547E-4</v>
      </c>
      <c r="F50" s="28">
        <v>100</v>
      </c>
      <c r="G50" s="28">
        <v>100</v>
      </c>
      <c r="H50" s="29">
        <v>4279</v>
      </c>
      <c r="I50" s="47">
        <v>0.1807</v>
      </c>
      <c r="J50" s="47">
        <v>0.18740000000000001</v>
      </c>
      <c r="K50" s="41">
        <v>672115136.61000001</v>
      </c>
      <c r="L50" s="27">
        <f t="shared" ref="L50" si="31">(K50/$K$70)</f>
        <v>1.6107211485986631E-4</v>
      </c>
      <c r="M50" s="28">
        <v>100</v>
      </c>
      <c r="N50" s="28">
        <v>100</v>
      </c>
      <c r="O50" s="29">
        <v>4310</v>
      </c>
      <c r="P50" s="47">
        <v>0.1807</v>
      </c>
      <c r="Q50" s="47">
        <v>0.18740000000000001</v>
      </c>
      <c r="R50" s="53">
        <f t="shared" ref="R50" si="32">((K50-D50)/D50)</f>
        <v>1.2861932524180246E-2</v>
      </c>
      <c r="S50" s="53">
        <f t="shared" ref="S50" si="33">((N50-G50)/G50)</f>
        <v>0</v>
      </c>
      <c r="T50" s="53">
        <f t="shared" ref="T50" si="34">((O50-H50)/H50)</f>
        <v>7.2446833372283243E-3</v>
      </c>
      <c r="U50" s="54">
        <f t="shared" ref="U50" si="35">P50-I50</f>
        <v>0</v>
      </c>
      <c r="V50" s="55">
        <f t="shared" ref="V50" si="36">Q50-J50</f>
        <v>0</v>
      </c>
    </row>
    <row r="51" spans="1:22">
      <c r="A51" s="171">
        <v>43</v>
      </c>
      <c r="B51" s="168" t="s">
        <v>81</v>
      </c>
      <c r="C51" s="169" t="s">
        <v>35</v>
      </c>
      <c r="D51" s="41">
        <v>174885926863.01999</v>
      </c>
      <c r="E51" s="27">
        <f t="shared" ref="E51:E69" si="37">(D51/$K$70)</f>
        <v>4.1911340133081926E-2</v>
      </c>
      <c r="F51" s="28">
        <v>100</v>
      </c>
      <c r="G51" s="28">
        <v>100</v>
      </c>
      <c r="H51" s="29">
        <v>18506</v>
      </c>
      <c r="I51" s="47">
        <v>0.18959999999999999</v>
      </c>
      <c r="J51" s="47">
        <v>0.18959999999999999</v>
      </c>
      <c r="K51" s="41">
        <v>183095869021.78</v>
      </c>
      <c r="L51" s="27">
        <f t="shared" ref="L51:L69" si="38">(K51/$K$70)</f>
        <v>4.3878849380170906E-2</v>
      </c>
      <c r="M51" s="28">
        <v>100</v>
      </c>
      <c r="N51" s="28">
        <v>100</v>
      </c>
      <c r="O51" s="29">
        <v>19301</v>
      </c>
      <c r="P51" s="47">
        <v>0.17307518</v>
      </c>
      <c r="Q51" s="47">
        <v>0.17307518</v>
      </c>
      <c r="R51" s="53">
        <f t="shared" si="21"/>
        <v>4.6944555837191378E-2</v>
      </c>
      <c r="S51" s="53">
        <f t="shared" si="22"/>
        <v>0</v>
      </c>
      <c r="T51" s="53">
        <f t="shared" si="23"/>
        <v>4.2959040311250404E-2</v>
      </c>
      <c r="U51" s="54">
        <f t="shared" si="24"/>
        <v>-1.6524819999999996E-2</v>
      </c>
      <c r="V51" s="55">
        <f t="shared" si="25"/>
        <v>-1.6524819999999996E-2</v>
      </c>
    </row>
    <row r="52" spans="1:22">
      <c r="A52" s="171">
        <v>44</v>
      </c>
      <c r="B52" s="168" t="s">
        <v>82</v>
      </c>
      <c r="C52" s="169" t="s">
        <v>39</v>
      </c>
      <c r="D52" s="41">
        <v>34915285220.07</v>
      </c>
      <c r="E52" s="27">
        <f t="shared" si="37"/>
        <v>8.3674336806305351E-3</v>
      </c>
      <c r="F52" s="28">
        <v>1</v>
      </c>
      <c r="G52" s="28">
        <v>1</v>
      </c>
      <c r="H52" s="29">
        <v>2353</v>
      </c>
      <c r="I52" s="47">
        <v>0.18329999999999999</v>
      </c>
      <c r="J52" s="47">
        <v>0.18329999999999999</v>
      </c>
      <c r="K52" s="41">
        <v>36562759899.860001</v>
      </c>
      <c r="L52" s="27">
        <f t="shared" si="38"/>
        <v>8.7622503071244483E-3</v>
      </c>
      <c r="M52" s="28">
        <v>1</v>
      </c>
      <c r="N52" s="28">
        <v>1</v>
      </c>
      <c r="O52" s="29">
        <v>2437</v>
      </c>
      <c r="P52" s="47">
        <v>0.18329999999999999</v>
      </c>
      <c r="Q52" s="47">
        <v>0.18329999999999999</v>
      </c>
      <c r="R52" s="53">
        <f t="shared" si="21"/>
        <v>4.7184912550649875E-2</v>
      </c>
      <c r="S52" s="53">
        <f t="shared" si="22"/>
        <v>0</v>
      </c>
      <c r="T52" s="53">
        <f t="shared" si="23"/>
        <v>3.5699107522311944E-2</v>
      </c>
      <c r="U52" s="54">
        <f t="shared" si="24"/>
        <v>0</v>
      </c>
      <c r="V52" s="55">
        <f t="shared" si="25"/>
        <v>0</v>
      </c>
    </row>
    <row r="53" spans="1:22">
      <c r="A53" s="171">
        <v>45</v>
      </c>
      <c r="B53" s="168" t="s">
        <v>307</v>
      </c>
      <c r="C53" s="169" t="s">
        <v>306</v>
      </c>
      <c r="D53" s="41">
        <v>4259596964.48</v>
      </c>
      <c r="E53" s="27">
        <f t="shared" si="37"/>
        <v>1.0208106530378239E-3</v>
      </c>
      <c r="F53" s="28">
        <v>100</v>
      </c>
      <c r="G53" s="28">
        <v>100</v>
      </c>
      <c r="H53" s="29">
        <v>218</v>
      </c>
      <c r="I53" s="47">
        <v>0.182</v>
      </c>
      <c r="J53" s="47">
        <v>0.182</v>
      </c>
      <c r="K53" s="41">
        <v>4413157638.5900002</v>
      </c>
      <c r="L53" s="27">
        <f t="shared" si="38"/>
        <v>1.0576114051574072E-3</v>
      </c>
      <c r="M53" s="28">
        <v>100</v>
      </c>
      <c r="N53" s="28">
        <v>100</v>
      </c>
      <c r="O53" s="29">
        <v>230</v>
      </c>
      <c r="P53" s="47">
        <v>0.1804</v>
      </c>
      <c r="Q53" s="47">
        <v>0.1804</v>
      </c>
      <c r="R53" s="53">
        <f t="shared" si="21"/>
        <v>3.6050517311969774E-2</v>
      </c>
      <c r="S53" s="53">
        <f t="shared" si="22"/>
        <v>0</v>
      </c>
      <c r="T53" s="53">
        <f t="shared" si="23"/>
        <v>5.5045871559633031E-2</v>
      </c>
      <c r="U53" s="54">
        <f t="shared" si="24"/>
        <v>-1.5999999999999903E-3</v>
      </c>
      <c r="V53" s="55">
        <f t="shared" si="25"/>
        <v>-1.5999999999999903E-3</v>
      </c>
    </row>
    <row r="54" spans="1:22">
      <c r="A54" s="171">
        <v>46</v>
      </c>
      <c r="B54" s="168" t="s">
        <v>83</v>
      </c>
      <c r="C54" s="169" t="s">
        <v>41</v>
      </c>
      <c r="D54" s="44">
        <v>70328991505.660004</v>
      </c>
      <c r="E54" s="27">
        <f t="shared" si="37"/>
        <v>1.6854313763731543E-2</v>
      </c>
      <c r="F54" s="28">
        <v>10</v>
      </c>
      <c r="G54" s="28">
        <v>10</v>
      </c>
      <c r="H54" s="29">
        <v>7454</v>
      </c>
      <c r="I54" s="47">
        <v>0.20899999999999999</v>
      </c>
      <c r="J54" s="47">
        <v>0.20899999999999999</v>
      </c>
      <c r="K54" s="44">
        <v>71545586784.929993</v>
      </c>
      <c r="L54" s="27">
        <f t="shared" si="38"/>
        <v>1.7145870319872986E-2</v>
      </c>
      <c r="M54" s="28">
        <v>10</v>
      </c>
      <c r="N54" s="28">
        <v>10</v>
      </c>
      <c r="O54" s="29">
        <v>7597</v>
      </c>
      <c r="P54" s="47">
        <v>0.20019999999999999</v>
      </c>
      <c r="Q54" s="47">
        <v>0.20019999999999999</v>
      </c>
      <c r="R54" s="53">
        <f t="shared" si="21"/>
        <v>1.7298631094007352E-2</v>
      </c>
      <c r="S54" s="53">
        <f t="shared" si="22"/>
        <v>0</v>
      </c>
      <c r="T54" s="53">
        <f t="shared" si="23"/>
        <v>1.918433056077274E-2</v>
      </c>
      <c r="U54" s="54">
        <f t="shared" si="24"/>
        <v>-8.8000000000000023E-3</v>
      </c>
      <c r="V54" s="55">
        <f t="shared" si="25"/>
        <v>-8.8000000000000023E-3</v>
      </c>
    </row>
    <row r="55" spans="1:22">
      <c r="A55" s="171">
        <v>47</v>
      </c>
      <c r="B55" s="168" t="s">
        <v>84</v>
      </c>
      <c r="C55" s="169" t="s">
        <v>85</v>
      </c>
      <c r="D55" s="41">
        <v>30281833580</v>
      </c>
      <c r="E55" s="27">
        <f t="shared" si="37"/>
        <v>7.257028909014673E-3</v>
      </c>
      <c r="F55" s="28">
        <v>100</v>
      </c>
      <c r="G55" s="28">
        <v>100</v>
      </c>
      <c r="H55" s="29">
        <v>4922</v>
      </c>
      <c r="I55" s="47">
        <v>0.18640000000000001</v>
      </c>
      <c r="J55" s="47">
        <v>0.18640000000000001</v>
      </c>
      <c r="K55" s="41">
        <v>30380770844</v>
      </c>
      <c r="L55" s="27">
        <f t="shared" si="38"/>
        <v>7.280739183464534E-3</v>
      </c>
      <c r="M55" s="28">
        <v>100</v>
      </c>
      <c r="N55" s="28">
        <v>100</v>
      </c>
      <c r="O55" s="29">
        <v>4991</v>
      </c>
      <c r="P55" s="47">
        <v>0.20219999999999999</v>
      </c>
      <c r="Q55" s="47">
        <v>0.20219999999999999</v>
      </c>
      <c r="R55" s="53">
        <f t="shared" si="21"/>
        <v>3.2672151023689761E-3</v>
      </c>
      <c r="S55" s="53">
        <f t="shared" si="22"/>
        <v>0</v>
      </c>
      <c r="T55" s="53">
        <f t="shared" si="23"/>
        <v>1.4018691588785047E-2</v>
      </c>
      <c r="U55" s="54">
        <f t="shared" si="24"/>
        <v>1.5799999999999981E-2</v>
      </c>
      <c r="V55" s="55">
        <f t="shared" si="25"/>
        <v>1.5799999999999981E-2</v>
      </c>
    </row>
    <row r="56" spans="1:22">
      <c r="A56" s="171">
        <v>48</v>
      </c>
      <c r="B56" s="168" t="s">
        <v>86</v>
      </c>
      <c r="C56" s="169" t="s">
        <v>87</v>
      </c>
      <c r="D56" s="41">
        <v>233056393.55000001</v>
      </c>
      <c r="E56" s="27">
        <f t="shared" si="37"/>
        <v>5.5851868446304661E-5</v>
      </c>
      <c r="F56" s="28">
        <v>1</v>
      </c>
      <c r="G56" s="28">
        <v>1</v>
      </c>
      <c r="H56" s="29">
        <v>95</v>
      </c>
      <c r="I56" s="47">
        <v>0.17879999999999999</v>
      </c>
      <c r="J56" s="47">
        <v>0.17879999999999999</v>
      </c>
      <c r="K56" s="41">
        <v>229056313.38999999</v>
      </c>
      <c r="L56" s="27">
        <f t="shared" si="38"/>
        <v>5.4893250888262583E-5</v>
      </c>
      <c r="M56" s="28">
        <v>1</v>
      </c>
      <c r="N56" s="28">
        <v>1</v>
      </c>
      <c r="O56" s="29">
        <v>94</v>
      </c>
      <c r="P56" s="47">
        <v>0.1812</v>
      </c>
      <c r="Q56" s="47">
        <v>0.1812</v>
      </c>
      <c r="R56" s="53">
        <f t="shared" si="21"/>
        <v>-1.7163571868033078E-2</v>
      </c>
      <c r="S56" s="53">
        <f t="shared" si="22"/>
        <v>0</v>
      </c>
      <c r="T56" s="53">
        <f t="shared" si="23"/>
        <v>-1.0526315789473684E-2</v>
      </c>
      <c r="U56" s="54">
        <f t="shared" si="24"/>
        <v>2.4000000000000132E-3</v>
      </c>
      <c r="V56" s="55">
        <f t="shared" si="25"/>
        <v>2.4000000000000132E-3</v>
      </c>
    </row>
    <row r="57" spans="1:22">
      <c r="A57" s="171">
        <v>49</v>
      </c>
      <c r="B57" s="168" t="s">
        <v>88</v>
      </c>
      <c r="C57" s="169" t="s">
        <v>43</v>
      </c>
      <c r="D57" s="44">
        <v>1895006243.0899999</v>
      </c>
      <c r="E57" s="27">
        <f t="shared" si="37"/>
        <v>4.541374633915882E-4</v>
      </c>
      <c r="F57" s="28">
        <v>10</v>
      </c>
      <c r="G57" s="28">
        <v>10</v>
      </c>
      <c r="H57" s="29">
        <v>875</v>
      </c>
      <c r="I57" s="47">
        <v>0.17979999999999999</v>
      </c>
      <c r="J57" s="47">
        <v>0.17979999999999999</v>
      </c>
      <c r="K57" s="44">
        <v>1882482528.77</v>
      </c>
      <c r="L57" s="27">
        <f t="shared" si="38"/>
        <v>4.5113616042793589E-4</v>
      </c>
      <c r="M57" s="28">
        <v>10</v>
      </c>
      <c r="N57" s="28">
        <v>10</v>
      </c>
      <c r="O57" s="29">
        <v>878</v>
      </c>
      <c r="P57" s="47">
        <v>0.1807</v>
      </c>
      <c r="Q57" s="47">
        <v>0.1807</v>
      </c>
      <c r="R57" s="53">
        <f t="shared" si="21"/>
        <v>-6.6087984489057658E-3</v>
      </c>
      <c r="S57" s="53">
        <f t="shared" si="22"/>
        <v>0</v>
      </c>
      <c r="T57" s="53">
        <f t="shared" si="23"/>
        <v>3.4285714285714284E-3</v>
      </c>
      <c r="U57" s="54">
        <f t="shared" si="24"/>
        <v>9.000000000000119E-4</v>
      </c>
      <c r="V57" s="55">
        <f t="shared" si="25"/>
        <v>9.000000000000119E-4</v>
      </c>
    </row>
    <row r="58" spans="1:22">
      <c r="A58" s="171">
        <v>50</v>
      </c>
      <c r="B58" s="168" t="s">
        <v>89</v>
      </c>
      <c r="C58" s="169" t="s">
        <v>90</v>
      </c>
      <c r="D58" s="44">
        <v>988239978</v>
      </c>
      <c r="E58" s="27">
        <f t="shared" si="37"/>
        <v>2.3683130251817548E-4</v>
      </c>
      <c r="F58" s="28">
        <v>1</v>
      </c>
      <c r="G58" s="28">
        <v>1</v>
      </c>
      <c r="H58" s="29">
        <v>141</v>
      </c>
      <c r="I58" s="47">
        <v>0.22209999999999999</v>
      </c>
      <c r="J58" s="47">
        <v>0.22209999999999999</v>
      </c>
      <c r="K58" s="44">
        <v>1056293478</v>
      </c>
      <c r="L58" s="27">
        <f t="shared" si="38"/>
        <v>2.5314029568250648E-4</v>
      </c>
      <c r="M58" s="28">
        <v>1</v>
      </c>
      <c r="N58" s="28">
        <v>1</v>
      </c>
      <c r="O58" s="29">
        <v>150</v>
      </c>
      <c r="P58" s="47">
        <v>0.19689999999999999</v>
      </c>
      <c r="Q58" s="47">
        <v>0.19689999999999999</v>
      </c>
      <c r="R58" s="53">
        <f t="shared" si="21"/>
        <v>6.886333432667506E-2</v>
      </c>
      <c r="S58" s="53">
        <f t="shared" si="22"/>
        <v>0</v>
      </c>
      <c r="T58" s="53">
        <f t="shared" si="23"/>
        <v>6.3829787234042548E-2</v>
      </c>
      <c r="U58" s="54">
        <f t="shared" si="24"/>
        <v>-2.52E-2</v>
      </c>
      <c r="V58" s="55">
        <f t="shared" si="25"/>
        <v>-2.52E-2</v>
      </c>
    </row>
    <row r="59" spans="1:22">
      <c r="A59" s="171">
        <v>51</v>
      </c>
      <c r="B59" s="168" t="s">
        <v>302</v>
      </c>
      <c r="C59" s="169" t="s">
        <v>301</v>
      </c>
      <c r="D59" s="44">
        <v>1231218241.6241601</v>
      </c>
      <c r="E59" s="27">
        <f t="shared" si="37"/>
        <v>2.9506094302935343E-4</v>
      </c>
      <c r="F59" s="28">
        <v>1</v>
      </c>
      <c r="G59" s="28">
        <v>1</v>
      </c>
      <c r="H59" s="29">
        <v>1165</v>
      </c>
      <c r="I59" s="47">
        <v>0.16220000000000001</v>
      </c>
      <c r="J59" s="47">
        <v>5.1000000000000004E-3</v>
      </c>
      <c r="K59" s="44">
        <v>966173017.22000003</v>
      </c>
      <c r="L59" s="27">
        <f t="shared" si="38"/>
        <v>2.3154296448238626E-4</v>
      </c>
      <c r="M59" s="28">
        <v>1</v>
      </c>
      <c r="N59" s="28">
        <v>1</v>
      </c>
      <c r="O59" s="29">
        <v>1260</v>
      </c>
      <c r="P59" s="47">
        <v>0.18049999999999999</v>
      </c>
      <c r="Q59" s="47">
        <v>0.18049999999999999</v>
      </c>
      <c r="R59" s="53">
        <f t="shared" si="21"/>
        <v>-0.21527070948406835</v>
      </c>
      <c r="S59" s="53">
        <f t="shared" si="22"/>
        <v>0</v>
      </c>
      <c r="T59" s="53">
        <f t="shared" si="23"/>
        <v>8.15450643776824E-2</v>
      </c>
      <c r="U59" s="54">
        <f t="shared" si="24"/>
        <v>1.8299999999999983E-2</v>
      </c>
      <c r="V59" s="55">
        <f t="shared" si="25"/>
        <v>0.1754</v>
      </c>
    </row>
    <row r="60" spans="1:22">
      <c r="A60" s="171">
        <v>52</v>
      </c>
      <c r="B60" s="168" t="s">
        <v>91</v>
      </c>
      <c r="C60" s="169" t="s">
        <v>92</v>
      </c>
      <c r="D60" s="44">
        <v>13814275960.7131</v>
      </c>
      <c r="E60" s="27">
        <f t="shared" si="37"/>
        <v>3.3105855277605488E-3</v>
      </c>
      <c r="F60" s="28">
        <v>100</v>
      </c>
      <c r="G60" s="28">
        <v>100</v>
      </c>
      <c r="H60" s="29">
        <v>145</v>
      </c>
      <c r="I60" s="47">
        <v>0.1943</v>
      </c>
      <c r="J60" s="47">
        <v>0.2104</v>
      </c>
      <c r="K60" s="44">
        <v>15319636092.189899</v>
      </c>
      <c r="L60" s="27">
        <f t="shared" si="38"/>
        <v>3.6713444614540633E-3</v>
      </c>
      <c r="M60" s="28">
        <v>100</v>
      </c>
      <c r="N60" s="28">
        <v>100</v>
      </c>
      <c r="O60" s="29">
        <v>150</v>
      </c>
      <c r="P60" s="47">
        <v>0.17899999999999999</v>
      </c>
      <c r="Q60" s="47">
        <v>0.17899999999999999</v>
      </c>
      <c r="R60" s="53">
        <f t="shared" si="21"/>
        <v>0.10897133774929248</v>
      </c>
      <c r="S60" s="53">
        <f t="shared" si="22"/>
        <v>0</v>
      </c>
      <c r="T60" s="53">
        <f t="shared" si="23"/>
        <v>3.4482758620689655E-2</v>
      </c>
      <c r="U60" s="54">
        <f t="shared" si="24"/>
        <v>-1.5300000000000008E-2</v>
      </c>
      <c r="V60" s="55">
        <f t="shared" si="25"/>
        <v>-3.1400000000000011E-2</v>
      </c>
    </row>
    <row r="61" spans="1:22">
      <c r="A61" s="167">
        <v>53</v>
      </c>
      <c r="B61" s="168" t="s">
        <v>93</v>
      </c>
      <c r="C61" s="169" t="s">
        <v>94</v>
      </c>
      <c r="D61" s="44">
        <v>68376498.25</v>
      </c>
      <c r="E61" s="27">
        <f t="shared" si="37"/>
        <v>1.6386399561523552E-5</v>
      </c>
      <c r="F61" s="28">
        <v>1000</v>
      </c>
      <c r="G61" s="28">
        <v>1000</v>
      </c>
      <c r="H61" s="29">
        <v>23</v>
      </c>
      <c r="I61" s="47">
        <v>8.6999999999999994E-3</v>
      </c>
      <c r="J61" s="47">
        <v>0.2205</v>
      </c>
      <c r="K61" s="44">
        <v>69014438.489999995</v>
      </c>
      <c r="L61" s="27">
        <f t="shared" si="38"/>
        <v>1.653928167652736E-5</v>
      </c>
      <c r="M61" s="28">
        <v>1000</v>
      </c>
      <c r="N61" s="28">
        <v>1000</v>
      </c>
      <c r="O61" s="29">
        <v>23</v>
      </c>
      <c r="P61" s="47">
        <v>8.8999999999999999E-3</v>
      </c>
      <c r="Q61" s="47">
        <v>0.22750000000000001</v>
      </c>
      <c r="R61" s="53">
        <f t="shared" si="21"/>
        <v>9.3298173543128853E-3</v>
      </c>
      <c r="S61" s="53">
        <f t="shared" si="22"/>
        <v>0</v>
      </c>
      <c r="T61" s="53">
        <f t="shared" si="23"/>
        <v>0</v>
      </c>
      <c r="U61" s="54">
        <f t="shared" si="24"/>
        <v>2.0000000000000052E-4</v>
      </c>
      <c r="V61" s="55">
        <f t="shared" si="25"/>
        <v>7.0000000000000062E-3</v>
      </c>
    </row>
    <row r="62" spans="1:22">
      <c r="A62" s="171">
        <v>54</v>
      </c>
      <c r="B62" s="168" t="s">
        <v>95</v>
      </c>
      <c r="C62" s="169" t="s">
        <v>47</v>
      </c>
      <c r="D62" s="41">
        <v>1976504973640.72</v>
      </c>
      <c r="E62" s="27">
        <f t="shared" si="37"/>
        <v>0.47366860050361553</v>
      </c>
      <c r="F62" s="28">
        <v>100</v>
      </c>
      <c r="G62" s="28">
        <v>100</v>
      </c>
      <c r="H62" s="29">
        <v>228486</v>
      </c>
      <c r="I62" s="47">
        <v>0.183</v>
      </c>
      <c r="J62" s="47">
        <v>0.183</v>
      </c>
      <c r="K62" s="41">
        <v>2028245429680.1101</v>
      </c>
      <c r="L62" s="27">
        <f t="shared" si="38"/>
        <v>0.48606817942116987</v>
      </c>
      <c r="M62" s="28">
        <v>100</v>
      </c>
      <c r="N62" s="28">
        <v>100</v>
      </c>
      <c r="O62" s="29">
        <v>232338</v>
      </c>
      <c r="P62" s="47">
        <v>0.1767</v>
      </c>
      <c r="Q62" s="47">
        <v>0.1767</v>
      </c>
      <c r="R62" s="53">
        <f t="shared" si="21"/>
        <v>2.6177751500460065E-2</v>
      </c>
      <c r="S62" s="53">
        <f t="shared" si="22"/>
        <v>0</v>
      </c>
      <c r="T62" s="53">
        <f t="shared" si="23"/>
        <v>1.6858800976865103E-2</v>
      </c>
      <c r="U62" s="54">
        <f t="shared" si="24"/>
        <v>-6.3E-3</v>
      </c>
      <c r="V62" s="55">
        <f t="shared" si="25"/>
        <v>-6.3E-3</v>
      </c>
    </row>
    <row r="63" spans="1:22">
      <c r="A63" s="171">
        <v>55</v>
      </c>
      <c r="B63" s="168" t="s">
        <v>96</v>
      </c>
      <c r="C63" s="168" t="s">
        <v>97</v>
      </c>
      <c r="D63" s="41">
        <v>6110335227.6599998</v>
      </c>
      <c r="E63" s="27">
        <f t="shared" si="37"/>
        <v>1.4643393133296314E-3</v>
      </c>
      <c r="F63" s="28">
        <v>100</v>
      </c>
      <c r="G63" s="28">
        <v>100</v>
      </c>
      <c r="H63" s="29">
        <v>790</v>
      </c>
      <c r="I63" s="47">
        <v>0.20130000000000001</v>
      </c>
      <c r="J63" s="47">
        <v>0.20130000000000001</v>
      </c>
      <c r="K63" s="41">
        <v>6160048036.7700005</v>
      </c>
      <c r="L63" s="27">
        <f t="shared" si="38"/>
        <v>1.476252967498112E-3</v>
      </c>
      <c r="M63" s="28">
        <v>100</v>
      </c>
      <c r="N63" s="28">
        <v>100</v>
      </c>
      <c r="O63" s="29">
        <v>802</v>
      </c>
      <c r="P63" s="47">
        <v>0.20519999999999999</v>
      </c>
      <c r="Q63" s="47">
        <v>0.20519999999999999</v>
      </c>
      <c r="R63" s="53">
        <f t="shared" si="21"/>
        <v>8.1358562595654042E-3</v>
      </c>
      <c r="S63" s="53">
        <f t="shared" si="22"/>
        <v>0</v>
      </c>
      <c r="T63" s="53">
        <f t="shared" si="23"/>
        <v>1.5189873417721518E-2</v>
      </c>
      <c r="U63" s="54">
        <f t="shared" si="24"/>
        <v>3.8999999999999868E-3</v>
      </c>
      <c r="V63" s="55">
        <f t="shared" si="25"/>
        <v>3.8999999999999868E-3</v>
      </c>
    </row>
    <row r="64" spans="1:22">
      <c r="A64" s="171">
        <v>56</v>
      </c>
      <c r="B64" s="172" t="s">
        <v>98</v>
      </c>
      <c r="C64" s="169" t="s">
        <v>99</v>
      </c>
      <c r="D64" s="41">
        <v>7424715924.5100002</v>
      </c>
      <c r="E64" s="27">
        <f t="shared" si="37"/>
        <v>1.7793301044021746E-3</v>
      </c>
      <c r="F64" s="28">
        <v>1</v>
      </c>
      <c r="G64" s="28">
        <v>1</v>
      </c>
      <c r="H64" s="29">
        <v>557</v>
      </c>
      <c r="I64" s="47">
        <v>0.192552</v>
      </c>
      <c r="J64" s="47">
        <v>0.192552</v>
      </c>
      <c r="K64" s="41">
        <v>7470509092.6099997</v>
      </c>
      <c r="L64" s="27">
        <f t="shared" si="38"/>
        <v>1.7903044182216836E-3</v>
      </c>
      <c r="M64" s="28">
        <v>1</v>
      </c>
      <c r="N64" s="28">
        <v>1</v>
      </c>
      <c r="O64" s="29">
        <v>566</v>
      </c>
      <c r="P64" s="47">
        <v>0.19478300000000001</v>
      </c>
      <c r="Q64" s="47">
        <v>0.19478300000000001</v>
      </c>
      <c r="R64" s="53">
        <f t="shared" si="21"/>
        <v>6.1676660178781968E-3</v>
      </c>
      <c r="S64" s="53">
        <f t="shared" si="22"/>
        <v>0</v>
      </c>
      <c r="T64" s="53">
        <f t="shared" si="23"/>
        <v>1.615798922800718E-2</v>
      </c>
      <c r="U64" s="54">
        <f t="shared" si="24"/>
        <v>2.2310000000000108E-3</v>
      </c>
      <c r="V64" s="55">
        <f t="shared" si="25"/>
        <v>2.2310000000000108E-3</v>
      </c>
    </row>
    <row r="65" spans="1:22">
      <c r="A65" s="171">
        <v>57</v>
      </c>
      <c r="B65" s="168" t="s">
        <v>100</v>
      </c>
      <c r="C65" s="169" t="s">
        <v>50</v>
      </c>
      <c r="D65" s="41">
        <v>177602500125.29999</v>
      </c>
      <c r="E65" s="27">
        <f t="shared" si="37"/>
        <v>4.2562365793260004E-2</v>
      </c>
      <c r="F65" s="28">
        <v>1</v>
      </c>
      <c r="G65" s="28">
        <v>1</v>
      </c>
      <c r="H65" s="29">
        <v>69796</v>
      </c>
      <c r="I65" s="47">
        <v>0.17680000000000001</v>
      </c>
      <c r="J65" s="47">
        <v>0.17680000000000001</v>
      </c>
      <c r="K65" s="41">
        <v>181000183600.92001</v>
      </c>
      <c r="L65" s="27">
        <f t="shared" si="38"/>
        <v>4.3376619234720727E-2</v>
      </c>
      <c r="M65" s="28">
        <v>1</v>
      </c>
      <c r="N65" s="28">
        <v>1</v>
      </c>
      <c r="O65" s="29">
        <v>70505</v>
      </c>
      <c r="P65" s="47">
        <v>0.17</v>
      </c>
      <c r="Q65" s="47">
        <v>0.17</v>
      </c>
      <c r="R65" s="53">
        <f t="shared" si="21"/>
        <v>1.913083134090417E-2</v>
      </c>
      <c r="S65" s="53">
        <f t="shared" si="22"/>
        <v>0</v>
      </c>
      <c r="T65" s="53">
        <f t="shared" si="23"/>
        <v>1.0158175253596195E-2</v>
      </c>
      <c r="U65" s="54">
        <f t="shared" si="24"/>
        <v>-6.8000000000000005E-3</v>
      </c>
      <c r="V65" s="55">
        <f t="shared" si="25"/>
        <v>-6.8000000000000005E-3</v>
      </c>
    </row>
    <row r="66" spans="1:22">
      <c r="A66" s="171">
        <v>58</v>
      </c>
      <c r="B66" s="168" t="s">
        <v>309</v>
      </c>
      <c r="C66" s="169" t="s">
        <v>101</v>
      </c>
      <c r="D66" s="41">
        <v>2261231341.7399998</v>
      </c>
      <c r="E66" s="27">
        <f t="shared" si="37"/>
        <v>5.4190315700748312E-4</v>
      </c>
      <c r="F66" s="28">
        <v>1</v>
      </c>
      <c r="G66" s="28">
        <v>1</v>
      </c>
      <c r="H66" s="29">
        <v>158</v>
      </c>
      <c r="I66" s="47">
        <v>0.17799999999999999</v>
      </c>
      <c r="J66" s="47">
        <v>0.17799999999999999</v>
      </c>
      <c r="K66" s="41">
        <v>2286874861.3499999</v>
      </c>
      <c r="L66" s="27">
        <f t="shared" si="38"/>
        <v>5.4804861588952274E-4</v>
      </c>
      <c r="M66" s="28">
        <v>1</v>
      </c>
      <c r="N66" s="28">
        <v>1</v>
      </c>
      <c r="O66" s="29">
        <v>153</v>
      </c>
      <c r="P66" s="47">
        <v>0.17680000000000001</v>
      </c>
      <c r="Q66" s="47">
        <v>0.17680000000000001</v>
      </c>
      <c r="R66" s="53">
        <f t="shared" si="21"/>
        <v>1.1340511311977325E-2</v>
      </c>
      <c r="S66" s="53">
        <f t="shared" si="22"/>
        <v>0</v>
      </c>
      <c r="T66" s="53">
        <f t="shared" si="23"/>
        <v>-3.1645569620253167E-2</v>
      </c>
      <c r="U66" s="54">
        <f t="shared" si="24"/>
        <v>-1.1999999999999789E-3</v>
      </c>
      <c r="V66" s="55">
        <f t="shared" si="25"/>
        <v>-1.1999999999999789E-3</v>
      </c>
    </row>
    <row r="67" spans="1:22">
      <c r="A67" s="171">
        <v>59</v>
      </c>
      <c r="B67" s="168" t="s">
        <v>102</v>
      </c>
      <c r="C67" s="169" t="s">
        <v>103</v>
      </c>
      <c r="D67" s="41">
        <v>7448810401.6499996</v>
      </c>
      <c r="E67" s="27">
        <f t="shared" si="37"/>
        <v>1.7851043358961371E-3</v>
      </c>
      <c r="F67" s="28">
        <v>1</v>
      </c>
      <c r="G67" s="28">
        <v>1</v>
      </c>
      <c r="H67" s="29">
        <v>489</v>
      </c>
      <c r="I67" s="47">
        <v>0.19220000000000001</v>
      </c>
      <c r="J67" s="47">
        <v>0.19220000000000001</v>
      </c>
      <c r="K67" s="41">
        <v>7452322466.4499998</v>
      </c>
      <c r="L67" s="27">
        <f t="shared" si="38"/>
        <v>1.7859460007747384E-3</v>
      </c>
      <c r="M67" s="28">
        <v>1</v>
      </c>
      <c r="N67" s="28">
        <v>1</v>
      </c>
      <c r="O67" s="29">
        <v>481</v>
      </c>
      <c r="P67" s="47">
        <v>0.18479999999999999</v>
      </c>
      <c r="Q67" s="47">
        <v>0.18479999999999999</v>
      </c>
      <c r="R67" s="53">
        <f t="shared" si="21"/>
        <v>4.7149338090579228E-4</v>
      </c>
      <c r="S67" s="53">
        <f t="shared" si="22"/>
        <v>0</v>
      </c>
      <c r="T67" s="53">
        <f t="shared" si="23"/>
        <v>-1.6359918200408999E-2</v>
      </c>
      <c r="U67" s="54">
        <f t="shared" si="24"/>
        <v>-7.4000000000000177E-3</v>
      </c>
      <c r="V67" s="55">
        <f t="shared" si="25"/>
        <v>-7.4000000000000177E-3</v>
      </c>
    </row>
    <row r="68" spans="1:22">
      <c r="A68" s="171">
        <v>60</v>
      </c>
      <c r="B68" s="168" t="s">
        <v>104</v>
      </c>
      <c r="C68" s="169" t="s">
        <v>105</v>
      </c>
      <c r="D68" s="41">
        <v>9069699641.3400002</v>
      </c>
      <c r="E68" s="27">
        <f t="shared" si="37"/>
        <v>2.1735497726516595E-3</v>
      </c>
      <c r="F68" s="28">
        <v>1</v>
      </c>
      <c r="G68" s="28">
        <v>1</v>
      </c>
      <c r="H68" s="29">
        <v>4647</v>
      </c>
      <c r="I68" s="47">
        <v>0.2046</v>
      </c>
      <c r="J68" s="47">
        <v>0.2046</v>
      </c>
      <c r="K68" s="41">
        <v>9008073734.2099991</v>
      </c>
      <c r="L68" s="27">
        <f t="shared" si="38"/>
        <v>2.1587811494635958E-3</v>
      </c>
      <c r="M68" s="28">
        <v>1</v>
      </c>
      <c r="N68" s="28">
        <v>1</v>
      </c>
      <c r="O68" s="29">
        <v>4760</v>
      </c>
      <c r="P68" s="47">
        <v>0.20349999999999999</v>
      </c>
      <c r="Q68" s="47">
        <v>0.20349999999999999</v>
      </c>
      <c r="R68" s="53">
        <f t="shared" si="21"/>
        <v>-6.7947020923502339E-3</v>
      </c>
      <c r="S68" s="53">
        <f t="shared" si="22"/>
        <v>0</v>
      </c>
      <c r="T68" s="53">
        <f t="shared" si="23"/>
        <v>2.4316763503335486E-2</v>
      </c>
      <c r="U68" s="54">
        <f t="shared" si="24"/>
        <v>-1.1000000000000176E-3</v>
      </c>
      <c r="V68" s="55">
        <f t="shared" si="25"/>
        <v>-1.1000000000000176E-3</v>
      </c>
    </row>
    <row r="69" spans="1:22">
      <c r="A69" s="171">
        <v>61</v>
      </c>
      <c r="B69" s="168" t="s">
        <v>106</v>
      </c>
      <c r="C69" s="169" t="s">
        <v>107</v>
      </c>
      <c r="D69" s="41">
        <v>123038707030.19</v>
      </c>
      <c r="E69" s="27">
        <f t="shared" si="37"/>
        <v>2.9486175316530343E-2</v>
      </c>
      <c r="F69" s="28">
        <v>1</v>
      </c>
      <c r="G69" s="28">
        <v>1</v>
      </c>
      <c r="H69" s="29">
        <v>6373</v>
      </c>
      <c r="I69" s="47">
        <v>0.1855</v>
      </c>
      <c r="J69" s="47">
        <v>0.1855</v>
      </c>
      <c r="K69" s="41">
        <v>125599788784.27</v>
      </c>
      <c r="L69" s="27">
        <f t="shared" si="38"/>
        <v>3.0099937500996737E-2</v>
      </c>
      <c r="M69" s="28">
        <v>1</v>
      </c>
      <c r="N69" s="28">
        <v>1</v>
      </c>
      <c r="O69" s="29">
        <v>6446</v>
      </c>
      <c r="P69" s="47">
        <v>0.1817</v>
      </c>
      <c r="Q69" s="47">
        <v>0.1817</v>
      </c>
      <c r="R69" s="53">
        <f t="shared" si="21"/>
        <v>2.0815252499781139E-2</v>
      </c>
      <c r="S69" s="53">
        <f t="shared" si="22"/>
        <v>0</v>
      </c>
      <c r="T69" s="53">
        <f t="shared" si="23"/>
        <v>1.1454573983994978E-2</v>
      </c>
      <c r="U69" s="54">
        <f t="shared" si="24"/>
        <v>-3.7999999999999978E-3</v>
      </c>
      <c r="V69" s="55">
        <f t="shared" si="25"/>
        <v>-3.7999999999999978E-3</v>
      </c>
    </row>
    <row r="70" spans="1:22">
      <c r="A70" s="33"/>
      <c r="B70" s="34"/>
      <c r="C70" s="35" t="s">
        <v>51</v>
      </c>
      <c r="D70" s="45">
        <f>SUM(D28:D69)</f>
        <v>4086864116266.4795</v>
      </c>
      <c r="E70" s="37">
        <f>(D70/$D$226)</f>
        <v>0.59993221410738018</v>
      </c>
      <c r="F70" s="38"/>
      <c r="G70" s="42"/>
      <c r="H70" s="40">
        <f>SUM(H28:H69)</f>
        <v>519126</v>
      </c>
      <c r="I70" s="52"/>
      <c r="J70" s="52"/>
      <c r="K70" s="45">
        <f>SUM(K28:K69)</f>
        <v>4172759122177.9399</v>
      </c>
      <c r="L70" s="37">
        <f>(K70/$K$226)</f>
        <v>0.60250693836070324</v>
      </c>
      <c r="M70" s="38"/>
      <c r="N70" s="42"/>
      <c r="O70" s="40">
        <f>SUM(O28:O69)</f>
        <v>543483.38</v>
      </c>
      <c r="P70" s="52"/>
      <c r="Q70" s="52"/>
      <c r="R70" s="53">
        <f t="shared" si="21"/>
        <v>2.1017338347409778E-2</v>
      </c>
      <c r="S70" s="53" t="e">
        <f t="shared" si="22"/>
        <v>#DIV/0!</v>
      </c>
      <c r="T70" s="53">
        <f t="shared" si="23"/>
        <v>4.691997703832982E-2</v>
      </c>
      <c r="U70" s="54">
        <f t="shared" si="24"/>
        <v>0</v>
      </c>
      <c r="V70" s="55">
        <f t="shared" si="25"/>
        <v>0</v>
      </c>
    </row>
    <row r="71" spans="1:22" ht="3" customHeight="1">
      <c r="A71" s="33"/>
      <c r="B71" s="181"/>
      <c r="C71" s="181"/>
      <c r="D71" s="181"/>
      <c r="E71" s="181"/>
      <c r="F71" s="181"/>
      <c r="G71" s="181"/>
      <c r="H71" s="181"/>
      <c r="I71" s="181"/>
      <c r="J71" s="181"/>
      <c r="K71" s="181"/>
      <c r="L71" s="181"/>
      <c r="M71" s="181"/>
      <c r="N71" s="181"/>
      <c r="O71" s="181"/>
      <c r="P71" s="181"/>
      <c r="Q71" s="181"/>
      <c r="R71" s="181"/>
      <c r="S71" s="181"/>
      <c r="T71" s="181"/>
      <c r="U71" s="181"/>
      <c r="V71" s="181"/>
    </row>
    <row r="72" spans="1:22" ht="15" customHeight="1">
      <c r="A72" s="180" t="s">
        <v>108</v>
      </c>
      <c r="B72" s="180"/>
      <c r="C72" s="180"/>
      <c r="D72" s="180"/>
      <c r="E72" s="180"/>
      <c r="F72" s="180"/>
      <c r="G72" s="180"/>
      <c r="H72" s="180"/>
      <c r="I72" s="180"/>
      <c r="J72" s="180"/>
      <c r="K72" s="180"/>
      <c r="L72" s="180"/>
      <c r="M72" s="180"/>
      <c r="N72" s="180"/>
      <c r="O72" s="180"/>
      <c r="P72" s="180"/>
      <c r="Q72" s="180"/>
      <c r="R72" s="180"/>
      <c r="S72" s="180"/>
      <c r="T72" s="180"/>
      <c r="U72" s="180"/>
      <c r="V72" s="180"/>
    </row>
    <row r="73" spans="1:22">
      <c r="A73" s="171">
        <v>62</v>
      </c>
      <c r="B73" s="168" t="s">
        <v>109</v>
      </c>
      <c r="C73" s="169" t="s">
        <v>19</v>
      </c>
      <c r="D73" s="26">
        <v>866688567.44000006</v>
      </c>
      <c r="E73" s="27">
        <f>(D73/$D$112)</f>
        <v>3.6702603420280429E-3</v>
      </c>
      <c r="F73" s="57">
        <v>1.6671</v>
      </c>
      <c r="G73" s="57">
        <v>1.6671</v>
      </c>
      <c r="H73" s="29">
        <v>508</v>
      </c>
      <c r="I73" s="47">
        <v>2.5860000000000002E-3</v>
      </c>
      <c r="J73" s="47">
        <v>0.2787</v>
      </c>
      <c r="K73" s="26">
        <v>661253099.33000004</v>
      </c>
      <c r="L73" s="27">
        <f t="shared" ref="L73:L96" si="39">(K73/$K$112)</f>
        <v>2.7577461249530073E-3</v>
      </c>
      <c r="M73" s="57">
        <v>1.6772</v>
      </c>
      <c r="N73" s="57">
        <v>1.6772</v>
      </c>
      <c r="O73" s="29">
        <v>509</v>
      </c>
      <c r="P73" s="47">
        <v>4.1800000000000002E-4</v>
      </c>
      <c r="Q73" s="47">
        <v>0.28649999999999998</v>
      </c>
      <c r="R73" s="53">
        <f>((K73-D73)/D73)</f>
        <v>-0.23703493484033075</v>
      </c>
      <c r="S73" s="53">
        <f>((N73-G73)/G73)</f>
        <v>6.0584248095495157E-3</v>
      </c>
      <c r="T73" s="53">
        <f>((O73-H73)/H73)</f>
        <v>1.968503937007874E-3</v>
      </c>
      <c r="U73" s="54">
        <f>P73-I73</f>
        <v>-2.1680000000000002E-3</v>
      </c>
      <c r="V73" s="55">
        <f>Q73-J73</f>
        <v>7.7999999999999736E-3</v>
      </c>
    </row>
    <row r="74" spans="1:22">
      <c r="A74" s="171">
        <v>63</v>
      </c>
      <c r="B74" s="168" t="s">
        <v>110</v>
      </c>
      <c r="C74" s="169" t="s">
        <v>21</v>
      </c>
      <c r="D74" s="26">
        <v>1378867997.47</v>
      </c>
      <c r="E74" s="27">
        <f>(D74/$D$112)</f>
        <v>5.8392422816355184E-3</v>
      </c>
      <c r="F74" s="57">
        <v>1.341</v>
      </c>
      <c r="G74" s="57">
        <v>1.341</v>
      </c>
      <c r="H74" s="29">
        <v>1237</v>
      </c>
      <c r="I74" s="47">
        <v>0.21079999999999999</v>
      </c>
      <c r="J74" s="47">
        <v>0.1789</v>
      </c>
      <c r="K74" s="26">
        <v>1371259557.9400001</v>
      </c>
      <c r="L74" s="27">
        <f t="shared" si="39"/>
        <v>5.718817402966302E-3</v>
      </c>
      <c r="M74" s="57">
        <v>1.3452999999999999</v>
      </c>
      <c r="N74" s="57">
        <v>1.3452999999999999</v>
      </c>
      <c r="O74" s="29">
        <v>1262</v>
      </c>
      <c r="P74" s="47">
        <v>0.16719999999999999</v>
      </c>
      <c r="Q74" s="47">
        <v>0.1792</v>
      </c>
      <c r="R74" s="53">
        <f t="shared" ref="R74:R112" si="40">((K74-D74)/D74)</f>
        <v>-5.5178882561349079E-3</v>
      </c>
      <c r="S74" s="53">
        <f t="shared" ref="S74:S112" si="41">((N74-G74)/G74)</f>
        <v>3.2065622669649298E-3</v>
      </c>
      <c r="T74" s="53">
        <f t="shared" ref="T74:T112" si="42">((O74-H74)/H74)</f>
        <v>2.021018593371059E-2</v>
      </c>
      <c r="U74" s="54">
        <f t="shared" ref="U74:U112" si="43">P74-I74</f>
        <v>-4.36E-2</v>
      </c>
      <c r="V74" s="55">
        <f t="shared" ref="V74:V112" si="44">Q74-J74</f>
        <v>2.9999999999999472E-4</v>
      </c>
    </row>
    <row r="75" spans="1:22">
      <c r="A75" s="171">
        <v>64</v>
      </c>
      <c r="B75" s="168" t="s">
        <v>111</v>
      </c>
      <c r="C75" s="169" t="s">
        <v>21</v>
      </c>
      <c r="D75" s="26">
        <v>803126095.38</v>
      </c>
      <c r="E75" s="27">
        <f>(D75/$D$112)</f>
        <v>3.4010854282153784E-3</v>
      </c>
      <c r="F75" s="57">
        <v>1.1768000000000001</v>
      </c>
      <c r="G75" s="57">
        <v>1.1768000000000001</v>
      </c>
      <c r="H75" s="29">
        <v>487</v>
      </c>
      <c r="I75" s="47">
        <v>0.1244</v>
      </c>
      <c r="J75" s="47">
        <v>0.12770000000000001</v>
      </c>
      <c r="K75" s="26">
        <v>805492152.72000003</v>
      </c>
      <c r="L75" s="27">
        <f t="shared" si="39"/>
        <v>3.3592929320019251E-3</v>
      </c>
      <c r="M75" s="57">
        <v>1.1796</v>
      </c>
      <c r="N75" s="57">
        <v>1.1796</v>
      </c>
      <c r="O75" s="29">
        <v>492</v>
      </c>
      <c r="P75" s="47">
        <v>0.1241</v>
      </c>
      <c r="Q75" s="47">
        <v>0.12790000000000001</v>
      </c>
      <c r="R75" s="53">
        <f t="shared" si="40"/>
        <v>2.946059595885165E-3</v>
      </c>
      <c r="S75" s="53">
        <f t="shared" si="41"/>
        <v>2.3793337865396953E-3</v>
      </c>
      <c r="T75" s="53">
        <f t="shared" si="42"/>
        <v>1.0266940451745379E-2</v>
      </c>
      <c r="U75" s="54">
        <f t="shared" si="43"/>
        <v>-2.9999999999999472E-4</v>
      </c>
      <c r="V75" s="55">
        <f t="shared" si="44"/>
        <v>2.0000000000000573E-4</v>
      </c>
    </row>
    <row r="76" spans="1:22">
      <c r="A76" s="171">
        <v>65</v>
      </c>
      <c r="B76" s="168" t="s">
        <v>112</v>
      </c>
      <c r="C76" s="169" t="s">
        <v>113</v>
      </c>
      <c r="D76" s="26">
        <v>315333241.97000003</v>
      </c>
      <c r="E76" s="27">
        <f>(D76/$D$112)</f>
        <v>1.3353759770296572E-3</v>
      </c>
      <c r="F76" s="32">
        <v>1241.05</v>
      </c>
      <c r="G76" s="32">
        <v>1241.05</v>
      </c>
      <c r="H76" s="29">
        <v>109</v>
      </c>
      <c r="I76" s="47">
        <v>-1.6000000000000001E-3</v>
      </c>
      <c r="J76" s="47">
        <v>0.21049999999999999</v>
      </c>
      <c r="K76" s="26">
        <v>324438669.44</v>
      </c>
      <c r="L76" s="27">
        <f t="shared" si="39"/>
        <v>1.3530666008819078E-3</v>
      </c>
      <c r="M76" s="32">
        <v>1276.8900000000001</v>
      </c>
      <c r="N76" s="32">
        <v>1276.8900000000001</v>
      </c>
      <c r="O76" s="29">
        <v>109</v>
      </c>
      <c r="P76" s="47">
        <v>2.8899999999999999E-2</v>
      </c>
      <c r="Q76" s="47">
        <v>0.24840000000000001</v>
      </c>
      <c r="R76" s="53">
        <f t="shared" si="40"/>
        <v>2.8875571167553071E-2</v>
      </c>
      <c r="S76" s="53">
        <f t="shared" si="41"/>
        <v>2.8878772007574351E-2</v>
      </c>
      <c r="T76" s="53">
        <f t="shared" si="42"/>
        <v>0</v>
      </c>
      <c r="U76" s="54">
        <f t="shared" si="43"/>
        <v>3.0499999999999999E-2</v>
      </c>
      <c r="V76" s="55">
        <f t="shared" si="44"/>
        <v>3.7900000000000017E-2</v>
      </c>
    </row>
    <row r="77" spans="1:22" ht="15" customHeight="1">
      <c r="A77" s="171">
        <v>66</v>
      </c>
      <c r="B77" s="168" t="s">
        <v>114</v>
      </c>
      <c r="C77" s="169" t="s">
        <v>25</v>
      </c>
      <c r="D77" s="26">
        <v>1633361830.3900001</v>
      </c>
      <c r="E77" s="27">
        <f>(D77/$K$112)</f>
        <v>6.8119109959078519E-3</v>
      </c>
      <c r="F77" s="32">
        <v>1.0557000000000001</v>
      </c>
      <c r="G77" s="32">
        <v>1.0557000000000001</v>
      </c>
      <c r="H77" s="29">
        <v>985</v>
      </c>
      <c r="I77" s="47">
        <v>1.6999999999999999E-3</v>
      </c>
      <c r="J77" s="47">
        <v>0.1113</v>
      </c>
      <c r="K77" s="26">
        <v>1647153001.6400001</v>
      </c>
      <c r="L77" s="27">
        <f t="shared" si="39"/>
        <v>6.8694268685922846E-3</v>
      </c>
      <c r="M77" s="32">
        <v>1.0573999999999999</v>
      </c>
      <c r="N77" s="32">
        <v>1.0573999999999999</v>
      </c>
      <c r="O77" s="29">
        <v>989</v>
      </c>
      <c r="P77" s="47">
        <v>1.6000000000000001E-3</v>
      </c>
      <c r="Q77" s="47">
        <v>0.1128</v>
      </c>
      <c r="R77" s="53">
        <f t="shared" si="40"/>
        <v>8.4434269207252517E-3</v>
      </c>
      <c r="S77" s="53">
        <f t="shared" si="41"/>
        <v>1.6103059581318677E-3</v>
      </c>
      <c r="T77" s="53">
        <f t="shared" si="42"/>
        <v>4.0609137055837565E-3</v>
      </c>
      <c r="U77" s="54">
        <f t="shared" si="43"/>
        <v>-9.9999999999999829E-5</v>
      </c>
      <c r="V77" s="55">
        <f t="shared" si="44"/>
        <v>1.5000000000000013E-3</v>
      </c>
    </row>
    <row r="78" spans="1:22">
      <c r="A78" s="171">
        <v>67</v>
      </c>
      <c r="B78" s="168" t="s">
        <v>115</v>
      </c>
      <c r="C78" s="169" t="s">
        <v>116</v>
      </c>
      <c r="D78" s="26">
        <v>476035952.63</v>
      </c>
      <c r="E78" s="27">
        <f t="shared" ref="E78:E96" si="45">(D78/$D$112)</f>
        <v>2.0159212247118793E-3</v>
      </c>
      <c r="F78" s="32">
        <v>2.7355999999999998</v>
      </c>
      <c r="G78" s="32">
        <v>2.7355999999999998</v>
      </c>
      <c r="H78" s="29">
        <v>1391</v>
      </c>
      <c r="I78" s="47">
        <v>0.14910000000000001</v>
      </c>
      <c r="J78" s="47">
        <v>0.1464</v>
      </c>
      <c r="K78" s="26">
        <v>477392731.08999997</v>
      </c>
      <c r="L78" s="27">
        <f t="shared" si="39"/>
        <v>1.9909592190616924E-3</v>
      </c>
      <c r="M78" s="32">
        <v>2.7433999999999998</v>
      </c>
      <c r="N78" s="32">
        <v>2.7433999999999998</v>
      </c>
      <c r="O78" s="29">
        <v>1390</v>
      </c>
      <c r="P78" s="47">
        <v>0.1487</v>
      </c>
      <c r="Q78" s="47">
        <v>0.1469</v>
      </c>
      <c r="R78" s="53">
        <f t="shared" si="40"/>
        <v>2.8501596413129274E-3</v>
      </c>
      <c r="S78" s="53">
        <f t="shared" si="41"/>
        <v>2.8512940488375602E-3</v>
      </c>
      <c r="T78" s="53">
        <f t="shared" si="42"/>
        <v>-7.1890726096333576E-4</v>
      </c>
      <c r="U78" s="54">
        <f t="shared" si="43"/>
        <v>-4.0000000000001146E-4</v>
      </c>
      <c r="V78" s="55">
        <f t="shared" si="44"/>
        <v>5.0000000000000044E-4</v>
      </c>
    </row>
    <row r="79" spans="1:22">
      <c r="A79" s="171">
        <v>68</v>
      </c>
      <c r="B79" s="169" t="s">
        <v>322</v>
      </c>
      <c r="C79" s="169" t="s">
        <v>320</v>
      </c>
      <c r="D79" s="26">
        <v>883872514.5</v>
      </c>
      <c r="E79" s="27">
        <f t="shared" si="45"/>
        <v>3.743031071657165E-3</v>
      </c>
      <c r="F79" s="32">
        <v>1069.19</v>
      </c>
      <c r="G79" s="32">
        <v>1069.19</v>
      </c>
      <c r="H79" s="29">
        <v>221</v>
      </c>
      <c r="I79" s="47">
        <v>2.2100000000000002E-3</v>
      </c>
      <c r="J79" s="47">
        <v>6.6360000000000002E-2</v>
      </c>
      <c r="K79" s="26">
        <v>922602368.12</v>
      </c>
      <c r="L79" s="27">
        <f t="shared" si="39"/>
        <v>3.8476993274335599E-3</v>
      </c>
      <c r="M79" s="32">
        <v>1071.8399999999999</v>
      </c>
      <c r="N79" s="32">
        <v>1071.8399999999999</v>
      </c>
      <c r="O79" s="29">
        <v>220</v>
      </c>
      <c r="P79" s="47">
        <v>1.6900000000000001E-3</v>
      </c>
      <c r="Q79" s="47">
        <v>6.9000000000000006E-2</v>
      </c>
      <c r="R79" s="53">
        <f t="shared" ref="R79" si="46">((K79-D79)/D79)</f>
        <v>4.3818370844928005E-2</v>
      </c>
      <c r="S79" s="53">
        <f t="shared" ref="S79" si="47">((N79-G79)/G79)</f>
        <v>2.4785117705925638E-3</v>
      </c>
      <c r="T79" s="53">
        <f t="shared" ref="T79" si="48">((O79-H79)/H79)</f>
        <v>-4.5248868778280547E-3</v>
      </c>
      <c r="U79" s="54">
        <f t="shared" si="43"/>
        <v>-5.2000000000000006E-4</v>
      </c>
      <c r="V79" s="55">
        <f t="shared" si="44"/>
        <v>2.6400000000000035E-3</v>
      </c>
    </row>
    <row r="80" spans="1:22">
      <c r="A80" s="171">
        <v>69</v>
      </c>
      <c r="B80" s="168" t="s">
        <v>117</v>
      </c>
      <c r="C80" s="169" t="s">
        <v>61</v>
      </c>
      <c r="D80" s="26">
        <v>220974883.06</v>
      </c>
      <c r="E80" s="27">
        <f t="shared" si="45"/>
        <v>9.3578637165483275E-4</v>
      </c>
      <c r="F80" s="32">
        <v>11.92</v>
      </c>
      <c r="G80" s="32">
        <v>11.96</v>
      </c>
      <c r="H80" s="29">
        <v>42</v>
      </c>
      <c r="I80" s="47">
        <v>-1.7999999999999999E-2</v>
      </c>
      <c r="J80" s="47">
        <v>0.25979999999999998</v>
      </c>
      <c r="K80" s="26">
        <v>223385883.44</v>
      </c>
      <c r="L80" s="27">
        <f t="shared" si="39"/>
        <v>9.3162747373139653E-4</v>
      </c>
      <c r="M80" s="32">
        <v>12.05</v>
      </c>
      <c r="N80" s="32">
        <v>12.11</v>
      </c>
      <c r="O80" s="29">
        <v>42</v>
      </c>
      <c r="P80" s="47">
        <v>-1.4999999999999999E-2</v>
      </c>
      <c r="Q80" s="47">
        <v>0.26819999999999999</v>
      </c>
      <c r="R80" s="53">
        <f t="shared" si="40"/>
        <v>1.0910744002273555E-2</v>
      </c>
      <c r="S80" s="53">
        <f t="shared" si="41"/>
        <v>1.254180602006677E-2</v>
      </c>
      <c r="T80" s="53">
        <f t="shared" si="42"/>
        <v>0</v>
      </c>
      <c r="U80" s="54">
        <f t="shared" si="43"/>
        <v>2.9999999999999992E-3</v>
      </c>
      <c r="V80" s="55">
        <f t="shared" si="44"/>
        <v>8.4000000000000186E-3</v>
      </c>
    </row>
    <row r="81" spans="1:22">
      <c r="A81" s="171">
        <v>70</v>
      </c>
      <c r="B81" s="168" t="s">
        <v>118</v>
      </c>
      <c r="C81" s="169" t="s">
        <v>63</v>
      </c>
      <c r="D81" s="26">
        <v>2100042457.5599999</v>
      </c>
      <c r="E81" s="27">
        <f t="shared" si="45"/>
        <v>8.8932782064085249E-3</v>
      </c>
      <c r="F81" s="26">
        <v>4768.0600000000004</v>
      </c>
      <c r="G81" s="26">
        <v>4768.0600000000004</v>
      </c>
      <c r="H81" s="29">
        <v>1152</v>
      </c>
      <c r="I81" s="47">
        <v>0.1051</v>
      </c>
      <c r="J81" s="47">
        <v>0.1158</v>
      </c>
      <c r="K81" s="26">
        <v>2100042457.5599999</v>
      </c>
      <c r="L81" s="27">
        <f t="shared" si="39"/>
        <v>8.758195546366242E-3</v>
      </c>
      <c r="M81" s="26">
        <v>4768.0600000000004</v>
      </c>
      <c r="N81" s="26">
        <v>4768.0600000000004</v>
      </c>
      <c r="O81" s="29">
        <v>1152</v>
      </c>
      <c r="P81" s="47">
        <v>0.1051</v>
      </c>
      <c r="Q81" s="47">
        <v>0.1158</v>
      </c>
      <c r="R81" s="53">
        <f t="shared" si="40"/>
        <v>0</v>
      </c>
      <c r="S81" s="53">
        <f t="shared" si="41"/>
        <v>0</v>
      </c>
      <c r="T81" s="53">
        <f t="shared" si="42"/>
        <v>0</v>
      </c>
      <c r="U81" s="54">
        <f t="shared" si="43"/>
        <v>0</v>
      </c>
      <c r="V81" s="55">
        <f t="shared" si="44"/>
        <v>0</v>
      </c>
    </row>
    <row r="82" spans="1:22">
      <c r="A82" s="171">
        <v>71</v>
      </c>
      <c r="B82" s="168" t="s">
        <v>119</v>
      </c>
      <c r="C82" s="169" t="s">
        <v>65</v>
      </c>
      <c r="D82" s="26">
        <v>356771925.88</v>
      </c>
      <c r="E82" s="27">
        <f t="shared" si="45"/>
        <v>1.5108608788669455E-3</v>
      </c>
      <c r="F82" s="57">
        <v>115.42</v>
      </c>
      <c r="G82" s="57">
        <v>115.42</v>
      </c>
      <c r="H82" s="29">
        <v>91</v>
      </c>
      <c r="I82" s="47">
        <v>4.7999999999999996E-3</v>
      </c>
      <c r="J82" s="47">
        <v>0.12770000000000001</v>
      </c>
      <c r="K82" s="26">
        <v>358891836.01999998</v>
      </c>
      <c r="L82" s="27">
        <f t="shared" si="39"/>
        <v>1.4967530149412526E-3</v>
      </c>
      <c r="M82" s="57">
        <v>115.69</v>
      </c>
      <c r="N82" s="57">
        <v>115.69</v>
      </c>
      <c r="O82" s="29">
        <v>92</v>
      </c>
      <c r="P82" s="47">
        <v>7.1000000000000004E-3</v>
      </c>
      <c r="Q82" s="47">
        <v>0.12770000000000001</v>
      </c>
      <c r="R82" s="53">
        <f t="shared" si="40"/>
        <v>5.9419197145938445E-3</v>
      </c>
      <c r="S82" s="53">
        <f t="shared" si="41"/>
        <v>2.3392826199964997E-3</v>
      </c>
      <c r="T82" s="53">
        <f t="shared" si="42"/>
        <v>1.098901098901099E-2</v>
      </c>
      <c r="U82" s="54">
        <f t="shared" si="43"/>
        <v>2.3000000000000008E-3</v>
      </c>
      <c r="V82" s="55">
        <f t="shared" si="44"/>
        <v>0</v>
      </c>
    </row>
    <row r="83" spans="1:22" ht="13.5" customHeight="1">
      <c r="A83" s="171">
        <v>72</v>
      </c>
      <c r="B83" s="168" t="s">
        <v>120</v>
      </c>
      <c r="C83" s="169" t="s">
        <v>294</v>
      </c>
      <c r="D83" s="26">
        <v>462239127.39999998</v>
      </c>
      <c r="E83" s="27">
        <f t="shared" si="45"/>
        <v>1.9574943082969853E-3</v>
      </c>
      <c r="F83" s="57">
        <v>1.4781</v>
      </c>
      <c r="G83" s="57">
        <v>1.4781</v>
      </c>
      <c r="H83" s="29">
        <v>880</v>
      </c>
      <c r="I83" s="47">
        <v>2.5499999999999998E-2</v>
      </c>
      <c r="J83" s="47">
        <v>0.13819999999999999</v>
      </c>
      <c r="K83" s="26">
        <v>471919545.37</v>
      </c>
      <c r="L83" s="27">
        <f t="shared" si="39"/>
        <v>1.9681333801722092E-3</v>
      </c>
      <c r="M83" s="57">
        <v>1.4859</v>
      </c>
      <c r="N83" s="57">
        <v>1.4859</v>
      </c>
      <c r="O83" s="29">
        <v>938</v>
      </c>
      <c r="P83" s="47">
        <v>5.3E-3</v>
      </c>
      <c r="Q83" s="47">
        <v>0.1439</v>
      </c>
      <c r="R83" s="53">
        <f t="shared" si="40"/>
        <v>2.0942446011549019E-2</v>
      </c>
      <c r="S83" s="53">
        <f t="shared" si="41"/>
        <v>5.2770448548812863E-3</v>
      </c>
      <c r="T83" s="53">
        <f t="shared" si="42"/>
        <v>6.5909090909090903E-2</v>
      </c>
      <c r="U83" s="54">
        <f t="shared" si="43"/>
        <v>-2.0199999999999999E-2</v>
      </c>
      <c r="V83" s="55">
        <f t="shared" si="44"/>
        <v>5.7000000000000106E-3</v>
      </c>
    </row>
    <row r="84" spans="1:22" ht="13.5" customHeight="1">
      <c r="A84" s="171">
        <v>73</v>
      </c>
      <c r="B84" s="168" t="s">
        <v>292</v>
      </c>
      <c r="C84" s="169" t="s">
        <v>294</v>
      </c>
      <c r="D84" s="26">
        <v>27467626.879999999</v>
      </c>
      <c r="E84" s="27">
        <f t="shared" si="45"/>
        <v>1.1632014706859124E-4</v>
      </c>
      <c r="F84" s="57">
        <v>0.9819</v>
      </c>
      <c r="G84" s="57">
        <v>0.9819</v>
      </c>
      <c r="H84" s="29">
        <v>2</v>
      </c>
      <c r="I84" s="47">
        <v>1.4E-3</v>
      </c>
      <c r="J84" s="47">
        <v>-9.4000000000000004E-3</v>
      </c>
      <c r="K84" s="26">
        <v>27584212.109999999</v>
      </c>
      <c r="L84" s="27">
        <f t="shared" si="39"/>
        <v>1.1503954254930647E-4</v>
      </c>
      <c r="M84" s="57">
        <v>0.98609999999999998</v>
      </c>
      <c r="N84" s="57">
        <v>0.98609999999999998</v>
      </c>
      <c r="O84" s="29">
        <v>3</v>
      </c>
      <c r="P84" s="47">
        <v>4.3E-3</v>
      </c>
      <c r="Q84" s="47">
        <v>-5.1000000000000004E-3</v>
      </c>
      <c r="R84" s="53">
        <f t="shared" ref="R84" si="49">((K84-D84)/D84)</f>
        <v>4.2444595053418915E-3</v>
      </c>
      <c r="S84" s="53">
        <f t="shared" ref="S84" si="50">((N84-G84)/G84)</f>
        <v>4.277421326000592E-3</v>
      </c>
      <c r="T84" s="53">
        <f t="shared" ref="T84" si="51">((O84-H84)/H84)</f>
        <v>0.5</v>
      </c>
      <c r="U84" s="54">
        <f t="shared" ref="U84" si="52">P84-I84</f>
        <v>2.8999999999999998E-3</v>
      </c>
      <c r="V84" s="55">
        <f t="shared" ref="V84" si="53">Q84-J84</f>
        <v>4.3E-3</v>
      </c>
    </row>
    <row r="85" spans="1:22">
      <c r="A85" s="171">
        <v>74</v>
      </c>
      <c r="B85" s="168" t="s">
        <v>122</v>
      </c>
      <c r="C85" s="169" t="s">
        <v>27</v>
      </c>
      <c r="D85" s="26">
        <v>148813123.55000001</v>
      </c>
      <c r="E85" s="27">
        <f t="shared" si="45"/>
        <v>6.3019511997508396E-4</v>
      </c>
      <c r="F85" s="57">
        <v>132.85</v>
      </c>
      <c r="G85" s="57">
        <v>132.85</v>
      </c>
      <c r="H85" s="29">
        <v>325</v>
      </c>
      <c r="I85" s="47">
        <v>6.7400000000000001E-4</v>
      </c>
      <c r="J85" s="47">
        <v>0.15570000000000001</v>
      </c>
      <c r="K85" s="26">
        <v>154382969.11000001</v>
      </c>
      <c r="L85" s="27">
        <f t="shared" si="39"/>
        <v>6.4385185529296284E-4</v>
      </c>
      <c r="M85" s="57">
        <v>133.2971</v>
      </c>
      <c r="N85" s="57">
        <v>133.2971</v>
      </c>
      <c r="O85" s="29">
        <v>327</v>
      </c>
      <c r="P85" s="47">
        <v>5.4699999999999996E-4</v>
      </c>
      <c r="Q85" s="47">
        <v>0.15909999999999999</v>
      </c>
      <c r="R85" s="53">
        <f t="shared" si="40"/>
        <v>3.7428456759249322E-2</v>
      </c>
      <c r="S85" s="53">
        <f t="shared" si="41"/>
        <v>3.3654497553632372E-3</v>
      </c>
      <c r="T85" s="53">
        <f t="shared" si="42"/>
        <v>6.1538461538461538E-3</v>
      </c>
      <c r="U85" s="54">
        <f t="shared" si="43"/>
        <v>-1.2700000000000005E-4</v>
      </c>
      <c r="V85" s="55">
        <f t="shared" si="44"/>
        <v>3.3999999999999864E-3</v>
      </c>
    </row>
    <row r="86" spans="1:22">
      <c r="A86" s="171">
        <v>75</v>
      </c>
      <c r="B86" s="168" t="s">
        <v>123</v>
      </c>
      <c r="C86" s="169" t="s">
        <v>94</v>
      </c>
      <c r="D86" s="26">
        <v>2624350181.2800002</v>
      </c>
      <c r="E86" s="27">
        <f t="shared" si="45"/>
        <v>1.1113621150440418E-2</v>
      </c>
      <c r="F86" s="32">
        <v>1242.73</v>
      </c>
      <c r="G86" s="32">
        <v>1243.28</v>
      </c>
      <c r="H86" s="29">
        <v>369</v>
      </c>
      <c r="I86" s="47">
        <v>1.9699999999999999E-2</v>
      </c>
      <c r="J86" s="47">
        <v>0.21129999999999999</v>
      </c>
      <c r="K86" s="26">
        <v>2685712127.21</v>
      </c>
      <c r="L86" s="27">
        <f t="shared" si="39"/>
        <v>1.1200722112391094E-2</v>
      </c>
      <c r="M86" s="32">
        <v>1248.25</v>
      </c>
      <c r="N86" s="32">
        <v>1248.25</v>
      </c>
      <c r="O86" s="29">
        <v>373</v>
      </c>
      <c r="P86" s="47">
        <v>1.9900000000000001E-2</v>
      </c>
      <c r="Q86" s="47">
        <v>0.2142</v>
      </c>
      <c r="R86" s="53">
        <f t="shared" si="40"/>
        <v>2.3381767558196508E-2</v>
      </c>
      <c r="S86" s="53">
        <f t="shared" si="41"/>
        <v>3.997490508976278E-3</v>
      </c>
      <c r="T86" s="53">
        <f t="shared" si="42"/>
        <v>1.0840108401084011E-2</v>
      </c>
      <c r="U86" s="54">
        <f t="shared" si="43"/>
        <v>2.0000000000000226E-4</v>
      </c>
      <c r="V86" s="55">
        <f t="shared" si="44"/>
        <v>2.9000000000000137E-3</v>
      </c>
    </row>
    <row r="87" spans="1:22">
      <c r="A87" s="171">
        <v>76</v>
      </c>
      <c r="B87" s="168" t="s">
        <v>124</v>
      </c>
      <c r="C87" s="169" t="s">
        <v>68</v>
      </c>
      <c r="D87" s="26">
        <v>158931255.38</v>
      </c>
      <c r="E87" s="27">
        <f t="shared" si="45"/>
        <v>6.7304347333545234E-4</v>
      </c>
      <c r="F87" s="32">
        <v>1122.56</v>
      </c>
      <c r="G87" s="32">
        <v>1148.3800000000001</v>
      </c>
      <c r="H87" s="29">
        <v>70</v>
      </c>
      <c r="I87" s="47">
        <v>6.4000000000000003E-3</v>
      </c>
      <c r="J87" s="47">
        <v>0.12330000000000001</v>
      </c>
      <c r="K87" s="26">
        <v>159767317.36000001</v>
      </c>
      <c r="L87" s="27">
        <f t="shared" si="39"/>
        <v>6.6630719884731458E-4</v>
      </c>
      <c r="M87" s="32">
        <v>1129.47</v>
      </c>
      <c r="N87" s="32">
        <v>1156.21</v>
      </c>
      <c r="O87" s="29">
        <v>70</v>
      </c>
      <c r="P87" s="47">
        <v>7.3000000000000001E-3</v>
      </c>
      <c r="Q87" s="47">
        <v>0.13059999999999999</v>
      </c>
      <c r="R87" s="53">
        <f t="shared" si="40"/>
        <v>5.2605258669921112E-3</v>
      </c>
      <c r="S87" s="53">
        <f t="shared" si="41"/>
        <v>6.8183005625315025E-3</v>
      </c>
      <c r="T87" s="53">
        <f t="shared" si="42"/>
        <v>0</v>
      </c>
      <c r="U87" s="54">
        <f t="shared" si="43"/>
        <v>8.9999999999999976E-4</v>
      </c>
      <c r="V87" s="55">
        <f t="shared" si="44"/>
        <v>7.2999999999999871E-3</v>
      </c>
    </row>
    <row r="88" spans="1:22">
      <c r="A88" s="171">
        <v>77</v>
      </c>
      <c r="B88" s="168" t="s">
        <v>125</v>
      </c>
      <c r="C88" s="169" t="s">
        <v>71</v>
      </c>
      <c r="D88" s="26">
        <v>700994488.70000005</v>
      </c>
      <c r="E88" s="27">
        <f t="shared" si="45"/>
        <v>2.9685776050506745E-3</v>
      </c>
      <c r="F88" s="58">
        <v>1.1499999999999999</v>
      </c>
      <c r="G88" s="58">
        <v>1.1499999999999999</v>
      </c>
      <c r="H88" s="29">
        <v>55</v>
      </c>
      <c r="I88" s="47">
        <v>1.5E-3</v>
      </c>
      <c r="J88" s="47">
        <v>0.11360000000000001</v>
      </c>
      <c r="K88" s="26">
        <v>703453905.80999994</v>
      </c>
      <c r="L88" s="27">
        <f t="shared" si="39"/>
        <v>2.9337439549186137E-3</v>
      </c>
      <c r="M88" s="58">
        <v>1.1599999999999999</v>
      </c>
      <c r="N88" s="58">
        <v>1.1599999999999999</v>
      </c>
      <c r="O88" s="29">
        <v>57</v>
      </c>
      <c r="P88" s="47">
        <v>1.5E-3</v>
      </c>
      <c r="Q88" s="47">
        <v>0.1134</v>
      </c>
      <c r="R88" s="53">
        <f t="shared" si="40"/>
        <v>3.5084685395471568E-3</v>
      </c>
      <c r="S88" s="53">
        <f t="shared" si="41"/>
        <v>8.6956521739130523E-3</v>
      </c>
      <c r="T88" s="53">
        <f t="shared" si="42"/>
        <v>3.6363636363636362E-2</v>
      </c>
      <c r="U88" s="54">
        <f t="shared" si="43"/>
        <v>0</v>
      </c>
      <c r="V88" s="55">
        <f t="shared" si="44"/>
        <v>-2.0000000000000573E-4</v>
      </c>
    </row>
    <row r="89" spans="1:22">
      <c r="A89" s="171">
        <v>78</v>
      </c>
      <c r="B89" s="168" t="s">
        <v>126</v>
      </c>
      <c r="C89" s="169" t="s">
        <v>29</v>
      </c>
      <c r="D89" s="58">
        <v>11633543608.09</v>
      </c>
      <c r="E89" s="27">
        <f t="shared" si="45"/>
        <v>4.9265832440996755E-2</v>
      </c>
      <c r="F89" s="58">
        <v>1742.09</v>
      </c>
      <c r="G89" s="58">
        <v>1742.09</v>
      </c>
      <c r="H89" s="29">
        <v>2062</v>
      </c>
      <c r="I89" s="47">
        <v>1E-3</v>
      </c>
      <c r="J89" s="47">
        <v>2.9000000000000001E-2</v>
      </c>
      <c r="K89" s="58">
        <v>11470533518.469999</v>
      </c>
      <c r="L89" s="27">
        <f t="shared" si="39"/>
        <v>4.7837687859241002E-2</v>
      </c>
      <c r="M89" s="58">
        <v>1743.58</v>
      </c>
      <c r="N89" s="58">
        <v>1743.58</v>
      </c>
      <c r="O89" s="29">
        <v>2056</v>
      </c>
      <c r="P89" s="47">
        <v>8.9999999999999998E-4</v>
      </c>
      <c r="Q89" s="47">
        <v>2.9899999999999999E-2</v>
      </c>
      <c r="R89" s="53">
        <f t="shared" si="40"/>
        <v>-1.4012075349650398E-2</v>
      </c>
      <c r="S89" s="53">
        <f t="shared" si="41"/>
        <v>8.5529450258023929E-4</v>
      </c>
      <c r="T89" s="53">
        <f t="shared" si="42"/>
        <v>-2.9097963142580021E-3</v>
      </c>
      <c r="U89" s="54">
        <f t="shared" si="43"/>
        <v>-1.0000000000000005E-4</v>
      </c>
      <c r="V89" s="55">
        <f t="shared" si="44"/>
        <v>8.9999999999999802E-4</v>
      </c>
    </row>
    <row r="90" spans="1:22">
      <c r="A90" s="171">
        <v>79</v>
      </c>
      <c r="B90" s="168" t="s">
        <v>127</v>
      </c>
      <c r="C90" s="169" t="s">
        <v>76</v>
      </c>
      <c r="D90" s="26">
        <v>23484017.469999999</v>
      </c>
      <c r="E90" s="27">
        <f t="shared" si="45"/>
        <v>9.9450323022291104E-5</v>
      </c>
      <c r="F90" s="57">
        <v>0.71719999999999995</v>
      </c>
      <c r="G90" s="57">
        <v>0.71719999999999995</v>
      </c>
      <c r="H90" s="29">
        <v>745</v>
      </c>
      <c r="I90" s="47">
        <v>2.0999999999999999E-3</v>
      </c>
      <c r="J90" s="47">
        <v>6.9999999999999999E-4</v>
      </c>
      <c r="K90" s="26">
        <v>23535156.739999998</v>
      </c>
      <c r="L90" s="27">
        <f t="shared" si="39"/>
        <v>9.8153017907453549E-5</v>
      </c>
      <c r="M90" s="57">
        <v>0.71879999999999999</v>
      </c>
      <c r="N90" s="57">
        <v>0.71879999999999999</v>
      </c>
      <c r="O90" s="29">
        <v>745</v>
      </c>
      <c r="P90" s="47">
        <v>2.2000000000000001E-3</v>
      </c>
      <c r="Q90" s="47">
        <v>2.8999999999999998E-3</v>
      </c>
      <c r="R90" s="53">
        <f t="shared" si="40"/>
        <v>2.177620165090073E-3</v>
      </c>
      <c r="S90" s="53">
        <f t="shared" si="41"/>
        <v>2.2308979364194727E-3</v>
      </c>
      <c r="T90" s="53">
        <f t="shared" si="42"/>
        <v>0</v>
      </c>
      <c r="U90" s="54">
        <f t="shared" si="43"/>
        <v>1.0000000000000026E-4</v>
      </c>
      <c r="V90" s="55">
        <f t="shared" si="44"/>
        <v>2.1999999999999997E-3</v>
      </c>
    </row>
    <row r="91" spans="1:22">
      <c r="A91" s="171">
        <v>80</v>
      </c>
      <c r="B91" s="168" t="s">
        <v>128</v>
      </c>
      <c r="C91" s="169" t="s">
        <v>35</v>
      </c>
      <c r="D91" s="26">
        <v>10636191296.530001</v>
      </c>
      <c r="E91" s="27">
        <f t="shared" si="45"/>
        <v>4.5042236130085365E-2</v>
      </c>
      <c r="F91" s="57">
        <v>1</v>
      </c>
      <c r="G91" s="57">
        <v>1</v>
      </c>
      <c r="H91" s="29">
        <v>4570</v>
      </c>
      <c r="I91" s="47">
        <v>0.06</v>
      </c>
      <c r="J91" s="47">
        <v>0.06</v>
      </c>
      <c r="K91" s="26">
        <v>10660062464.690001</v>
      </c>
      <c r="L91" s="27">
        <f t="shared" si="39"/>
        <v>4.4457630495104622E-2</v>
      </c>
      <c r="M91" s="57">
        <v>1</v>
      </c>
      <c r="N91" s="57">
        <v>1</v>
      </c>
      <c r="O91" s="29">
        <v>4606</v>
      </c>
      <c r="P91" s="47">
        <v>0.06</v>
      </c>
      <c r="Q91" s="47">
        <v>0.06</v>
      </c>
      <c r="R91" s="53">
        <f t="shared" si="40"/>
        <v>2.2443342258979195E-3</v>
      </c>
      <c r="S91" s="53">
        <f t="shared" si="41"/>
        <v>0</v>
      </c>
      <c r="T91" s="53">
        <f t="shared" si="42"/>
        <v>7.8774617067833702E-3</v>
      </c>
      <c r="U91" s="54">
        <f t="shared" si="43"/>
        <v>0</v>
      </c>
      <c r="V91" s="55">
        <f t="shared" si="44"/>
        <v>0</v>
      </c>
    </row>
    <row r="92" spans="1:22">
      <c r="A92" s="171">
        <v>81</v>
      </c>
      <c r="B92" s="168" t="s">
        <v>129</v>
      </c>
      <c r="C92" s="169" t="s">
        <v>130</v>
      </c>
      <c r="D92" s="26">
        <v>1837427319.6700001</v>
      </c>
      <c r="E92" s="27">
        <f t="shared" si="45"/>
        <v>7.781153318617594E-3</v>
      </c>
      <c r="F92" s="26">
        <v>266.04000000000002</v>
      </c>
      <c r="G92" s="26">
        <v>266.04000000000002</v>
      </c>
      <c r="H92" s="29">
        <v>562</v>
      </c>
      <c r="I92" s="47">
        <v>3.0000000000000001E-3</v>
      </c>
      <c r="J92" s="47">
        <v>0.18559999999999999</v>
      </c>
      <c r="K92" s="26">
        <v>1817902119.1600001</v>
      </c>
      <c r="L92" s="27">
        <f t="shared" si="39"/>
        <v>7.5815335001635197E-3</v>
      </c>
      <c r="M92" s="26">
        <v>266.81</v>
      </c>
      <c r="N92" s="26">
        <v>266.81</v>
      </c>
      <c r="O92" s="29">
        <v>562</v>
      </c>
      <c r="P92" s="47">
        <v>3.0000000000000001E-3</v>
      </c>
      <c r="Q92" s="47">
        <v>0.18559999999999999</v>
      </c>
      <c r="R92" s="53">
        <f t="shared" si="40"/>
        <v>-1.0626379776211609E-2</v>
      </c>
      <c r="S92" s="53">
        <f t="shared" si="41"/>
        <v>2.8943016087805661E-3</v>
      </c>
      <c r="T92" s="53">
        <f t="shared" si="42"/>
        <v>0</v>
      </c>
      <c r="U92" s="54">
        <f t="shared" si="43"/>
        <v>0</v>
      </c>
      <c r="V92" s="55">
        <f t="shared" si="44"/>
        <v>0</v>
      </c>
    </row>
    <row r="93" spans="1:22">
      <c r="A93" s="171">
        <v>82</v>
      </c>
      <c r="B93" s="168" t="s">
        <v>131</v>
      </c>
      <c r="C93" s="169" t="s">
        <v>39</v>
      </c>
      <c r="D93" s="26">
        <v>1045376839.74</v>
      </c>
      <c r="E93" s="27">
        <f t="shared" si="45"/>
        <v>4.4269710037890229E-3</v>
      </c>
      <c r="F93" s="57">
        <v>3.56</v>
      </c>
      <c r="G93" s="57">
        <v>3.57</v>
      </c>
      <c r="H93" s="43">
        <v>769</v>
      </c>
      <c r="I93" s="50">
        <v>-8.7499999999999994E-2</v>
      </c>
      <c r="J93" s="50">
        <v>-2.01E-2</v>
      </c>
      <c r="K93" s="26">
        <v>1045643905.14</v>
      </c>
      <c r="L93" s="27">
        <f t="shared" si="39"/>
        <v>4.3608422106487348E-3</v>
      </c>
      <c r="M93" s="57">
        <v>3.57</v>
      </c>
      <c r="N93" s="57">
        <v>3.59</v>
      </c>
      <c r="O93" s="43">
        <v>772</v>
      </c>
      <c r="P93" s="50">
        <v>1.4E-3</v>
      </c>
      <c r="Q93" s="50">
        <v>-1.5599999999999999E-2</v>
      </c>
      <c r="R93" s="53">
        <f t="shared" si="40"/>
        <v>2.5547284945245111E-4</v>
      </c>
      <c r="S93" s="53">
        <f t="shared" si="41"/>
        <v>5.6022408963585487E-3</v>
      </c>
      <c r="T93" s="53">
        <f t="shared" si="42"/>
        <v>3.9011703511053317E-3</v>
      </c>
      <c r="U93" s="54">
        <f t="shared" si="43"/>
        <v>8.8899999999999993E-2</v>
      </c>
      <c r="V93" s="55">
        <f t="shared" si="44"/>
        <v>4.5000000000000005E-3</v>
      </c>
    </row>
    <row r="94" spans="1:22">
      <c r="A94" s="171">
        <v>83</v>
      </c>
      <c r="B94" s="168" t="s">
        <v>132</v>
      </c>
      <c r="C94" s="169" t="s">
        <v>41</v>
      </c>
      <c r="D94" s="26">
        <v>671626897.22000003</v>
      </c>
      <c r="E94" s="27">
        <f t="shared" si="45"/>
        <v>2.8442114712405771E-3</v>
      </c>
      <c r="F94" s="57">
        <v>109.59</v>
      </c>
      <c r="G94" s="57">
        <v>109.59</v>
      </c>
      <c r="H94" s="43">
        <v>190</v>
      </c>
      <c r="I94" s="50">
        <v>0.15029999999999999</v>
      </c>
      <c r="J94" s="50">
        <v>0.17369999999999999</v>
      </c>
      <c r="K94" s="26">
        <v>674861079.23000002</v>
      </c>
      <c r="L94" s="27">
        <f t="shared" si="39"/>
        <v>2.8144980008620764E-3</v>
      </c>
      <c r="M94" s="57">
        <v>109.88</v>
      </c>
      <c r="N94" s="57">
        <v>109.88</v>
      </c>
      <c r="O94" s="43">
        <v>201</v>
      </c>
      <c r="P94" s="50">
        <v>0.1421</v>
      </c>
      <c r="Q94" s="50">
        <v>0.1646</v>
      </c>
      <c r="R94" s="53">
        <f t="shared" si="40"/>
        <v>4.8154444430187739E-3</v>
      </c>
      <c r="S94" s="53">
        <f t="shared" si="41"/>
        <v>2.6462268455150289E-3</v>
      </c>
      <c r="T94" s="53">
        <f t="shared" si="42"/>
        <v>5.7894736842105263E-2</v>
      </c>
      <c r="U94" s="54">
        <f t="shared" si="43"/>
        <v>-8.1999999999999851E-3</v>
      </c>
      <c r="V94" s="55">
        <f t="shared" si="44"/>
        <v>-9.099999999999997E-3</v>
      </c>
    </row>
    <row r="95" spans="1:22">
      <c r="A95" s="171">
        <v>84</v>
      </c>
      <c r="B95" s="169" t="s">
        <v>133</v>
      </c>
      <c r="C95" s="176" t="s">
        <v>45</v>
      </c>
      <c r="D95" s="26">
        <v>1020065679.0700001</v>
      </c>
      <c r="E95" s="27">
        <f t="shared" si="45"/>
        <v>4.3197830787282347E-3</v>
      </c>
      <c r="F95" s="57">
        <v>109.65</v>
      </c>
      <c r="G95" s="57">
        <v>110.27</v>
      </c>
      <c r="H95" s="29">
        <v>289</v>
      </c>
      <c r="I95" s="47">
        <v>5.5999999999999999E-3</v>
      </c>
      <c r="J95" s="47">
        <v>0.1196</v>
      </c>
      <c r="K95" s="26">
        <v>1026961661.72</v>
      </c>
      <c r="L95" s="27">
        <f t="shared" si="39"/>
        <v>4.2829281948972234E-3</v>
      </c>
      <c r="M95" s="57">
        <v>110.41</v>
      </c>
      <c r="N95" s="57">
        <v>111.07</v>
      </c>
      <c r="O95" s="29">
        <v>289</v>
      </c>
      <c r="P95" s="47">
        <v>1.18E-2</v>
      </c>
      <c r="Q95" s="47">
        <v>0.1295</v>
      </c>
      <c r="R95" s="53">
        <f t="shared" si="40"/>
        <v>6.7603319977269354E-3</v>
      </c>
      <c r="S95" s="53">
        <f t="shared" si="41"/>
        <v>7.2549197424503237E-3</v>
      </c>
      <c r="T95" s="53">
        <f t="shared" si="42"/>
        <v>0</v>
      </c>
      <c r="U95" s="54">
        <f t="shared" si="43"/>
        <v>6.1999999999999998E-3</v>
      </c>
      <c r="V95" s="55">
        <f t="shared" si="44"/>
        <v>9.900000000000006E-3</v>
      </c>
    </row>
    <row r="96" spans="1:22">
      <c r="A96" s="171">
        <v>85</v>
      </c>
      <c r="B96" s="168" t="s">
        <v>134</v>
      </c>
      <c r="C96" s="169" t="s">
        <v>17</v>
      </c>
      <c r="D96" s="123">
        <v>1566492597.4100001</v>
      </c>
      <c r="E96" s="27">
        <f t="shared" si="45"/>
        <v>6.633796582014395E-3</v>
      </c>
      <c r="F96" s="57">
        <v>378.64980000000003</v>
      </c>
      <c r="G96" s="57">
        <v>378.64980000000003</v>
      </c>
      <c r="H96" s="29">
        <v>90</v>
      </c>
      <c r="I96" s="47">
        <v>2.5999999999999999E-3</v>
      </c>
      <c r="J96" s="47">
        <v>0.1017</v>
      </c>
      <c r="K96" s="123">
        <v>1580805528.74</v>
      </c>
      <c r="L96" s="27">
        <f t="shared" si="39"/>
        <v>6.5927257287779085E-3</v>
      </c>
      <c r="M96" s="57">
        <v>380.67759999999998</v>
      </c>
      <c r="N96" s="57">
        <v>380.67759999999998</v>
      </c>
      <c r="O96" s="29">
        <v>90</v>
      </c>
      <c r="P96" s="47">
        <v>2.5999999999999999E-3</v>
      </c>
      <c r="Q96" s="47">
        <v>0.1075</v>
      </c>
      <c r="R96" s="53">
        <f t="shared" si="40"/>
        <v>9.1369288011092856E-3</v>
      </c>
      <c r="S96" s="53">
        <f t="shared" si="41"/>
        <v>5.3553441729005443E-3</v>
      </c>
      <c r="T96" s="53">
        <f t="shared" si="42"/>
        <v>0</v>
      </c>
      <c r="U96" s="54">
        <f t="shared" si="43"/>
        <v>0</v>
      </c>
      <c r="V96" s="55">
        <f t="shared" si="44"/>
        <v>5.7999999999999996E-3</v>
      </c>
    </row>
    <row r="97" spans="1:22">
      <c r="A97" s="171">
        <v>86</v>
      </c>
      <c r="B97" s="168" t="s">
        <v>135</v>
      </c>
      <c r="C97" s="169" t="s">
        <v>85</v>
      </c>
      <c r="D97" s="41">
        <v>1745889268</v>
      </c>
      <c r="E97" s="27">
        <f>(D97/$K$70)</f>
        <v>4.1840164190660171E-4</v>
      </c>
      <c r="F97" s="57">
        <v>101.88</v>
      </c>
      <c r="G97" s="57">
        <v>101.88</v>
      </c>
      <c r="H97" s="29">
        <v>405</v>
      </c>
      <c r="I97" s="47">
        <v>8.9999999999999993E-3</v>
      </c>
      <c r="J97" s="47">
        <v>0.151</v>
      </c>
      <c r="K97" s="41">
        <v>1758252998</v>
      </c>
      <c r="L97" s="27">
        <f>(K97/$K$70)</f>
        <v>4.2136460469405028E-4</v>
      </c>
      <c r="M97" s="57">
        <v>102.34</v>
      </c>
      <c r="N97" s="57">
        <v>102.34</v>
      </c>
      <c r="O97" s="29">
        <v>405</v>
      </c>
      <c r="P97" s="47">
        <v>4.4999999999999997E-3</v>
      </c>
      <c r="Q97" s="47">
        <v>0.15310000000000001</v>
      </c>
      <c r="R97" s="53">
        <f t="shared" si="40"/>
        <v>7.0816232315599522E-3</v>
      </c>
      <c r="S97" s="53">
        <f t="shared" si="41"/>
        <v>4.5151158225363959E-3</v>
      </c>
      <c r="T97" s="53">
        <f t="shared" si="42"/>
        <v>0</v>
      </c>
      <c r="U97" s="54">
        <f t="shared" si="43"/>
        <v>-4.4999999999999997E-3</v>
      </c>
      <c r="V97" s="55">
        <f t="shared" si="44"/>
        <v>2.1000000000000185E-3</v>
      </c>
    </row>
    <row r="98" spans="1:22">
      <c r="A98" s="171">
        <v>87</v>
      </c>
      <c r="B98" s="168" t="s">
        <v>136</v>
      </c>
      <c r="C98" s="169" t="s">
        <v>43</v>
      </c>
      <c r="D98" s="26">
        <v>57303504.369999997</v>
      </c>
      <c r="E98" s="27">
        <f t="shared" ref="E98:E111" si="54">(D98/$D$112)</f>
        <v>2.4266938257842176E-4</v>
      </c>
      <c r="F98" s="26">
        <v>11.7</v>
      </c>
      <c r="G98" s="26">
        <v>12.23</v>
      </c>
      <c r="H98" s="29">
        <v>58</v>
      </c>
      <c r="I98" s="47">
        <v>2.0000000000000001E-4</v>
      </c>
      <c r="J98" s="47">
        <v>-3.2199999999999999E-2</v>
      </c>
      <c r="K98" s="26">
        <v>57773080.57</v>
      </c>
      <c r="L98" s="27">
        <f t="shared" ref="L98:L111" si="55">(K98/$K$112)</f>
        <v>2.4094176530884521E-4</v>
      </c>
      <c r="M98" s="26">
        <v>11.79</v>
      </c>
      <c r="N98" s="26">
        <v>12.33</v>
      </c>
      <c r="O98" s="29">
        <v>57</v>
      </c>
      <c r="P98" s="47">
        <v>6.8999999999999999E-3</v>
      </c>
      <c r="Q98" s="47">
        <v>-2.53E-2</v>
      </c>
      <c r="R98" s="53">
        <f t="shared" si="40"/>
        <v>8.1945459560033365E-3</v>
      </c>
      <c r="S98" s="53">
        <f t="shared" si="41"/>
        <v>8.1766148814390541E-3</v>
      </c>
      <c r="T98" s="53">
        <f t="shared" si="42"/>
        <v>-1.7241379310344827E-2</v>
      </c>
      <c r="U98" s="54">
        <f t="shared" si="43"/>
        <v>6.7000000000000002E-3</v>
      </c>
      <c r="V98" s="55">
        <f t="shared" si="44"/>
        <v>6.8999999999999999E-3</v>
      </c>
    </row>
    <row r="99" spans="1:22">
      <c r="A99" s="171">
        <v>88</v>
      </c>
      <c r="B99" s="168" t="s">
        <v>137</v>
      </c>
      <c r="C99" s="169" t="s">
        <v>138</v>
      </c>
      <c r="D99" s="26">
        <v>778525997.95000005</v>
      </c>
      <c r="E99" s="27">
        <f t="shared" si="54"/>
        <v>3.2969087199959E-3</v>
      </c>
      <c r="F99" s="26">
        <v>149.82</v>
      </c>
      <c r="G99" s="26">
        <v>149.82</v>
      </c>
      <c r="H99" s="29">
        <v>165</v>
      </c>
      <c r="I99" s="47">
        <v>0.18609999999999999</v>
      </c>
      <c r="J99" s="47">
        <v>0.1933</v>
      </c>
      <c r="K99" s="26">
        <v>782018347.09000003</v>
      </c>
      <c r="L99" s="27">
        <f t="shared" si="55"/>
        <v>3.26139577797781E-3</v>
      </c>
      <c r="M99" s="26">
        <v>150.30000000000001</v>
      </c>
      <c r="N99" s="26">
        <v>150.30000000000001</v>
      </c>
      <c r="O99" s="29">
        <v>167</v>
      </c>
      <c r="P99" s="47">
        <v>0.19109999999999999</v>
      </c>
      <c r="Q99" s="47">
        <v>0.19109999999999999</v>
      </c>
      <c r="R99" s="53">
        <f t="shared" si="40"/>
        <v>4.4858478062337979E-3</v>
      </c>
      <c r="S99" s="53">
        <f t="shared" si="41"/>
        <v>3.2038446135363649E-3</v>
      </c>
      <c r="T99" s="53">
        <f t="shared" si="42"/>
        <v>1.2121212121212121E-2</v>
      </c>
      <c r="U99" s="54">
        <f t="shared" si="43"/>
        <v>5.0000000000000044E-3</v>
      </c>
      <c r="V99" s="55">
        <f t="shared" si="44"/>
        <v>-2.2000000000000075E-3</v>
      </c>
    </row>
    <row r="100" spans="1:22">
      <c r="A100" s="171">
        <v>89</v>
      </c>
      <c r="B100" s="168" t="s">
        <v>139</v>
      </c>
      <c r="C100" s="169" t="s">
        <v>140</v>
      </c>
      <c r="D100" s="26">
        <v>10017570567.461901</v>
      </c>
      <c r="E100" s="27">
        <f t="shared" si="54"/>
        <v>4.2422495644340114E-2</v>
      </c>
      <c r="F100" s="26">
        <v>1.1200000000000001</v>
      </c>
      <c r="G100" s="26">
        <v>1.1200000000000001</v>
      </c>
      <c r="H100" s="29">
        <v>5030</v>
      </c>
      <c r="I100" s="47">
        <v>0.1905</v>
      </c>
      <c r="J100" s="47">
        <v>0.1905</v>
      </c>
      <c r="K100" s="26">
        <v>10332855090.049999</v>
      </c>
      <c r="L100" s="27">
        <f t="shared" si="55"/>
        <v>4.3093017050746023E-2</v>
      </c>
      <c r="M100" s="26">
        <v>1.1200000000000001</v>
      </c>
      <c r="N100" s="26">
        <v>1.1200000000000001</v>
      </c>
      <c r="O100" s="29">
        <v>5042</v>
      </c>
      <c r="P100" s="47">
        <v>0.1802</v>
      </c>
      <c r="Q100" s="47">
        <v>0.1802</v>
      </c>
      <c r="R100" s="53">
        <f t="shared" si="40"/>
        <v>3.1473152144510477E-2</v>
      </c>
      <c r="S100" s="53">
        <f t="shared" si="41"/>
        <v>0</v>
      </c>
      <c r="T100" s="53">
        <f t="shared" si="42"/>
        <v>2.3856858846918491E-3</v>
      </c>
      <c r="U100" s="54">
        <f t="shared" si="43"/>
        <v>-1.0300000000000004E-2</v>
      </c>
      <c r="V100" s="55">
        <f t="shared" si="44"/>
        <v>-1.0300000000000004E-2</v>
      </c>
    </row>
    <row r="101" spans="1:22" ht="14.25" customHeight="1">
      <c r="A101" s="171">
        <v>90</v>
      </c>
      <c r="B101" s="168" t="s">
        <v>141</v>
      </c>
      <c r="C101" s="169" t="s">
        <v>47</v>
      </c>
      <c r="D101" s="26">
        <v>6994107784.6499996</v>
      </c>
      <c r="E101" s="27">
        <f t="shared" si="54"/>
        <v>2.961870895066079E-2</v>
      </c>
      <c r="F101" s="26">
        <v>5176.08</v>
      </c>
      <c r="G101" s="26">
        <v>5176.08</v>
      </c>
      <c r="H101" s="29">
        <v>232</v>
      </c>
      <c r="I101" s="47">
        <v>0</v>
      </c>
      <c r="J101" s="47">
        <v>1.6999999999999999E-3</v>
      </c>
      <c r="K101" s="26">
        <v>6999498323.1899996</v>
      </c>
      <c r="L101" s="27">
        <f t="shared" si="55"/>
        <v>2.9191302690226278E-2</v>
      </c>
      <c r="M101" s="26">
        <v>5176.08</v>
      </c>
      <c r="N101" s="26">
        <v>5176.08</v>
      </c>
      <c r="O101" s="29">
        <v>231</v>
      </c>
      <c r="P101" s="47">
        <v>0</v>
      </c>
      <c r="Q101" s="47">
        <v>1.6999999999999999E-3</v>
      </c>
      <c r="R101" s="53">
        <f t="shared" si="40"/>
        <v>7.7072568881918029E-4</v>
      </c>
      <c r="S101" s="53">
        <f t="shared" si="41"/>
        <v>0</v>
      </c>
      <c r="T101" s="53">
        <f t="shared" si="42"/>
        <v>-4.3103448275862068E-3</v>
      </c>
      <c r="U101" s="54">
        <f t="shared" si="43"/>
        <v>0</v>
      </c>
      <c r="V101" s="55">
        <f t="shared" si="44"/>
        <v>0</v>
      </c>
    </row>
    <row r="102" spans="1:22" ht="13.5" customHeight="1">
      <c r="A102" s="171">
        <v>91</v>
      </c>
      <c r="B102" s="168" t="s">
        <v>142</v>
      </c>
      <c r="C102" s="169" t="s">
        <v>47</v>
      </c>
      <c r="D102" s="26">
        <v>16442089547.83</v>
      </c>
      <c r="E102" s="27">
        <f t="shared" si="54"/>
        <v>6.9629104934111175E-2</v>
      </c>
      <c r="F102" s="57">
        <v>259.19</v>
      </c>
      <c r="G102" s="57">
        <v>259.19</v>
      </c>
      <c r="H102" s="29">
        <v>6097</v>
      </c>
      <c r="I102" s="47">
        <v>1E-4</v>
      </c>
      <c r="J102" s="47">
        <v>1.2999999999999999E-3</v>
      </c>
      <c r="K102" s="26">
        <v>16403404331.629999</v>
      </c>
      <c r="L102" s="27">
        <f t="shared" si="55"/>
        <v>6.841015154019664E-2</v>
      </c>
      <c r="M102" s="57">
        <v>259.20999999999998</v>
      </c>
      <c r="N102" s="57">
        <v>259.20999999999998</v>
      </c>
      <c r="O102" s="29">
        <v>6087</v>
      </c>
      <c r="P102" s="47">
        <v>1E-4</v>
      </c>
      <c r="Q102" s="47">
        <v>1.4E-3</v>
      </c>
      <c r="R102" s="53">
        <f t="shared" si="40"/>
        <v>-2.3528162942712092E-3</v>
      </c>
      <c r="S102" s="53">
        <f t="shared" si="41"/>
        <v>7.7163470812846981E-5</v>
      </c>
      <c r="T102" s="53">
        <f t="shared" si="42"/>
        <v>-1.6401508938822373E-3</v>
      </c>
      <c r="U102" s="54">
        <f t="shared" si="43"/>
        <v>0</v>
      </c>
      <c r="V102" s="55">
        <f t="shared" si="44"/>
        <v>1.0000000000000005E-4</v>
      </c>
    </row>
    <row r="103" spans="1:22" ht="13.5" customHeight="1">
      <c r="A103" s="171">
        <v>92</v>
      </c>
      <c r="B103" s="168" t="s">
        <v>143</v>
      </c>
      <c r="C103" s="169" t="s">
        <v>47</v>
      </c>
      <c r="D103" s="26">
        <v>539303059.59000003</v>
      </c>
      <c r="E103" s="27">
        <f t="shared" si="54"/>
        <v>2.2838453238101519E-3</v>
      </c>
      <c r="F103" s="32">
        <v>8908.06</v>
      </c>
      <c r="G103" s="32">
        <v>8945.24</v>
      </c>
      <c r="H103" s="29">
        <v>15</v>
      </c>
      <c r="I103" s="47">
        <v>7.4999999999999997E-3</v>
      </c>
      <c r="J103" s="47">
        <v>0.311</v>
      </c>
      <c r="K103" s="26">
        <v>542593060</v>
      </c>
      <c r="L103" s="27">
        <f t="shared" si="55"/>
        <v>2.2628762120850874E-3</v>
      </c>
      <c r="M103" s="32">
        <v>8962.41</v>
      </c>
      <c r="N103" s="32">
        <v>8999.81</v>
      </c>
      <c r="O103" s="29">
        <v>15</v>
      </c>
      <c r="P103" s="47">
        <v>6.1000000000000004E-3</v>
      </c>
      <c r="Q103" s="47">
        <v>0.31900000000000001</v>
      </c>
      <c r="R103" s="53">
        <f t="shared" si="40"/>
        <v>6.1004667996898774E-3</v>
      </c>
      <c r="S103" s="53">
        <f t="shared" si="41"/>
        <v>6.1004511896829722E-3</v>
      </c>
      <c r="T103" s="53">
        <f t="shared" si="42"/>
        <v>0</v>
      </c>
      <c r="U103" s="54">
        <f t="shared" si="43"/>
        <v>-1.3999999999999993E-3</v>
      </c>
      <c r="V103" s="55">
        <f t="shared" si="44"/>
        <v>8.0000000000000071E-3</v>
      </c>
    </row>
    <row r="104" spans="1:22" ht="15" customHeight="1">
      <c r="A104" s="171">
        <v>93</v>
      </c>
      <c r="B104" s="168" t="s">
        <v>144</v>
      </c>
      <c r="C104" s="169" t="s">
        <v>47</v>
      </c>
      <c r="D104" s="26">
        <v>6348544399.71</v>
      </c>
      <c r="E104" s="27">
        <f t="shared" si="54"/>
        <v>2.6884871469673485E-2</v>
      </c>
      <c r="F104" s="57">
        <v>155.68</v>
      </c>
      <c r="G104" s="57">
        <v>155.68</v>
      </c>
      <c r="H104" s="29">
        <v>4975</v>
      </c>
      <c r="I104" s="47">
        <v>3.0999999999999999E-3</v>
      </c>
      <c r="J104" s="47">
        <v>0.12909999999999999</v>
      </c>
      <c r="K104" s="26">
        <v>6348191811.29</v>
      </c>
      <c r="L104" s="27">
        <f t="shared" si="55"/>
        <v>2.6475038658845887E-2</v>
      </c>
      <c r="M104" s="57">
        <v>156.13999999999999</v>
      </c>
      <c r="N104" s="57">
        <v>156.13999999999999</v>
      </c>
      <c r="O104" s="29">
        <v>5015</v>
      </c>
      <c r="P104" s="47">
        <v>3.0000000000000001E-3</v>
      </c>
      <c r="Q104" s="47">
        <v>0.13239999999999999</v>
      </c>
      <c r="R104" s="53">
        <f t="shared" si="40"/>
        <v>-5.5538466426442956E-5</v>
      </c>
      <c r="S104" s="53">
        <f t="shared" si="41"/>
        <v>2.9547790339155928E-3</v>
      </c>
      <c r="T104" s="53">
        <f t="shared" si="42"/>
        <v>8.0402010050251264E-3</v>
      </c>
      <c r="U104" s="54">
        <f t="shared" si="43"/>
        <v>-9.9999999999999829E-5</v>
      </c>
      <c r="V104" s="55">
        <f t="shared" si="44"/>
        <v>3.2999999999999974E-3</v>
      </c>
    </row>
    <row r="105" spans="1:22" ht="15" customHeight="1">
      <c r="A105" s="171">
        <v>94</v>
      </c>
      <c r="B105" s="168" t="s">
        <v>145</v>
      </c>
      <c r="C105" s="169" t="s">
        <v>47</v>
      </c>
      <c r="D105" s="26">
        <v>6373417437.5699997</v>
      </c>
      <c r="E105" s="27">
        <f t="shared" si="54"/>
        <v>2.6990204028418285E-2</v>
      </c>
      <c r="F105" s="57">
        <v>384.82</v>
      </c>
      <c r="G105" s="57">
        <v>385.46</v>
      </c>
      <c r="H105" s="29">
        <v>10547</v>
      </c>
      <c r="I105" s="47">
        <v>2E-3</v>
      </c>
      <c r="J105" s="47">
        <v>8.8099999999999998E-2</v>
      </c>
      <c r="K105" s="26">
        <v>6235168578.0100002</v>
      </c>
      <c r="L105" s="27">
        <f t="shared" si="55"/>
        <v>2.6003676960997677E-2</v>
      </c>
      <c r="M105" s="57">
        <v>384.42</v>
      </c>
      <c r="N105" s="57">
        <v>385.06</v>
      </c>
      <c r="O105" s="29">
        <v>10611</v>
      </c>
      <c r="P105" s="47">
        <v>-1E-3</v>
      </c>
      <c r="Q105" s="47">
        <v>8.6999999999999994E-2</v>
      </c>
      <c r="R105" s="53">
        <f t="shared" si="40"/>
        <v>-2.169148042070029E-2</v>
      </c>
      <c r="S105" s="53">
        <f t="shared" si="41"/>
        <v>-1.0377211643230874E-3</v>
      </c>
      <c r="T105" s="53">
        <f t="shared" si="42"/>
        <v>6.0680762302076424E-3</v>
      </c>
      <c r="U105" s="54">
        <f t="shared" si="43"/>
        <v>-3.0000000000000001E-3</v>
      </c>
      <c r="V105" s="55">
        <f t="shared" si="44"/>
        <v>-1.1000000000000038E-3</v>
      </c>
    </row>
    <row r="106" spans="1:22" ht="15" customHeight="1">
      <c r="A106" s="171">
        <v>95</v>
      </c>
      <c r="B106" s="168" t="s">
        <v>314</v>
      </c>
      <c r="C106" s="169" t="s">
        <v>99</v>
      </c>
      <c r="D106" s="26">
        <v>94808384.909999996</v>
      </c>
      <c r="E106" s="27">
        <f t="shared" si="54"/>
        <v>4.0149537942415819E-4</v>
      </c>
      <c r="F106" s="57">
        <v>110.05800000000001</v>
      </c>
      <c r="G106" s="57">
        <v>110.05800000000001</v>
      </c>
      <c r="H106" s="29">
        <v>24</v>
      </c>
      <c r="I106" s="47">
        <v>7.8299999999999995E-2</v>
      </c>
      <c r="J106" s="47">
        <v>0.31919999999999998</v>
      </c>
      <c r="K106" s="26">
        <v>94808384.909999996</v>
      </c>
      <c r="L106" s="27">
        <f t="shared" si="55"/>
        <v>3.9539694613684477E-4</v>
      </c>
      <c r="M106" s="57">
        <v>110.154</v>
      </c>
      <c r="N106" s="57">
        <v>110.154</v>
      </c>
      <c r="O106" s="29">
        <v>24</v>
      </c>
      <c r="P106" s="47">
        <v>1.0500000000000001E-2</v>
      </c>
      <c r="Q106" s="47">
        <v>0.32279999999999998</v>
      </c>
      <c r="R106" s="53">
        <f t="shared" ref="R106" si="56">((K106-D106)/D106)</f>
        <v>0</v>
      </c>
      <c r="S106" s="53">
        <f t="shared" ref="S106" si="57">((N106-G106)/G106)</f>
        <v>8.7226734994266136E-4</v>
      </c>
      <c r="T106" s="53">
        <f t="shared" ref="T106" si="58">((O106-H106)/H106)</f>
        <v>0</v>
      </c>
      <c r="U106" s="54">
        <f t="shared" ref="U106" si="59">P106-I106</f>
        <v>-6.7799999999999999E-2</v>
      </c>
      <c r="V106" s="55">
        <f t="shared" ref="V106" si="60">Q106-J106</f>
        <v>3.5999999999999921E-3</v>
      </c>
    </row>
    <row r="107" spans="1:22">
      <c r="A107" s="171">
        <v>96</v>
      </c>
      <c r="B107" s="168" t="s">
        <v>146</v>
      </c>
      <c r="C107" s="169" t="s">
        <v>50</v>
      </c>
      <c r="D107" s="26">
        <v>85027422681.039993</v>
      </c>
      <c r="E107" s="27">
        <f t="shared" si="54"/>
        <v>0.36007487484560746</v>
      </c>
      <c r="F107" s="26">
        <v>1.9406000000000001</v>
      </c>
      <c r="G107" s="26">
        <v>1.9406000000000001</v>
      </c>
      <c r="H107" s="29">
        <v>6739</v>
      </c>
      <c r="I107" s="47">
        <v>1.6999999999999999E-3</v>
      </c>
      <c r="J107" s="47">
        <v>8.5699999999999998E-2</v>
      </c>
      <c r="K107" s="26">
        <v>85181472883.190002</v>
      </c>
      <c r="L107" s="27">
        <f t="shared" si="55"/>
        <v>0.35524805403471543</v>
      </c>
      <c r="M107" s="26">
        <v>1.9440999999999999</v>
      </c>
      <c r="N107" s="26">
        <v>1.9440999999999999</v>
      </c>
      <c r="O107" s="29">
        <v>6747</v>
      </c>
      <c r="P107" s="47">
        <v>1.1999999999999999E-3</v>
      </c>
      <c r="Q107" s="47">
        <v>8.3099999999999993E-2</v>
      </c>
      <c r="R107" s="53">
        <f t="shared" si="40"/>
        <v>1.8117708063184695E-3</v>
      </c>
      <c r="S107" s="53">
        <f t="shared" si="41"/>
        <v>1.8035659074512194E-3</v>
      </c>
      <c r="T107" s="53">
        <f t="shared" si="42"/>
        <v>1.1871197507048524E-3</v>
      </c>
      <c r="U107" s="54">
        <f t="shared" si="43"/>
        <v>-5.0000000000000001E-4</v>
      </c>
      <c r="V107" s="55">
        <f t="shared" si="44"/>
        <v>-2.6000000000000051E-3</v>
      </c>
    </row>
    <row r="108" spans="1:22">
      <c r="A108" s="171">
        <v>97</v>
      </c>
      <c r="B108" s="168" t="s">
        <v>147</v>
      </c>
      <c r="C108" s="169" t="s">
        <v>50</v>
      </c>
      <c r="D108" s="26">
        <v>57735563223.900002</v>
      </c>
      <c r="E108" s="27">
        <f t="shared" si="54"/>
        <v>0.24449906919996708</v>
      </c>
      <c r="F108" s="26">
        <v>124.06</v>
      </c>
      <c r="G108" s="26">
        <v>124.06</v>
      </c>
      <c r="H108" s="29">
        <v>956</v>
      </c>
      <c r="I108" s="47">
        <v>3.3E-3</v>
      </c>
      <c r="J108" s="47">
        <v>0.20669999999999999</v>
      </c>
      <c r="K108" s="26">
        <v>61249044520.510002</v>
      </c>
      <c r="L108" s="27">
        <f t="shared" si="55"/>
        <v>0.25543822078815853</v>
      </c>
      <c r="M108" s="26">
        <v>124.4722</v>
      </c>
      <c r="N108" s="26">
        <v>124.4722</v>
      </c>
      <c r="O108" s="29">
        <v>975</v>
      </c>
      <c r="P108" s="47">
        <v>3.3E-3</v>
      </c>
      <c r="Q108" s="47">
        <v>0.20630000000000001</v>
      </c>
      <c r="R108" s="53">
        <f t="shared" ref="R108:R110" si="61">((K108-D108)/D108)</f>
        <v>6.0854715887755866E-2</v>
      </c>
      <c r="S108" s="53">
        <f t="shared" ref="S108:S110" si="62">((N108-G108)/G108)</f>
        <v>3.3225858455585892E-3</v>
      </c>
      <c r="T108" s="53">
        <f t="shared" ref="T108:T110" si="63">((O108-H108)/H108)</f>
        <v>1.9874476987447699E-2</v>
      </c>
      <c r="U108" s="54">
        <f t="shared" ref="U108:U110" si="64">P108-I108</f>
        <v>0</v>
      </c>
      <c r="V108" s="55">
        <f t="shared" ref="V108:V110" si="65">Q108-J108</f>
        <v>-3.999999999999837E-4</v>
      </c>
    </row>
    <row r="109" spans="1:22">
      <c r="A109" s="171">
        <v>98</v>
      </c>
      <c r="B109" s="168" t="s">
        <v>148</v>
      </c>
      <c r="C109" s="168" t="s">
        <v>149</v>
      </c>
      <c r="D109" s="26">
        <v>114007151.37</v>
      </c>
      <c r="E109" s="27">
        <f t="shared" si="54"/>
        <v>4.8279848390854306E-4</v>
      </c>
      <c r="F109" s="26">
        <v>120.33</v>
      </c>
      <c r="G109" s="26">
        <v>120.33</v>
      </c>
      <c r="H109" s="59">
        <v>85</v>
      </c>
      <c r="I109" s="60">
        <v>1.6999999999999999E-3</v>
      </c>
      <c r="J109" s="60">
        <v>8.9899999999999994E-2</v>
      </c>
      <c r="K109" s="26">
        <v>115915703.65000001</v>
      </c>
      <c r="L109" s="27">
        <f t="shared" si="55"/>
        <v>4.8342470210859233E-4</v>
      </c>
      <c r="M109" s="26">
        <v>120.6493</v>
      </c>
      <c r="N109" s="26">
        <v>120.6493</v>
      </c>
      <c r="O109" s="59">
        <v>85</v>
      </c>
      <c r="P109" s="60">
        <v>2.5999999999999999E-3</v>
      </c>
      <c r="Q109" s="60">
        <v>9.2799999999999994E-2</v>
      </c>
      <c r="R109" s="53">
        <f t="shared" si="61"/>
        <v>1.6740636504511595E-2</v>
      </c>
      <c r="S109" s="53">
        <f t="shared" si="62"/>
        <v>2.6535361090334777E-3</v>
      </c>
      <c r="T109" s="53">
        <f t="shared" si="63"/>
        <v>0</v>
      </c>
      <c r="U109" s="54">
        <f t="shared" si="64"/>
        <v>8.9999999999999998E-4</v>
      </c>
      <c r="V109" s="55">
        <f t="shared" si="65"/>
        <v>2.8999999999999998E-3</v>
      </c>
    </row>
    <row r="110" spans="1:22">
      <c r="A110" s="171">
        <v>99</v>
      </c>
      <c r="B110" s="168" t="s">
        <v>150</v>
      </c>
      <c r="C110" s="169" t="s">
        <v>105</v>
      </c>
      <c r="D110" s="26">
        <v>338613213.69999999</v>
      </c>
      <c r="E110" s="27">
        <f t="shared" si="54"/>
        <v>1.4339622053637098E-3</v>
      </c>
      <c r="F110" s="26">
        <v>1.36</v>
      </c>
      <c r="G110" s="26">
        <v>1.36</v>
      </c>
      <c r="H110" s="29">
        <v>617</v>
      </c>
      <c r="I110" s="47">
        <v>1.3299999999999999E-2</v>
      </c>
      <c r="J110" s="47">
        <v>0.26690000000000003</v>
      </c>
      <c r="K110" s="26">
        <v>340141416.95999998</v>
      </c>
      <c r="L110" s="27">
        <f t="shared" si="55"/>
        <v>1.4185546737064774E-3</v>
      </c>
      <c r="M110" s="26">
        <v>1.37</v>
      </c>
      <c r="N110" s="26">
        <v>1.37</v>
      </c>
      <c r="O110" s="29">
        <v>628</v>
      </c>
      <c r="P110" s="47">
        <v>3.0000000000000001E-3</v>
      </c>
      <c r="Q110" s="47">
        <v>0.27129999999999999</v>
      </c>
      <c r="R110" s="53">
        <f t="shared" si="61"/>
        <v>4.5131235231532568E-3</v>
      </c>
      <c r="S110" s="53">
        <f t="shared" si="62"/>
        <v>7.3529411764705942E-3</v>
      </c>
      <c r="T110" s="53">
        <f t="shared" si="63"/>
        <v>1.7828200972447326E-2</v>
      </c>
      <c r="U110" s="54">
        <f t="shared" si="64"/>
        <v>-1.03E-2</v>
      </c>
      <c r="V110" s="55">
        <f t="shared" si="65"/>
        <v>4.3999999999999595E-3</v>
      </c>
    </row>
    <row r="111" spans="1:22">
      <c r="A111" s="171">
        <v>100</v>
      </c>
      <c r="B111" s="168" t="s">
        <v>151</v>
      </c>
      <c r="C111" s="169" t="s">
        <v>107</v>
      </c>
      <c r="D111" s="26">
        <v>1938926119.6099999</v>
      </c>
      <c r="E111" s="27">
        <f t="shared" si="54"/>
        <v>8.2109813262531157E-3</v>
      </c>
      <c r="F111" s="57">
        <v>29.609300000000001</v>
      </c>
      <c r="G111" s="57">
        <v>29.609300000000001</v>
      </c>
      <c r="H111" s="29">
        <v>1287</v>
      </c>
      <c r="I111" s="47">
        <v>0</v>
      </c>
      <c r="J111" s="47">
        <v>0.11899999999999999</v>
      </c>
      <c r="K111" s="26">
        <v>1944090176.79</v>
      </c>
      <c r="L111" s="27">
        <f t="shared" si="55"/>
        <v>8.1077989003515514E-3</v>
      </c>
      <c r="M111" s="57">
        <v>29.609300000000001</v>
      </c>
      <c r="N111" s="57">
        <v>29.609300000000001</v>
      </c>
      <c r="O111" s="29">
        <v>1290</v>
      </c>
      <c r="P111" s="47">
        <v>0</v>
      </c>
      <c r="Q111" s="47">
        <v>0.1186</v>
      </c>
      <c r="R111" s="53">
        <f t="shared" si="40"/>
        <v>2.6633594378721232E-3</v>
      </c>
      <c r="S111" s="53">
        <f t="shared" si="41"/>
        <v>0</v>
      </c>
      <c r="T111" s="53">
        <f t="shared" si="42"/>
        <v>2.331002331002331E-3</v>
      </c>
      <c r="U111" s="54">
        <f t="shared" si="43"/>
        <v>0</v>
      </c>
      <c r="V111" s="55">
        <f t="shared" si="44"/>
        <v>-3.9999999999999758E-4</v>
      </c>
    </row>
    <row r="112" spans="1:22">
      <c r="A112" s="33"/>
      <c r="B112" s="34"/>
      <c r="C112" s="35" t="s">
        <v>51</v>
      </c>
      <c r="D112" s="45">
        <f>SUM(D73:D111)</f>
        <v>236138171866.33188</v>
      </c>
      <c r="E112" s="37">
        <f>(D112/$D$226)</f>
        <v>3.4663960497041471E-2</v>
      </c>
      <c r="F112" s="38"/>
      <c r="G112" s="42"/>
      <c r="H112" s="40">
        <f>SUM(H73:H111)</f>
        <v>54433</v>
      </c>
      <c r="I112" s="50"/>
      <c r="J112" s="50"/>
      <c r="K112" s="45">
        <f>SUM(K73:K111)</f>
        <v>239780265974.00003</v>
      </c>
      <c r="L112" s="37">
        <f>(K112/$K$226)</f>
        <v>3.4622001822119372E-2</v>
      </c>
      <c r="M112" s="38"/>
      <c r="N112" s="42"/>
      <c r="O112" s="40">
        <f>SUM(O73:O111)</f>
        <v>54725</v>
      </c>
      <c r="P112" s="50"/>
      <c r="Q112" s="50"/>
      <c r="R112" s="53">
        <f t="shared" si="40"/>
        <v>1.5423572050561109E-2</v>
      </c>
      <c r="S112" s="53" t="e">
        <f t="shared" si="41"/>
        <v>#DIV/0!</v>
      </c>
      <c r="T112" s="53">
        <f t="shared" si="42"/>
        <v>5.3643929234104314E-3</v>
      </c>
      <c r="U112" s="54">
        <f t="shared" si="43"/>
        <v>0</v>
      </c>
      <c r="V112" s="55">
        <f t="shared" si="44"/>
        <v>0</v>
      </c>
    </row>
    <row r="113" spans="1:28" ht="3.75" customHeight="1">
      <c r="A113" s="33"/>
      <c r="B113" s="181"/>
      <c r="C113" s="181"/>
      <c r="D113" s="181"/>
      <c r="E113" s="181"/>
      <c r="F113" s="181"/>
      <c r="G113" s="181"/>
      <c r="H113" s="181"/>
      <c r="I113" s="181"/>
      <c r="J113" s="181"/>
      <c r="K113" s="181"/>
      <c r="L113" s="181"/>
      <c r="M113" s="181"/>
      <c r="N113" s="181"/>
      <c r="O113" s="181"/>
      <c r="P113" s="181"/>
      <c r="Q113" s="181"/>
      <c r="R113" s="181"/>
      <c r="S113" s="181"/>
      <c r="T113" s="181"/>
      <c r="U113" s="181"/>
      <c r="V113" s="181"/>
    </row>
    <row r="114" spans="1:28" ht="15" customHeight="1">
      <c r="A114" s="180" t="s">
        <v>152</v>
      </c>
      <c r="B114" s="180"/>
      <c r="C114" s="180"/>
      <c r="D114" s="180"/>
      <c r="E114" s="180"/>
      <c r="F114" s="180"/>
      <c r="G114" s="180"/>
      <c r="H114" s="180"/>
      <c r="I114" s="180"/>
      <c r="J114" s="180"/>
      <c r="K114" s="180"/>
      <c r="L114" s="180"/>
      <c r="M114" s="180"/>
      <c r="N114" s="180"/>
      <c r="O114" s="180"/>
      <c r="P114" s="180"/>
      <c r="Q114" s="180"/>
      <c r="R114" s="180"/>
      <c r="S114" s="180"/>
      <c r="T114" s="180"/>
      <c r="U114" s="180"/>
      <c r="V114" s="180"/>
    </row>
    <row r="115" spans="1:28">
      <c r="A115" s="182" t="s">
        <v>153</v>
      </c>
      <c r="B115" s="182"/>
      <c r="C115" s="182"/>
      <c r="D115" s="182"/>
      <c r="E115" s="182"/>
      <c r="F115" s="182"/>
      <c r="G115" s="182"/>
      <c r="H115" s="182"/>
      <c r="I115" s="182"/>
      <c r="J115" s="182"/>
      <c r="K115" s="182"/>
      <c r="L115" s="182"/>
      <c r="M115" s="182"/>
      <c r="N115" s="182"/>
      <c r="O115" s="182"/>
      <c r="P115" s="182"/>
      <c r="Q115" s="182"/>
      <c r="R115" s="182"/>
      <c r="S115" s="182"/>
      <c r="T115" s="182"/>
      <c r="U115" s="182"/>
      <c r="V115" s="182"/>
      <c r="Z115" s="61"/>
      <c r="AB115" s="64"/>
    </row>
    <row r="116" spans="1:28" ht="16.5" customHeight="1">
      <c r="A116" s="171">
        <v>101</v>
      </c>
      <c r="B116" s="168" t="s">
        <v>154</v>
      </c>
      <c r="C116" s="169" t="s">
        <v>17</v>
      </c>
      <c r="D116" s="26">
        <v>2869781365.8419762</v>
      </c>
      <c r="E116" s="27">
        <f t="shared" ref="E116:E121" si="66">(D116/$D$154)</f>
        <v>1.5120925858620805E-3</v>
      </c>
      <c r="F116" s="26">
        <v>165980.95294751998</v>
      </c>
      <c r="G116" s="26">
        <v>165980.95294751998</v>
      </c>
      <c r="H116" s="29">
        <v>190</v>
      </c>
      <c r="I116" s="47">
        <v>-5.5999999999999999E-3</v>
      </c>
      <c r="J116" s="47">
        <v>4.6300000000000001E-2</v>
      </c>
      <c r="K116" s="26">
        <f>1993898.3*W135</f>
        <v>2901466970.9059</v>
      </c>
      <c r="L116" s="27">
        <f t="shared" ref="L116:L132" si="67">(K116/$K$154)</f>
        <v>1.5137446407829244E-3</v>
      </c>
      <c r="M116" s="26">
        <f>113.6659*W135</f>
        <v>165403.54870069999</v>
      </c>
      <c r="N116" s="26">
        <f>113.6659*W135</f>
        <v>165403.54870069999</v>
      </c>
      <c r="O116" s="29">
        <v>190</v>
      </c>
      <c r="P116" s="47">
        <v>1.1999999999999999E-3</v>
      </c>
      <c r="Q116" s="47">
        <v>0.05</v>
      </c>
      <c r="R116" s="54">
        <f>((K116-D116)/D116)</f>
        <v>1.1041121613328016E-2</v>
      </c>
      <c r="S116" s="54">
        <f>((N116-G116)/G116)</f>
        <v>-3.4787379911148937E-3</v>
      </c>
      <c r="T116" s="54">
        <f>((O116-H116)/H116)</f>
        <v>0</v>
      </c>
      <c r="U116" s="54">
        <f>P116-I116</f>
        <v>6.7999999999999996E-3</v>
      </c>
      <c r="V116" s="55">
        <f>Q116-J116</f>
        <v>3.7000000000000019E-3</v>
      </c>
      <c r="X116" s="61"/>
      <c r="Y116" s="65"/>
      <c r="Z116" s="61"/>
      <c r="AA116" s="66"/>
    </row>
    <row r="117" spans="1:28" ht="16.5" customHeight="1">
      <c r="A117" s="171">
        <v>102</v>
      </c>
      <c r="B117" s="168" t="s">
        <v>155</v>
      </c>
      <c r="C117" s="169" t="s">
        <v>55</v>
      </c>
      <c r="D117" s="26">
        <v>5579703239.8599358</v>
      </c>
      <c r="E117" s="27">
        <f t="shared" si="66"/>
        <v>2.9399549389810282E-3</v>
      </c>
      <c r="F117" s="26">
        <v>146567.76</v>
      </c>
      <c r="G117" s="26">
        <v>146567.76</v>
      </c>
      <c r="H117" s="29">
        <v>89</v>
      </c>
      <c r="I117" s="47">
        <v>1.029E-3</v>
      </c>
      <c r="J117" s="47">
        <v>7.6455999999999996E-2</v>
      </c>
      <c r="K117" s="26">
        <f>3812306.41*W135</f>
        <v>5547565355.5589304</v>
      </c>
      <c r="L117" s="27">
        <f t="shared" si="67"/>
        <v>2.8942591491049924E-3</v>
      </c>
      <c r="M117" s="26">
        <f>100*W135</f>
        <v>145517.29999999999</v>
      </c>
      <c r="N117" s="26">
        <f>100*W135</f>
        <v>145517.29999999999</v>
      </c>
      <c r="O117" s="29">
        <v>89</v>
      </c>
      <c r="P117" s="47">
        <v>6.9999999999999994E-5</v>
      </c>
      <c r="Q117" s="47">
        <v>7.6525999999999997E-2</v>
      </c>
      <c r="R117" s="54">
        <f>((K117-D117)/D117)</f>
        <v>-5.7597837948478604E-3</v>
      </c>
      <c r="S117" s="54">
        <f>((N117-G117)/G117)</f>
        <v>-7.1670604776931908E-3</v>
      </c>
      <c r="T117" s="54">
        <f>((O117-H117)/H117)</f>
        <v>0</v>
      </c>
      <c r="U117" s="54">
        <f>P117-I117</f>
        <v>-9.59E-4</v>
      </c>
      <c r="V117" s="55">
        <f>Q117-J117</f>
        <v>7.0000000000000617E-5</v>
      </c>
      <c r="X117" s="61"/>
      <c r="Y117" s="65"/>
      <c r="Z117" s="61"/>
      <c r="AA117" s="66"/>
    </row>
    <row r="118" spans="1:28">
      <c r="A118" s="171">
        <v>103</v>
      </c>
      <c r="B118" s="168" t="s">
        <v>156</v>
      </c>
      <c r="C118" s="169" t="s">
        <v>21</v>
      </c>
      <c r="D118" s="26">
        <v>16896419386.739882</v>
      </c>
      <c r="E118" s="27">
        <f t="shared" si="66"/>
        <v>8.9027515428199838E-3</v>
      </c>
      <c r="F118" s="26">
        <v>1766.8743468</v>
      </c>
      <c r="G118" s="26">
        <v>1766.8743468</v>
      </c>
      <c r="H118" s="29">
        <v>320</v>
      </c>
      <c r="I118" s="47">
        <v>6.93E-2</v>
      </c>
      <c r="J118" s="47">
        <v>8.1000000000000003E-2</v>
      </c>
      <c r="K118" s="26">
        <f>11578796.58*W135</f>
        <v>16849152155.70834</v>
      </c>
      <c r="L118" s="27">
        <f t="shared" si="67"/>
        <v>8.7904890985115204E-3</v>
      </c>
      <c r="M118" s="26">
        <f>1.2053*W135</f>
        <v>1753.9200169000001</v>
      </c>
      <c r="N118" s="26">
        <f>1.2053*W135</f>
        <v>1753.9200169000001</v>
      </c>
      <c r="O118" s="29">
        <v>322</v>
      </c>
      <c r="P118" s="47">
        <v>-8.6999999999999994E-3</v>
      </c>
      <c r="Q118" s="47">
        <v>7.8799999999999995E-2</v>
      </c>
      <c r="R118" s="54">
        <f t="shared" ref="R118:R130" si="68">((K118-D118)/D118)</f>
        <v>-2.7974702775569486E-3</v>
      </c>
      <c r="S118" s="54">
        <f t="shared" ref="S118:S130" si="69">((N118-G118)/G118)</f>
        <v>-7.3317776804341728E-3</v>
      </c>
      <c r="T118" s="54">
        <f t="shared" ref="T118:T130" si="70">((O118-H118)/H118)</f>
        <v>6.2500000000000003E-3</v>
      </c>
      <c r="U118" s="54">
        <f t="shared" ref="U118:U130" si="71">P118-I118</f>
        <v>-7.8E-2</v>
      </c>
      <c r="V118" s="55">
        <f t="shared" ref="V118:V130" si="72">Q118-J118</f>
        <v>-2.2000000000000075E-3</v>
      </c>
    </row>
    <row r="119" spans="1:28">
      <c r="A119" s="171">
        <v>104</v>
      </c>
      <c r="B119" s="168" t="s">
        <v>286</v>
      </c>
      <c r="C119" s="169" t="s">
        <v>21</v>
      </c>
      <c r="D119" s="26">
        <v>4197949884.8758798</v>
      </c>
      <c r="E119" s="27">
        <f t="shared" si="66"/>
        <v>2.2119067927249638E-3</v>
      </c>
      <c r="F119" s="26">
        <v>1521.81305208</v>
      </c>
      <c r="G119" s="26">
        <v>1521.81305208</v>
      </c>
      <c r="H119" s="29">
        <v>90</v>
      </c>
      <c r="I119" s="47">
        <v>4.5199999999999997E-2</v>
      </c>
      <c r="J119" s="47">
        <v>5.0700000000000002E-2</v>
      </c>
      <c r="K119" s="26">
        <f>2881036.11*W135</f>
        <v>4192405959.29703</v>
      </c>
      <c r="L119" s="27">
        <f t="shared" si="67"/>
        <v>2.1872494557092425E-3</v>
      </c>
      <c r="M119" s="26">
        <f>1.0394*W135</f>
        <v>1512.5068162000002</v>
      </c>
      <c r="N119" s="26">
        <f>1.0394*W135</f>
        <v>1512.5068162000002</v>
      </c>
      <c r="O119" s="29">
        <v>90</v>
      </c>
      <c r="P119" s="47">
        <v>5.5199999999999999E-2</v>
      </c>
      <c r="Q119" s="47">
        <v>5.0799999999999998E-2</v>
      </c>
      <c r="R119" s="54">
        <f t="shared" si="68"/>
        <v>-1.320626908582952E-3</v>
      </c>
      <c r="S119" s="54">
        <f t="shared" ref="S119" si="73">((N119-G119)/G119)</f>
        <v>-6.1152293754348644E-3</v>
      </c>
      <c r="T119" s="54">
        <f t="shared" ref="T119" si="74">((O119-H119)/H119)</f>
        <v>0</v>
      </c>
      <c r="U119" s="54">
        <f t="shared" ref="U119" si="75">P119-I119</f>
        <v>1.0000000000000002E-2</v>
      </c>
      <c r="V119" s="55">
        <f t="shared" ref="V119" si="76">Q119-J119</f>
        <v>9.9999999999995925E-5</v>
      </c>
    </row>
    <row r="120" spans="1:28">
      <c r="A120" s="171">
        <v>105</v>
      </c>
      <c r="B120" s="168" t="s">
        <v>157</v>
      </c>
      <c r="C120" s="169" t="s">
        <v>25</v>
      </c>
      <c r="D120" s="26">
        <v>31631645267.292717</v>
      </c>
      <c r="E120" s="27">
        <f t="shared" si="66"/>
        <v>1.6666766624313788E-2</v>
      </c>
      <c r="F120" s="26">
        <v>1642.43831856</v>
      </c>
      <c r="G120" s="26">
        <v>1642.43831856</v>
      </c>
      <c r="H120" s="29">
        <v>558</v>
      </c>
      <c r="I120" s="47">
        <v>1.6000000000000001E-3</v>
      </c>
      <c r="J120" s="47">
        <v>7.6999999999999999E-2</v>
      </c>
      <c r="K120" s="26">
        <f>24041477.25*W135</f>
        <v>34984508574.314247</v>
      </c>
      <c r="L120" s="27">
        <f t="shared" si="67"/>
        <v>1.8252012825173729E-2</v>
      </c>
      <c r="M120" s="26">
        <f>1.0895*W135</f>
        <v>1585.4109834999999</v>
      </c>
      <c r="N120" s="26">
        <f>1.0895*W135</f>
        <v>1585.4109834999999</v>
      </c>
      <c r="O120" s="29">
        <v>571</v>
      </c>
      <c r="P120" s="47">
        <v>1.5E-3</v>
      </c>
      <c r="Q120" s="47">
        <v>7.85E-2</v>
      </c>
      <c r="R120" s="54">
        <f t="shared" si="68"/>
        <v>0.10599712024743803</v>
      </c>
      <c r="S120" s="54">
        <f t="shared" ref="S120:T123" si="77">((N120-G120)/G120)</f>
        <v>-3.4721142593652152E-2</v>
      </c>
      <c r="T120" s="54">
        <f t="shared" si="77"/>
        <v>2.3297491039426525E-2</v>
      </c>
      <c r="U120" s="54">
        <f t="shared" si="71"/>
        <v>-1.0000000000000005E-4</v>
      </c>
      <c r="V120" s="55">
        <f t="shared" si="72"/>
        <v>1.5000000000000013E-3</v>
      </c>
    </row>
    <row r="121" spans="1:28">
      <c r="A121" s="171">
        <v>106</v>
      </c>
      <c r="B121" s="168" t="s">
        <v>158</v>
      </c>
      <c r="C121" s="169" t="s">
        <v>61</v>
      </c>
      <c r="D121" s="26">
        <v>1286594588.56668</v>
      </c>
      <c r="E121" s="27">
        <f t="shared" si="66"/>
        <v>6.7790883359198598E-4</v>
      </c>
      <c r="F121" s="26">
        <v>1597.2954484800002</v>
      </c>
      <c r="G121" s="26">
        <v>1612.2453600000001</v>
      </c>
      <c r="H121" s="29">
        <v>57</v>
      </c>
      <c r="I121" s="47">
        <v>-1.2E-2</v>
      </c>
      <c r="J121" s="47">
        <v>0.115</v>
      </c>
      <c r="K121" s="26">
        <f>894844.53*W135</f>
        <v>1302153599.25369</v>
      </c>
      <c r="L121" s="27">
        <f t="shared" si="67"/>
        <v>6.7935566805057957E-4</v>
      </c>
      <c r="M121" s="26">
        <f>1.1146*W135</f>
        <v>1621.9358258</v>
      </c>
      <c r="N121" s="26">
        <f>1.12*W135</f>
        <v>1629.7937600000002</v>
      </c>
      <c r="O121" s="29">
        <v>59</v>
      </c>
      <c r="P121" s="47">
        <v>8.0000000000000002E-3</v>
      </c>
      <c r="Q121" s="47">
        <v>0.14299999999999999</v>
      </c>
      <c r="R121" s="54">
        <f t="shared" si="68"/>
        <v>1.2093172803053243E-2</v>
      </c>
      <c r="S121" s="54">
        <f t="shared" si="77"/>
        <v>1.0884447513621703E-2</v>
      </c>
      <c r="T121" s="54">
        <f t="shared" si="77"/>
        <v>3.5087719298245612E-2</v>
      </c>
      <c r="U121" s="54">
        <f t="shared" si="71"/>
        <v>0.02</v>
      </c>
      <c r="V121" s="55">
        <f t="shared" si="72"/>
        <v>2.7999999999999983E-2</v>
      </c>
    </row>
    <row r="122" spans="1:28">
      <c r="A122" s="171">
        <v>107</v>
      </c>
      <c r="B122" s="168" t="s">
        <v>159</v>
      </c>
      <c r="C122" s="169" t="s">
        <v>27</v>
      </c>
      <c r="D122" s="26">
        <v>1134677281.2079921</v>
      </c>
      <c r="E122" s="27">
        <v>0</v>
      </c>
      <c r="F122" s="26">
        <v>2054.1471563999999</v>
      </c>
      <c r="G122" s="26">
        <v>2054.1471563999999</v>
      </c>
      <c r="H122" s="29">
        <v>66</v>
      </c>
      <c r="I122" s="47">
        <v>4.28E-4</v>
      </c>
      <c r="J122" s="47">
        <v>0.14580000000000001</v>
      </c>
      <c r="K122" s="26">
        <f>963617.97*W135</f>
        <v>1402230852.25881</v>
      </c>
      <c r="L122" s="27">
        <f t="shared" si="67"/>
        <v>7.3156767215741189E-4</v>
      </c>
      <c r="M122" s="26">
        <f>1.4054*W135</f>
        <v>2045.1001342</v>
      </c>
      <c r="N122" s="26">
        <f>1.4054*W135</f>
        <v>2045.1001342</v>
      </c>
      <c r="O122" s="29">
        <v>68</v>
      </c>
      <c r="P122" s="47">
        <v>4.75E-4</v>
      </c>
      <c r="Q122" s="47">
        <v>0.14990000000000001</v>
      </c>
      <c r="R122" s="54">
        <f t="shared" si="68"/>
        <v>0.23579706360735184</v>
      </c>
      <c r="S122" s="54">
        <f t="shared" si="77"/>
        <v>-4.4042717055652819E-3</v>
      </c>
      <c r="T122" s="54">
        <f t="shared" si="77"/>
        <v>3.0303030303030304E-2</v>
      </c>
      <c r="U122" s="54">
        <f t="shared" si="71"/>
        <v>4.7000000000000004E-5</v>
      </c>
      <c r="V122" s="55">
        <f t="shared" si="72"/>
        <v>4.0999999999999925E-3</v>
      </c>
    </row>
    <row r="123" spans="1:28">
      <c r="A123" s="171">
        <v>108</v>
      </c>
      <c r="B123" s="168" t="s">
        <v>160</v>
      </c>
      <c r="C123" s="169" t="s">
        <v>68</v>
      </c>
      <c r="D123" s="26">
        <v>2226360082.5620637</v>
      </c>
      <c r="E123" s="27">
        <f t="shared" ref="E123:E132" si="78">(D123/$D$154)</f>
        <v>1.1730728390570919E-3</v>
      </c>
      <c r="F123" s="26">
        <v>159172.58735999998</v>
      </c>
      <c r="G123" s="26">
        <v>159846.79905599999</v>
      </c>
      <c r="H123" s="29">
        <v>86</v>
      </c>
      <c r="I123" s="47">
        <v>1.1999999999999999E-3</v>
      </c>
      <c r="J123" s="47">
        <v>4.9599999999999998E-2</v>
      </c>
      <c r="K123" s="26">
        <f>1483497.06*W135</f>
        <v>2158744867.2913799</v>
      </c>
      <c r="L123" s="27">
        <f t="shared" si="67"/>
        <v>1.1262538937879753E-3</v>
      </c>
      <c r="M123" s="26">
        <f>108.7*W135</f>
        <v>158177.3051</v>
      </c>
      <c r="N123" s="26">
        <f>109.22*W135</f>
        <v>158933.99505999999</v>
      </c>
      <c r="O123" s="29">
        <v>86</v>
      </c>
      <c r="P123" s="47">
        <v>1.1999999999999999E-3</v>
      </c>
      <c r="Q123" s="47">
        <v>5.0900000000000001E-2</v>
      </c>
      <c r="R123" s="54">
        <f t="shared" si="68"/>
        <v>-3.0370296251841317E-2</v>
      </c>
      <c r="S123" s="54">
        <f t="shared" si="77"/>
        <v>-5.7104928055532397E-3</v>
      </c>
      <c r="T123" s="54">
        <f t="shared" si="77"/>
        <v>0</v>
      </c>
      <c r="U123" s="54">
        <f t="shared" si="71"/>
        <v>0</v>
      </c>
      <c r="V123" s="55">
        <f t="shared" si="72"/>
        <v>1.3000000000000025E-3</v>
      </c>
    </row>
    <row r="124" spans="1:28">
      <c r="A124" s="171">
        <v>109</v>
      </c>
      <c r="B124" s="168" t="s">
        <v>161</v>
      </c>
      <c r="C124" s="169" t="s">
        <v>71</v>
      </c>
      <c r="D124" s="26">
        <v>4779051426.5</v>
      </c>
      <c r="E124" s="27">
        <f t="shared" si="78"/>
        <v>2.5180901637585473E-3</v>
      </c>
      <c r="F124" s="26">
        <v>168027.75</v>
      </c>
      <c r="G124" s="26">
        <v>168027.75</v>
      </c>
      <c r="H124" s="29">
        <v>61</v>
      </c>
      <c r="I124" s="47">
        <v>8.9999999999999993E-3</v>
      </c>
      <c r="J124" s="47">
        <v>8.6300000000000002E-2</v>
      </c>
      <c r="K124" s="26">
        <v>4787157790.2600002</v>
      </c>
      <c r="L124" s="27">
        <f t="shared" si="67"/>
        <v>2.4975415961139753E-3</v>
      </c>
      <c r="M124" s="26">
        <v>166968.41</v>
      </c>
      <c r="N124" s="26">
        <v>166968.41</v>
      </c>
      <c r="O124" s="29">
        <v>60</v>
      </c>
      <c r="P124" s="47">
        <v>8.9999999999999993E-3</v>
      </c>
      <c r="Q124" s="47">
        <v>8.5699999999999998E-2</v>
      </c>
      <c r="R124" s="54">
        <f t="shared" si="68"/>
        <v>1.6962286103577313E-3</v>
      </c>
      <c r="S124" s="54">
        <f t="shared" si="69"/>
        <v>-6.3045538608949804E-3</v>
      </c>
      <c r="T124" s="54">
        <f t="shared" si="70"/>
        <v>-1.6393442622950821E-2</v>
      </c>
      <c r="U124" s="54">
        <f t="shared" si="71"/>
        <v>0</v>
      </c>
      <c r="V124" s="55">
        <f t="shared" si="72"/>
        <v>-6.0000000000000331E-4</v>
      </c>
      <c r="X124" s="62"/>
    </row>
    <row r="125" spans="1:28">
      <c r="A125" s="171">
        <v>110</v>
      </c>
      <c r="B125" s="168" t="s">
        <v>162</v>
      </c>
      <c r="C125" s="169" t="s">
        <v>29</v>
      </c>
      <c r="D125" s="26">
        <v>56581571357.352005</v>
      </c>
      <c r="E125" s="27">
        <f t="shared" si="78"/>
        <v>2.9812924275078513E-2</v>
      </c>
      <c r="F125" s="26">
        <v>196207.56400000001</v>
      </c>
      <c r="G125" s="26">
        <v>196207.56400000001</v>
      </c>
      <c r="H125" s="29">
        <v>2512</v>
      </c>
      <c r="I125" s="47">
        <v>2.8999999999999998E-3</v>
      </c>
      <c r="J125" s="47">
        <v>6.2300000000000001E-2</v>
      </c>
      <c r="K125" s="26">
        <f>38833554.2*W135</f>
        <v>56509539565.876602</v>
      </c>
      <c r="L125" s="27">
        <f t="shared" si="67"/>
        <v>2.9481987397653744E-2</v>
      </c>
      <c r="M125" s="26">
        <f>134.45*W135</f>
        <v>195648.00984999997</v>
      </c>
      <c r="N125" s="26">
        <f>134.45*W135</f>
        <v>195648.00984999997</v>
      </c>
      <c r="O125" s="29">
        <v>2515</v>
      </c>
      <c r="P125" s="47">
        <v>1.4E-3</v>
      </c>
      <c r="Q125" s="47">
        <v>6.3799999999999996E-2</v>
      </c>
      <c r="R125" s="54">
        <f t="shared" si="68"/>
        <v>-1.2730609940199776E-3</v>
      </c>
      <c r="S125" s="54">
        <f t="shared" si="69"/>
        <v>-2.8518480052075867E-3</v>
      </c>
      <c r="T125" s="54">
        <f t="shared" si="70"/>
        <v>1.1942675159235668E-3</v>
      </c>
      <c r="U125" s="54">
        <f t="shared" si="71"/>
        <v>-1.4999999999999998E-3</v>
      </c>
      <c r="V125" s="55">
        <f t="shared" si="72"/>
        <v>1.4999999999999944E-3</v>
      </c>
    </row>
    <row r="126" spans="1:28">
      <c r="A126" s="171">
        <v>111</v>
      </c>
      <c r="B126" s="174" t="s">
        <v>163</v>
      </c>
      <c r="C126" s="174" t="s">
        <v>29</v>
      </c>
      <c r="D126" s="26">
        <v>164718521768.142</v>
      </c>
      <c r="E126" s="27">
        <f t="shared" si="78"/>
        <v>8.6790463721160074E-2</v>
      </c>
      <c r="F126" s="26">
        <v>185013.24</v>
      </c>
      <c r="G126" s="26">
        <v>185013.24</v>
      </c>
      <c r="H126" s="29">
        <v>974</v>
      </c>
      <c r="I126" s="47">
        <v>1.6999999999999999E-3</v>
      </c>
      <c r="J126" s="47">
        <v>6.6299999999999998E-2</v>
      </c>
      <c r="K126" s="26">
        <f>113561113.89*W135</f>
        <v>165251066782.65298</v>
      </c>
      <c r="L126" s="27">
        <f t="shared" si="67"/>
        <v>8.6214290644777036E-2</v>
      </c>
      <c r="M126" s="26">
        <f>126.79*W135</f>
        <v>184501.38467</v>
      </c>
      <c r="N126" s="26">
        <f>126.79*1461.4</f>
        <v>185290.90600000002</v>
      </c>
      <c r="O126" s="29">
        <v>978</v>
      </c>
      <c r="P126" s="47">
        <v>1.5E-3</v>
      </c>
      <c r="Q126" s="47">
        <v>6.7900000000000002E-2</v>
      </c>
      <c r="R126" s="54">
        <f t="shared" si="68"/>
        <v>3.2330609138211995E-3</v>
      </c>
      <c r="S126" s="54">
        <f t="shared" si="69"/>
        <v>1.5007898894156253E-3</v>
      </c>
      <c r="T126" s="54">
        <f t="shared" si="70"/>
        <v>4.1067761806981521E-3</v>
      </c>
      <c r="U126" s="54">
        <f t="shared" si="71"/>
        <v>-1.9999999999999987E-4</v>
      </c>
      <c r="V126" s="55">
        <f t="shared" si="72"/>
        <v>1.6000000000000042E-3</v>
      </c>
      <c r="X126" s="61"/>
    </row>
    <row r="127" spans="1:28">
      <c r="A127" s="171">
        <v>112</v>
      </c>
      <c r="B127" s="168" t="s">
        <v>298</v>
      </c>
      <c r="C127" s="169" t="s">
        <v>297</v>
      </c>
      <c r="D127" s="26">
        <v>2317769674.9921918</v>
      </c>
      <c r="E127" s="27">
        <f t="shared" si="78"/>
        <v>1.2212367056970575E-3</v>
      </c>
      <c r="F127" s="26">
        <v>1465.6776</v>
      </c>
      <c r="G127" s="26">
        <v>1465.6776</v>
      </c>
      <c r="H127" s="29">
        <v>16</v>
      </c>
      <c r="I127" s="47">
        <v>8.7400000000000005E-2</v>
      </c>
      <c r="J127" s="47">
        <v>8.6599999999999996E-2</v>
      </c>
      <c r="K127" s="26">
        <f>1583850.12*W135</f>
        <v>2304775930.6707602</v>
      </c>
      <c r="L127" s="27">
        <f t="shared" si="67"/>
        <v>1.2024407819362661E-3</v>
      </c>
      <c r="M127" s="26">
        <f>1*W135</f>
        <v>1455.173</v>
      </c>
      <c r="N127" s="26">
        <f>1*W135</f>
        <v>1455.173</v>
      </c>
      <c r="O127" s="29">
        <v>16</v>
      </c>
      <c r="P127" s="47">
        <v>8.7400000000000005E-2</v>
      </c>
      <c r="Q127" s="47">
        <v>8.6599999999999996E-2</v>
      </c>
      <c r="R127" s="54">
        <f t="shared" ref="R127" si="79">((K127-D127)/D127)</f>
        <v>-5.6061413097379534E-3</v>
      </c>
      <c r="S127" s="54">
        <f t="shared" ref="S127" si="80">((N127-G127)/G127)</f>
        <v>-7.1670604776930356E-3</v>
      </c>
      <c r="T127" s="54">
        <f t="shared" si="70"/>
        <v>0</v>
      </c>
      <c r="U127" s="54">
        <f t="shared" si="71"/>
        <v>0</v>
      </c>
      <c r="V127" s="55">
        <f t="shared" si="72"/>
        <v>0</v>
      </c>
    </row>
    <row r="128" spans="1:28">
      <c r="A128" s="171">
        <v>113</v>
      </c>
      <c r="B128" s="168" t="s">
        <v>164</v>
      </c>
      <c r="C128" s="169" t="s">
        <v>33</v>
      </c>
      <c r="D128" s="26">
        <v>217422689.767728</v>
      </c>
      <c r="E128" s="27">
        <f t="shared" si="78"/>
        <v>1.1456037770302953E-4</v>
      </c>
      <c r="F128" s="26">
        <v>193601.354184</v>
      </c>
      <c r="G128" s="26">
        <v>193601.354184</v>
      </c>
      <c r="H128" s="29">
        <v>9</v>
      </c>
      <c r="I128" s="47">
        <v>2.3E-3</v>
      </c>
      <c r="J128" s="47">
        <v>0.16239999999999999</v>
      </c>
      <c r="K128" s="26">
        <f>148679.11*W135</f>
        <v>216353826.53602999</v>
      </c>
      <c r="L128" s="27">
        <f t="shared" si="67"/>
        <v>1.1287546910435447E-4</v>
      </c>
      <c r="M128" s="26">
        <f>132.39*W135</f>
        <v>192650.35346999997</v>
      </c>
      <c r="N128" s="26">
        <f>132.39*W135</f>
        <v>192650.35346999997</v>
      </c>
      <c r="O128" s="29">
        <v>9</v>
      </c>
      <c r="P128" s="47">
        <v>2.3E-3</v>
      </c>
      <c r="Q128" s="47">
        <v>0.1676</v>
      </c>
      <c r="R128" s="54">
        <f t="shared" si="68"/>
        <v>-4.9160611196553119E-3</v>
      </c>
      <c r="S128" s="54">
        <f t="shared" si="69"/>
        <v>-4.9121594113240869E-3</v>
      </c>
      <c r="T128" s="54">
        <f t="shared" si="70"/>
        <v>0</v>
      </c>
      <c r="U128" s="54">
        <f t="shared" si="71"/>
        <v>0</v>
      </c>
      <c r="V128" s="55">
        <f t="shared" si="72"/>
        <v>5.2000000000000102E-3</v>
      </c>
    </row>
    <row r="129" spans="1:24">
      <c r="A129" s="171">
        <v>114</v>
      </c>
      <c r="B129" s="168" t="s">
        <v>165</v>
      </c>
      <c r="C129" s="169" t="s">
        <v>39</v>
      </c>
      <c r="D129" s="26">
        <v>15334497041.16156</v>
      </c>
      <c r="E129" s="27">
        <f t="shared" si="78"/>
        <v>8.0797720550608663E-3</v>
      </c>
      <c r="F129" s="26">
        <v>2110.5757439999998</v>
      </c>
      <c r="G129" s="26">
        <v>2110.5757439999998</v>
      </c>
      <c r="H129" s="43">
        <v>110</v>
      </c>
      <c r="I129" s="50">
        <v>3.3999999999999998E-3</v>
      </c>
      <c r="J129" s="50">
        <v>5.4100000000000002E-2</v>
      </c>
      <c r="K129" s="26">
        <f>10463425.44*W135</f>
        <v>15226094187.801119</v>
      </c>
      <c r="L129" s="27">
        <f t="shared" si="67"/>
        <v>7.9437121662783456E-3</v>
      </c>
      <c r="M129" s="26">
        <f>1.44*W135</f>
        <v>2095.4491199999998</v>
      </c>
      <c r="N129" s="26">
        <f>1.44*W135</f>
        <v>2095.4491199999998</v>
      </c>
      <c r="O129" s="43">
        <v>110</v>
      </c>
      <c r="P129" s="50">
        <v>2.9999999999999997E-4</v>
      </c>
      <c r="Q129" s="50">
        <v>5.33E-2</v>
      </c>
      <c r="R129" s="54">
        <f t="shared" si="68"/>
        <v>-7.0692147952072567E-3</v>
      </c>
      <c r="S129" s="54">
        <f t="shared" si="69"/>
        <v>-7.1670604776930451E-3</v>
      </c>
      <c r="T129" s="54">
        <f t="shared" si="70"/>
        <v>0</v>
      </c>
      <c r="U129" s="54">
        <f t="shared" si="71"/>
        <v>-3.0999999999999999E-3</v>
      </c>
      <c r="V129" s="55">
        <f t="shared" si="72"/>
        <v>-8.000000000000021E-4</v>
      </c>
    </row>
    <row r="130" spans="1:24">
      <c r="A130" s="171">
        <v>115</v>
      </c>
      <c r="B130" s="168" t="s">
        <v>166</v>
      </c>
      <c r="C130" s="169" t="s">
        <v>85</v>
      </c>
      <c r="D130" s="26">
        <v>34385036867.126396</v>
      </c>
      <c r="E130" s="27">
        <f t="shared" si="78"/>
        <v>1.8117533248433227E-2</v>
      </c>
      <c r="F130" s="26">
        <v>151565.72061600001</v>
      </c>
      <c r="G130" s="26">
        <v>151565.72061600001</v>
      </c>
      <c r="H130" s="29">
        <v>782</v>
      </c>
      <c r="I130" s="50">
        <v>1.6999999999999999E-3</v>
      </c>
      <c r="J130" s="47">
        <v>9.2799999999999994E-2</v>
      </c>
      <c r="K130" s="26">
        <f>23460744*W135</f>
        <v>34139441228.712002</v>
      </c>
      <c r="L130" s="27">
        <f t="shared" si="67"/>
        <v>1.781112682566616E-2</v>
      </c>
      <c r="M130" s="26">
        <f>103.43*W135</f>
        <v>150508.54339000001</v>
      </c>
      <c r="N130" s="26">
        <f>103.43*W135</f>
        <v>150508.54339000001</v>
      </c>
      <c r="O130" s="29">
        <v>788</v>
      </c>
      <c r="P130" s="50">
        <v>1E-4</v>
      </c>
      <c r="Q130" s="47">
        <v>9.06E-2</v>
      </c>
      <c r="R130" s="54">
        <f t="shared" si="68"/>
        <v>-7.1425149073838737E-3</v>
      </c>
      <c r="S130" s="54">
        <f t="shared" si="69"/>
        <v>-6.9750417291150934E-3</v>
      </c>
      <c r="T130" s="54">
        <f t="shared" si="70"/>
        <v>7.6726342710997444E-3</v>
      </c>
      <c r="U130" s="54">
        <f t="shared" si="71"/>
        <v>-1.5999999999999999E-3</v>
      </c>
      <c r="V130" s="55">
        <f t="shared" si="72"/>
        <v>-2.1999999999999936E-3</v>
      </c>
    </row>
    <row r="131" spans="1:24">
      <c r="A131" s="171">
        <v>116</v>
      </c>
      <c r="B131" s="168" t="s">
        <v>167</v>
      </c>
      <c r="C131" s="169" t="s">
        <v>43</v>
      </c>
      <c r="D131" s="26">
        <v>2887004997.6796322</v>
      </c>
      <c r="E131" s="27">
        <f t="shared" si="78"/>
        <v>1.5211677461907827E-3</v>
      </c>
      <c r="F131" s="26">
        <v>204330.11421599999</v>
      </c>
      <c r="G131" s="26">
        <v>212142.17582400001</v>
      </c>
      <c r="H131" s="29">
        <v>50</v>
      </c>
      <c r="I131" s="47">
        <v>0</v>
      </c>
      <c r="J131" s="47">
        <v>-2.4199999999999999E-2</v>
      </c>
      <c r="K131" s="26">
        <f>1730887.59*W135</f>
        <v>2518740887.0030704</v>
      </c>
      <c r="L131" s="27">
        <f t="shared" si="67"/>
        <v>1.3140699368469155E-3</v>
      </c>
      <c r="M131" s="26">
        <f>139.49*W135</f>
        <v>202982.08177000002</v>
      </c>
      <c r="N131" s="26">
        <f>144.74*W135</f>
        <v>210621.74002000003</v>
      </c>
      <c r="O131" s="29">
        <v>50</v>
      </c>
      <c r="P131" s="47">
        <v>0</v>
      </c>
      <c r="Q131" s="47">
        <v>-2.4199999999999999E-2</v>
      </c>
      <c r="R131" s="54">
        <f t="shared" ref="R131:R132" si="81">((K131-D131)/D131)</f>
        <v>-0.12755922174452283</v>
      </c>
      <c r="S131" s="54">
        <f t="shared" ref="S131:S132" si="82">((N131-G131)/G131)</f>
        <v>-7.167060477692948E-3</v>
      </c>
      <c r="T131" s="54">
        <f t="shared" ref="T131:T132" si="83">((O131-H131)/H131)</f>
        <v>0</v>
      </c>
      <c r="U131" s="54">
        <f t="shared" ref="U131:U132" si="84">P131-I131</f>
        <v>0</v>
      </c>
      <c r="V131" s="55">
        <f t="shared" ref="V131:V132" si="85">Q131-J131</f>
        <v>0</v>
      </c>
    </row>
    <row r="132" spans="1:24">
      <c r="A132" s="171">
        <v>117</v>
      </c>
      <c r="B132" s="168" t="s">
        <v>168</v>
      </c>
      <c r="C132" s="169" t="s">
        <v>50</v>
      </c>
      <c r="D132" s="30">
        <v>171236514173.31201</v>
      </c>
      <c r="E132" s="27">
        <f t="shared" si="78"/>
        <v>9.0224804785560733E-2</v>
      </c>
      <c r="F132" s="26">
        <v>179756.58420000001</v>
      </c>
      <c r="G132" s="26">
        <v>179756.58420000001</v>
      </c>
      <c r="H132" s="29">
        <v>3995</v>
      </c>
      <c r="I132" s="47">
        <v>1E-4</v>
      </c>
      <c r="J132" s="47">
        <v>8.3400000000000002E-2</v>
      </c>
      <c r="K132" s="30">
        <f xml:space="preserve"> 117075259.78*1459.61</f>
        <v>170884219927.48578</v>
      </c>
      <c r="L132" s="27">
        <f t="shared" si="67"/>
        <v>8.9153202398453743E-2</v>
      </c>
      <c r="M132" s="26">
        <f>123.1529*1459.61</f>
        <v>179755.20436899998</v>
      </c>
      <c r="N132" s="26">
        <f>123.1529*1459.61</f>
        <v>179755.20436899998</v>
      </c>
      <c r="O132" s="29">
        <v>3982</v>
      </c>
      <c r="P132" s="47">
        <v>1.1000000000000001E-3</v>
      </c>
      <c r="Q132" s="47">
        <v>8.5500000000000007E-2</v>
      </c>
      <c r="R132" s="54">
        <f t="shared" si="81"/>
        <v>-2.0573546917082687E-3</v>
      </c>
      <c r="S132" s="54">
        <f t="shared" si="82"/>
        <v>-7.6761082558859593E-6</v>
      </c>
      <c r="T132" s="54">
        <f t="shared" si="83"/>
        <v>-3.2540675844806009E-3</v>
      </c>
      <c r="U132" s="54">
        <f t="shared" si="84"/>
        <v>1E-3</v>
      </c>
      <c r="V132" s="55">
        <f t="shared" si="85"/>
        <v>2.1000000000000046E-3</v>
      </c>
    </row>
    <row r="133" spans="1:24" ht="6" customHeight="1">
      <c r="A133" s="140"/>
      <c r="B133" s="181"/>
      <c r="C133" s="181"/>
      <c r="D133" s="181"/>
      <c r="E133" s="181"/>
      <c r="F133" s="181"/>
      <c r="G133" s="181"/>
      <c r="H133" s="181"/>
      <c r="I133" s="181"/>
      <c r="J133" s="181"/>
      <c r="K133" s="181"/>
      <c r="L133" s="181"/>
      <c r="M133" s="181"/>
      <c r="N133" s="181"/>
      <c r="O133" s="181"/>
      <c r="P133" s="181"/>
      <c r="Q133" s="181"/>
      <c r="R133" s="181"/>
      <c r="S133" s="181"/>
      <c r="T133" s="181"/>
      <c r="U133" s="181"/>
      <c r="V133" s="181"/>
    </row>
    <row r="134" spans="1:24">
      <c r="A134" s="182" t="s">
        <v>169</v>
      </c>
      <c r="B134" s="182"/>
      <c r="C134" s="182"/>
      <c r="D134" s="182"/>
      <c r="E134" s="182"/>
      <c r="F134" s="182"/>
      <c r="G134" s="182"/>
      <c r="H134" s="182"/>
      <c r="I134" s="182"/>
      <c r="J134" s="182"/>
      <c r="K134" s="182"/>
      <c r="L134" s="182"/>
      <c r="M134" s="182"/>
      <c r="N134" s="182"/>
      <c r="O134" s="182"/>
      <c r="P134" s="182"/>
      <c r="Q134" s="182"/>
      <c r="R134" s="182"/>
      <c r="S134" s="182"/>
      <c r="T134" s="182"/>
      <c r="U134" s="182"/>
      <c r="V134" s="182"/>
    </row>
    <row r="135" spans="1:24">
      <c r="A135" s="171">
        <v>118</v>
      </c>
      <c r="B135" s="168" t="s">
        <v>170</v>
      </c>
      <c r="C135" s="169" t="s">
        <v>113</v>
      </c>
      <c r="D135" s="30">
        <v>1526925995.1037199</v>
      </c>
      <c r="E135" s="27">
        <f>(D135/$D$154)</f>
        <v>8.0453985235178741E-4</v>
      </c>
      <c r="F135" s="26">
        <v>168670.178208</v>
      </c>
      <c r="G135" s="26">
        <v>168670.178208</v>
      </c>
      <c r="H135" s="29">
        <v>23</v>
      </c>
      <c r="I135" s="47">
        <v>2.3E-3</v>
      </c>
      <c r="J135" s="47">
        <v>0.14360000000000001</v>
      </c>
      <c r="K135" s="30">
        <f>1032697.1*W135</f>
        <v>1502752937.0983</v>
      </c>
      <c r="L135" s="27">
        <f t="shared" ref="L135:L153" si="86">(K135/$K$154)</f>
        <v>7.8401175259393513E-4</v>
      </c>
      <c r="M135" s="26">
        <f>114.07*W135</f>
        <v>165991.58411</v>
      </c>
      <c r="N135" s="26">
        <f>114.07*W135</f>
        <v>165991.58411</v>
      </c>
      <c r="O135" s="29">
        <v>23</v>
      </c>
      <c r="P135" s="47">
        <v>-8.8000000000000005E-3</v>
      </c>
      <c r="Q135" s="47">
        <v>0.13009999999999999</v>
      </c>
      <c r="R135" s="54">
        <f>((K135-D135)/D135)</f>
        <v>-1.5831191611730966E-2</v>
      </c>
      <c r="S135" s="54">
        <f>((N135-G135)/G135)</f>
        <v>-1.5880662049795335E-2</v>
      </c>
      <c r="T135" s="54">
        <f>((O135-H135)/H135)</f>
        <v>0</v>
      </c>
      <c r="U135" s="54">
        <f>P135-I135</f>
        <v>-1.11E-2</v>
      </c>
      <c r="V135" s="55">
        <f>Q135-J135</f>
        <v>-1.3500000000000012E-2</v>
      </c>
      <c r="W135" s="131">
        <v>1455.173</v>
      </c>
    </row>
    <row r="136" spans="1:24">
      <c r="A136" s="171">
        <v>119</v>
      </c>
      <c r="B136" s="169" t="s">
        <v>171</v>
      </c>
      <c r="C136" s="169" t="s">
        <v>23</v>
      </c>
      <c r="D136" s="26">
        <v>22901987535.658104</v>
      </c>
      <c r="E136" s="27">
        <f t="shared" ref="E136:E153" si="87">(D136/$D$154)</f>
        <v>1.2067095412341348E-2</v>
      </c>
      <c r="F136" s="30">
        <v>196737.90424799998</v>
      </c>
      <c r="G136" s="30">
        <v>196737.90424799998</v>
      </c>
      <c r="H136" s="29">
        <v>627</v>
      </c>
      <c r="I136" s="47">
        <v>5.0000000000000001E-4</v>
      </c>
      <c r="J136" s="47">
        <v>4.82E-2</v>
      </c>
      <c r="K136" s="26">
        <f xml:space="preserve"> 15694142.18*W135</f>
        <v>22837691958.497139</v>
      </c>
      <c r="L136" s="27">
        <f t="shared" si="86"/>
        <v>1.1914812112864654E-2</v>
      </c>
      <c r="M136" s="30">
        <f>134.4*W135</f>
        <v>195575.2512</v>
      </c>
      <c r="N136" s="30">
        <f>134.4*W135</f>
        <v>195575.2512</v>
      </c>
      <c r="O136" s="29">
        <v>629</v>
      </c>
      <c r="P136" s="47">
        <v>5.0000000000000001E-4</v>
      </c>
      <c r="Q136" s="47">
        <v>4.9500000000000002E-2</v>
      </c>
      <c r="R136" s="54">
        <f t="shared" ref="R136:R154" si="88">((K136-D136)/D136)</f>
        <v>-2.8074234631757428E-3</v>
      </c>
      <c r="S136" s="54">
        <f t="shared" ref="S136:S154" si="89">((N136-G136)/G136)</f>
        <v>-5.9096545347681658E-3</v>
      </c>
      <c r="T136" s="54">
        <f t="shared" ref="T136:T154" si="90">((O136-H136)/H136)</f>
        <v>3.189792663476874E-3</v>
      </c>
      <c r="U136" s="54">
        <f t="shared" ref="U136:U154" si="91">P136-I136</f>
        <v>0</v>
      </c>
      <c r="V136" s="55">
        <f t="shared" ref="V136:V154" si="92">Q136-J136</f>
        <v>1.3000000000000025E-3</v>
      </c>
    </row>
    <row r="137" spans="1:24">
      <c r="A137" s="171">
        <v>120</v>
      </c>
      <c r="B137" s="169" t="s">
        <v>321</v>
      </c>
      <c r="C137" s="169" t="s">
        <v>320</v>
      </c>
      <c r="D137" s="26">
        <v>349767426.39667201</v>
      </c>
      <c r="E137" s="27">
        <f t="shared" si="87"/>
        <v>1.8429304006415079E-4</v>
      </c>
      <c r="F137" s="30">
        <v>146567.76</v>
      </c>
      <c r="G137" s="30">
        <v>146567.76</v>
      </c>
      <c r="H137" s="29">
        <v>12</v>
      </c>
      <c r="I137" s="47">
        <v>5.9999999999999995E-4</v>
      </c>
      <c r="J137" s="47">
        <v>5.9999999999999995E-4</v>
      </c>
      <c r="K137" s="26">
        <f>221303.62*W135</f>
        <v>322035052.62625998</v>
      </c>
      <c r="L137" s="27">
        <f t="shared" si="86"/>
        <v>1.6801116123167404E-4</v>
      </c>
      <c r="M137" s="30">
        <f>100*W135</f>
        <v>145517.29999999999</v>
      </c>
      <c r="N137" s="30">
        <f>100*W135</f>
        <v>145517.29999999999</v>
      </c>
      <c r="O137" s="29">
        <v>12</v>
      </c>
      <c r="P137" s="47">
        <v>0</v>
      </c>
      <c r="Q137" s="47">
        <v>7.7000000000000002E-3</v>
      </c>
      <c r="R137" s="54">
        <v>0</v>
      </c>
      <c r="S137" s="54">
        <f t="shared" ref="S137" si="93">((N137-G137)/G137)</f>
        <v>-7.1670604776931908E-3</v>
      </c>
      <c r="T137" s="54">
        <f t="shared" ref="T137" si="94">((O137-H137)/H137)</f>
        <v>0</v>
      </c>
      <c r="U137" s="54">
        <f t="shared" ref="U137" si="95">P137-I137</f>
        <v>-5.9999999999999995E-4</v>
      </c>
      <c r="V137" s="55">
        <f t="shared" ref="V137" si="96">Q137-J137</f>
        <v>7.1000000000000004E-3</v>
      </c>
    </row>
    <row r="138" spans="1:24">
      <c r="A138" s="171">
        <v>121</v>
      </c>
      <c r="B138" s="168" t="s">
        <v>172</v>
      </c>
      <c r="C138" s="169" t="s">
        <v>65</v>
      </c>
      <c r="D138" s="30">
        <v>16267487287.48</v>
      </c>
      <c r="E138" s="27">
        <f t="shared" si="87"/>
        <v>8.5713661712300045E-3</v>
      </c>
      <c r="F138" s="30">
        <v>171756</v>
      </c>
      <c r="G138" s="30">
        <v>171756</v>
      </c>
      <c r="H138" s="29">
        <v>442</v>
      </c>
      <c r="I138" s="47">
        <v>2.5000000000000001E-3</v>
      </c>
      <c r="J138" s="47">
        <v>6.6500000000000004E-2</v>
      </c>
      <c r="K138" s="30">
        <v>16357597091.08</v>
      </c>
      <c r="L138" s="27">
        <f t="shared" ref="L138:L139" si="97">(K138/$K$112)</f>
        <v>6.8219113131076828E-2</v>
      </c>
      <c r="M138" s="30">
        <v>171976.2</v>
      </c>
      <c r="N138" s="30">
        <v>171976.2</v>
      </c>
      <c r="O138" s="29">
        <v>442</v>
      </c>
      <c r="P138" s="47">
        <v>3.8E-3</v>
      </c>
      <c r="Q138" s="47">
        <v>6.6500000000000004E-2</v>
      </c>
      <c r="R138" s="54">
        <f t="shared" si="88"/>
        <v>5.5392576620823235E-3</v>
      </c>
      <c r="S138" s="54">
        <f t="shared" si="89"/>
        <v>1.2820512820513499E-3</v>
      </c>
      <c r="T138" s="54">
        <f t="shared" si="90"/>
        <v>0</v>
      </c>
      <c r="U138" s="54">
        <f t="shared" si="91"/>
        <v>1.2999999999999999E-3</v>
      </c>
      <c r="V138" s="55">
        <f t="shared" si="92"/>
        <v>0</v>
      </c>
    </row>
    <row r="139" spans="1:24">
      <c r="A139" s="171">
        <v>122</v>
      </c>
      <c r="B139" s="168" t="s">
        <v>293</v>
      </c>
      <c r="C139" s="169" t="s">
        <v>294</v>
      </c>
      <c r="D139" s="26">
        <v>185042397.927816</v>
      </c>
      <c r="E139" s="27">
        <f t="shared" ref="E139" si="98">(D139/$D$112)</f>
        <v>7.8361916866435683E-4</v>
      </c>
      <c r="F139" s="32">
        <v>1461.2805672</v>
      </c>
      <c r="G139" s="32">
        <v>1461.2805672</v>
      </c>
      <c r="H139" s="29">
        <v>3</v>
      </c>
      <c r="I139" s="47">
        <v>1.2999999999999999E-3</v>
      </c>
      <c r="J139" s="47">
        <v>7.3499999999999996E-2</v>
      </c>
      <c r="K139" s="26">
        <f>126410.48*W135</f>
        <v>183949117.41303998</v>
      </c>
      <c r="L139" s="27">
        <f t="shared" si="97"/>
        <v>7.6715703298530012E-4</v>
      </c>
      <c r="M139" s="32">
        <f>0.9982*W135</f>
        <v>1452.5536886</v>
      </c>
      <c r="N139" s="32">
        <f>0.9982*W135</f>
        <v>1452.5536886</v>
      </c>
      <c r="O139" s="29">
        <v>3</v>
      </c>
      <c r="P139" s="47">
        <v>1.1999999999999999E-3</v>
      </c>
      <c r="Q139" s="47">
        <v>5.4699999999999999E-2</v>
      </c>
      <c r="R139" s="53">
        <f t="shared" si="88"/>
        <v>-5.9082703586801968E-3</v>
      </c>
      <c r="S139" s="53">
        <f t="shared" si="89"/>
        <v>-5.9720759968236465E-3</v>
      </c>
      <c r="T139" s="53">
        <f t="shared" si="90"/>
        <v>0</v>
      </c>
      <c r="U139" s="54">
        <f t="shared" si="91"/>
        <v>-1.0000000000000005E-4</v>
      </c>
      <c r="V139" s="55">
        <f t="shared" si="92"/>
        <v>-1.8799999999999997E-2</v>
      </c>
    </row>
    <row r="140" spans="1:24">
      <c r="A140" s="171">
        <v>123</v>
      </c>
      <c r="B140" s="168" t="s">
        <v>173</v>
      </c>
      <c r="C140" s="169" t="s">
        <v>63</v>
      </c>
      <c r="D140" s="30">
        <v>10157231556.440001</v>
      </c>
      <c r="E140" s="27">
        <f t="shared" si="87"/>
        <v>5.3518622401644679E-3</v>
      </c>
      <c r="F140" s="30">
        <v>1936.42</v>
      </c>
      <c r="G140" s="30">
        <v>1936.42</v>
      </c>
      <c r="H140" s="29">
        <v>293</v>
      </c>
      <c r="I140" s="47">
        <v>6.6699999999999995E-2</v>
      </c>
      <c r="J140" s="47">
        <v>6.6600000000000006E-2</v>
      </c>
      <c r="K140" s="30">
        <v>10157231556.440001</v>
      </c>
      <c r="L140" s="27">
        <f t="shared" si="86"/>
        <v>5.2992003658589668E-3</v>
      </c>
      <c r="M140" s="30">
        <v>1936.42</v>
      </c>
      <c r="N140" s="30">
        <v>1936.42</v>
      </c>
      <c r="O140" s="29">
        <v>293</v>
      </c>
      <c r="P140" s="47">
        <v>6.6699999999999995E-2</v>
      </c>
      <c r="Q140" s="47">
        <v>6.6600000000000006E-2</v>
      </c>
      <c r="R140" s="54">
        <f t="shared" si="88"/>
        <v>0</v>
      </c>
      <c r="S140" s="54">
        <f t="shared" si="89"/>
        <v>0</v>
      </c>
      <c r="T140" s="53">
        <f t="shared" si="90"/>
        <v>0</v>
      </c>
      <c r="U140" s="54">
        <f t="shared" si="91"/>
        <v>0</v>
      </c>
      <c r="V140" s="55">
        <f t="shared" si="92"/>
        <v>0</v>
      </c>
    </row>
    <row r="141" spans="1:24">
      <c r="A141" s="171">
        <v>124</v>
      </c>
      <c r="B141" s="168" t="s">
        <v>318</v>
      </c>
      <c r="C141" s="169" t="s">
        <v>78</v>
      </c>
      <c r="D141" s="30">
        <v>485683271.84124005</v>
      </c>
      <c r="E141" s="27">
        <f t="shared" si="87"/>
        <v>2.5590732561360421E-4</v>
      </c>
      <c r="F141" s="30">
        <v>1494.9911520000001</v>
      </c>
      <c r="G141" s="30">
        <v>1494.9911520000001</v>
      </c>
      <c r="H141" s="29">
        <v>10</v>
      </c>
      <c r="I141" s="47">
        <v>2.9999999999999997E-4</v>
      </c>
      <c r="J141" s="47">
        <v>2.3E-2</v>
      </c>
      <c r="K141" s="30">
        <f>331509.29*W135</f>
        <v>482403368.05716997</v>
      </c>
      <c r="L141" s="27">
        <f t="shared" si="86"/>
        <v>2.5167803749431567E-4</v>
      </c>
      <c r="M141" s="30">
        <f>1.02*W135</f>
        <v>1484.27646</v>
      </c>
      <c r="N141" s="30">
        <f>1.02*W135</f>
        <v>1484.27646</v>
      </c>
      <c r="O141" s="29">
        <v>14</v>
      </c>
      <c r="P141" s="47">
        <v>4.0000000000000002E-4</v>
      </c>
      <c r="Q141" s="47">
        <v>2.35E-2</v>
      </c>
      <c r="R141" s="54">
        <f t="shared" si="88"/>
        <v>-6.7531742891532159E-3</v>
      </c>
      <c r="S141" s="54">
        <f t="shared" si="89"/>
        <v>-7.1670604776930564E-3</v>
      </c>
      <c r="T141" s="53">
        <f t="shared" si="90"/>
        <v>0.4</v>
      </c>
      <c r="U141" s="54">
        <f t="shared" si="91"/>
        <v>1.0000000000000005E-4</v>
      </c>
      <c r="V141" s="55">
        <f t="shared" si="92"/>
        <v>5.0000000000000044E-4</v>
      </c>
    </row>
    <row r="142" spans="1:24">
      <c r="A142" s="171">
        <v>125</v>
      </c>
      <c r="B142" s="168" t="s">
        <v>300</v>
      </c>
      <c r="C142" s="169" t="s">
        <v>35</v>
      </c>
      <c r="D142" s="30">
        <v>102073689752.321</v>
      </c>
      <c r="E142" s="27">
        <f t="shared" si="87"/>
        <v>5.3782797297098964E-2</v>
      </c>
      <c r="F142" s="30">
        <v>147535</v>
      </c>
      <c r="G142" s="30">
        <v>147535</v>
      </c>
      <c r="H142" s="29">
        <v>2012</v>
      </c>
      <c r="I142" s="47">
        <v>5.7700000000000001E-2</v>
      </c>
      <c r="J142" s="47">
        <v>5.1700000000000003E-2</v>
      </c>
      <c r="K142" s="30">
        <v>103804423648.76401</v>
      </c>
      <c r="L142" s="27">
        <f t="shared" si="86"/>
        <v>5.4156532389826366E-2</v>
      </c>
      <c r="M142" s="30">
        <f>100*1475.35</f>
        <v>147535</v>
      </c>
      <c r="N142" s="30">
        <f>100*1475.35</f>
        <v>147535</v>
      </c>
      <c r="O142" s="29">
        <v>2046</v>
      </c>
      <c r="P142" s="47">
        <v>6.0100000000000001E-2</v>
      </c>
      <c r="Q142" s="47">
        <v>5.1900000000000002E-2</v>
      </c>
      <c r="R142" s="54">
        <f t="shared" si="88"/>
        <v>1.6955729734494624E-2</v>
      </c>
      <c r="S142" s="54">
        <f t="shared" si="89"/>
        <v>0</v>
      </c>
      <c r="T142" s="54">
        <f t="shared" si="90"/>
        <v>1.6898608349900597E-2</v>
      </c>
      <c r="U142" s="54">
        <f t="shared" si="91"/>
        <v>2.3999999999999994E-3</v>
      </c>
      <c r="V142" s="55">
        <f t="shared" si="92"/>
        <v>1.9999999999999879E-4</v>
      </c>
    </row>
    <row r="143" spans="1:24" ht="15.6">
      <c r="A143" s="171">
        <v>126</v>
      </c>
      <c r="B143" s="168" t="s">
        <v>174</v>
      </c>
      <c r="C143" s="169" t="s">
        <v>130</v>
      </c>
      <c r="D143" s="30">
        <v>1377795981.4937279</v>
      </c>
      <c r="E143" s="27">
        <f t="shared" si="87"/>
        <v>7.2596299956669019E-4</v>
      </c>
      <c r="F143" s="30">
        <v>1656.2156879999998</v>
      </c>
      <c r="G143" s="30">
        <v>1656.2156879999998</v>
      </c>
      <c r="H143" s="29">
        <v>53</v>
      </c>
      <c r="I143" s="47">
        <v>1.9E-3</v>
      </c>
      <c r="J143" s="47">
        <v>9.1700000000000004E-2</v>
      </c>
      <c r="K143" s="30">
        <f>928167.58*W135</f>
        <v>1350644401.89134</v>
      </c>
      <c r="L143" s="27">
        <f t="shared" si="86"/>
        <v>7.0465414408220134E-4</v>
      </c>
      <c r="M143" s="30">
        <f>1.11*W135</f>
        <v>1615.2420300000001</v>
      </c>
      <c r="N143" s="30">
        <f>1.11*W135</f>
        <v>1615.2420300000001</v>
      </c>
      <c r="O143" s="29">
        <v>53</v>
      </c>
      <c r="P143" s="47">
        <v>1.9E-3</v>
      </c>
      <c r="Q143" s="47">
        <v>9.1700000000000004E-2</v>
      </c>
      <c r="R143" s="54">
        <f t="shared" si="88"/>
        <v>-1.9706531276823518E-2</v>
      </c>
      <c r="S143" s="54">
        <f t="shared" si="89"/>
        <v>-2.4739324894016864E-2</v>
      </c>
      <c r="T143" s="54">
        <f t="shared" si="90"/>
        <v>0</v>
      </c>
      <c r="U143" s="54">
        <f t="shared" si="91"/>
        <v>0</v>
      </c>
      <c r="V143" s="55">
        <f t="shared" si="92"/>
        <v>0</v>
      </c>
      <c r="X143" s="63"/>
    </row>
    <row r="144" spans="1:24" ht="15.6">
      <c r="A144" s="171">
        <v>127</v>
      </c>
      <c r="B144" s="168" t="s">
        <v>175</v>
      </c>
      <c r="C144" s="169" t="s">
        <v>41</v>
      </c>
      <c r="D144" s="26">
        <v>7665361438.6856165</v>
      </c>
      <c r="E144" s="27">
        <f t="shared" si="87"/>
        <v>4.0388917209339256E-3</v>
      </c>
      <c r="F144" s="30">
        <v>15712.063872000001</v>
      </c>
      <c r="G144" s="30">
        <v>15712.063872000001</v>
      </c>
      <c r="H144" s="29">
        <v>156</v>
      </c>
      <c r="I144" s="47">
        <v>5.9799999999999999E-2</v>
      </c>
      <c r="J144" s="47">
        <v>7.9600000000000004E-2</v>
      </c>
      <c r="K144" s="26">
        <f>5340551.89*W135</f>
        <v>7771426915.4269695</v>
      </c>
      <c r="L144" s="27">
        <f t="shared" si="86"/>
        <v>4.0544855283294124E-3</v>
      </c>
      <c r="M144" s="30">
        <f>10.72*W135</f>
        <v>15599.45456</v>
      </c>
      <c r="N144" s="30">
        <f>10.72*W135</f>
        <v>15599.45456</v>
      </c>
      <c r="O144" s="29">
        <v>157</v>
      </c>
      <c r="P144" s="47">
        <v>7.0599999999999996E-2</v>
      </c>
      <c r="Q144" s="47">
        <v>9.0399999999999994E-2</v>
      </c>
      <c r="R144" s="54">
        <f t="shared" si="88"/>
        <v>1.3836983107679803E-2</v>
      </c>
      <c r="S144" s="54">
        <f t="shared" si="89"/>
        <v>-7.1670604776930798E-3</v>
      </c>
      <c r="T144" s="54">
        <f t="shared" si="90"/>
        <v>6.41025641025641E-3</v>
      </c>
      <c r="U144" s="54">
        <f t="shared" si="91"/>
        <v>1.0799999999999997E-2</v>
      </c>
      <c r="V144" s="55">
        <f t="shared" si="92"/>
        <v>1.079999999999999E-2</v>
      </c>
      <c r="X144" s="63"/>
    </row>
    <row r="145" spans="1:24" ht="15.6">
      <c r="A145" s="171">
        <v>128</v>
      </c>
      <c r="B145" s="169" t="s">
        <v>176</v>
      </c>
      <c r="C145" s="176" t="s">
        <v>45</v>
      </c>
      <c r="D145" s="30">
        <v>26039297021.790001</v>
      </c>
      <c r="E145" s="27">
        <f t="shared" si="87"/>
        <v>1.3720149010779144E-2</v>
      </c>
      <c r="F145" s="30">
        <v>1582.931808</v>
      </c>
      <c r="G145" s="30">
        <v>1582.931808</v>
      </c>
      <c r="H145" s="29">
        <v>460</v>
      </c>
      <c r="I145" s="47">
        <v>-9.0000000000000006E-5</v>
      </c>
      <c r="J145" s="47">
        <v>9.7900000000000001E-2</v>
      </c>
      <c r="K145" s="30">
        <v>27224732724.240002</v>
      </c>
      <c r="L145" s="27">
        <f t="shared" si="86"/>
        <v>1.4203605855695391E-2</v>
      </c>
      <c r="M145" s="30">
        <f>1.08*W135</f>
        <v>1571.5868400000002</v>
      </c>
      <c r="N145" s="30">
        <f>1.08*W135</f>
        <v>1571.5868400000002</v>
      </c>
      <c r="O145" s="29">
        <v>460</v>
      </c>
      <c r="P145" s="47">
        <v>5.9999999999999995E-4</v>
      </c>
      <c r="Q145" s="47">
        <v>9.8299999999999998E-2</v>
      </c>
      <c r="R145" s="54">
        <f t="shared" si="88"/>
        <v>4.5524873480955103E-2</v>
      </c>
      <c r="S145" s="54">
        <f t="shared" si="89"/>
        <v>-7.1670604776929723E-3</v>
      </c>
      <c r="T145" s="54">
        <f t="shared" si="90"/>
        <v>0</v>
      </c>
      <c r="U145" s="54">
        <f t="shared" si="91"/>
        <v>6.8999999999999997E-4</v>
      </c>
      <c r="V145" s="55">
        <f t="shared" si="92"/>
        <v>3.9999999999999758E-4</v>
      </c>
      <c r="X145" s="63"/>
    </row>
    <row r="146" spans="1:24">
      <c r="A146" s="171">
        <v>129</v>
      </c>
      <c r="B146" s="168" t="s">
        <v>177</v>
      </c>
      <c r="C146" s="169" t="s">
        <v>87</v>
      </c>
      <c r="D146" s="26">
        <v>438641592.08200002</v>
      </c>
      <c r="E146" s="27">
        <f t="shared" si="87"/>
        <v>2.311209861254824E-4</v>
      </c>
      <c r="F146" s="30">
        <v>1826.75</v>
      </c>
      <c r="G146" s="30">
        <v>1826.75</v>
      </c>
      <c r="H146" s="29">
        <v>2</v>
      </c>
      <c r="I146" s="47">
        <v>3.1670000000000001E-3</v>
      </c>
      <c r="J146" s="47">
        <v>0.12642700000000001</v>
      </c>
      <c r="K146" s="26">
        <f>298153.87*1459.61</f>
        <v>435188370.19069993</v>
      </c>
      <c r="L146" s="27">
        <f t="shared" si="86"/>
        <v>2.2704517049923446E-4</v>
      </c>
      <c r="M146" s="30">
        <f>1.24*1459.61</f>
        <v>1809.9163999999998</v>
      </c>
      <c r="N146" s="30">
        <f>1.24*1459.61</f>
        <v>1809.9163999999998</v>
      </c>
      <c r="O146" s="29">
        <v>2</v>
      </c>
      <c r="P146" s="47">
        <v>-6.6559999999999996E-3</v>
      </c>
      <c r="Q146" s="47">
        <v>0.11892999999999999</v>
      </c>
      <c r="R146" s="54">
        <f t="shared" si="88"/>
        <v>-7.872536379665826E-3</v>
      </c>
      <c r="S146" s="54">
        <f t="shared" si="89"/>
        <v>-9.2150540577529277E-3</v>
      </c>
      <c r="T146" s="54">
        <f t="shared" si="90"/>
        <v>0</v>
      </c>
      <c r="U146" s="54">
        <f t="shared" ref="U146" si="99">P146-I146</f>
        <v>-9.8230000000000001E-3</v>
      </c>
      <c r="V146" s="55">
        <f t="shared" ref="V146" si="100">Q146-J146</f>
        <v>-7.4970000000000175E-3</v>
      </c>
    </row>
    <row r="147" spans="1:24">
      <c r="A147" s="171">
        <v>130</v>
      </c>
      <c r="B147" s="168" t="s">
        <v>303</v>
      </c>
      <c r="C147" s="169" t="s">
        <v>301</v>
      </c>
      <c r="D147" s="26">
        <v>972513392.43415201</v>
      </c>
      <c r="E147" s="27">
        <f t="shared" si="87"/>
        <v>5.1241892774637088E-4</v>
      </c>
      <c r="F147" s="30">
        <v>1523.1321619199998</v>
      </c>
      <c r="G147" s="30">
        <v>1523.1321619199998</v>
      </c>
      <c r="H147" s="29">
        <v>8</v>
      </c>
      <c r="I147" s="47">
        <v>8.6400000000000005E-2</v>
      </c>
      <c r="J147" s="47">
        <v>6.9500000000000006E-2</v>
      </c>
      <c r="K147" s="26">
        <f>664324.56*W135</f>
        <v>966707162.94888008</v>
      </c>
      <c r="L147" s="27">
        <f t="shared" si="86"/>
        <v>5.0434755997358263E-4</v>
      </c>
      <c r="M147" s="30">
        <f>1.0405*W135</f>
        <v>1514.1075065</v>
      </c>
      <c r="N147" s="30">
        <f>1.0405*W135</f>
        <v>1514.1075065</v>
      </c>
      <c r="O147" s="29">
        <v>8</v>
      </c>
      <c r="P147" s="47">
        <v>6.7799999999999999E-2</v>
      </c>
      <c r="Q147" s="47">
        <v>6.9400000000000003E-2</v>
      </c>
      <c r="R147" s="54">
        <f t="shared" ref="R147" si="101">((K147-D147)/D147)</f>
        <v>-5.9703337048544192E-3</v>
      </c>
      <c r="S147" s="54">
        <f t="shared" ref="S147" si="102">((N147-G147)/G147)</f>
        <v>-5.9250639213236072E-3</v>
      </c>
      <c r="T147" s="54">
        <f t="shared" si="90"/>
        <v>0</v>
      </c>
      <c r="U147" s="54">
        <f t="shared" si="91"/>
        <v>-1.8600000000000005E-2</v>
      </c>
      <c r="V147" s="55">
        <f t="shared" si="92"/>
        <v>-1.0000000000000286E-4</v>
      </c>
    </row>
    <row r="148" spans="1:24">
      <c r="A148" s="171">
        <v>131</v>
      </c>
      <c r="B148" s="168" t="s">
        <v>178</v>
      </c>
      <c r="C148" s="169" t="s">
        <v>47</v>
      </c>
      <c r="D148" s="26">
        <v>1023044516820.38</v>
      </c>
      <c r="E148" s="27">
        <f t="shared" si="87"/>
        <v>0.5390438614256905</v>
      </c>
      <c r="F148" s="30">
        <v>2419.4899999999998</v>
      </c>
      <c r="G148" s="30">
        <v>2419.4899999999998</v>
      </c>
      <c r="H148" s="29">
        <v>12211</v>
      </c>
      <c r="I148" s="47">
        <v>1.1999999999999999E-3</v>
      </c>
      <c r="J148" s="47">
        <v>5.1400000000000001E-2</v>
      </c>
      <c r="K148" s="26">
        <v>1034901285341.77</v>
      </c>
      <c r="L148" s="27">
        <f t="shared" si="86"/>
        <v>0.53992559285841046</v>
      </c>
      <c r="M148" s="30">
        <v>2418.7199999999998</v>
      </c>
      <c r="N148" s="30">
        <v>2418.7199999999998</v>
      </c>
      <c r="O148" s="29">
        <v>12279</v>
      </c>
      <c r="P148" s="47">
        <v>8.9999999999999998E-4</v>
      </c>
      <c r="Q148" s="47">
        <v>5.2400000000000002E-2</v>
      </c>
      <c r="R148" s="54">
        <f t="shared" si="88"/>
        <v>1.158968972165632E-2</v>
      </c>
      <c r="S148" s="54">
        <f t="shared" si="89"/>
        <v>-3.1824888716216305E-4</v>
      </c>
      <c r="T148" s="54">
        <f t="shared" si="90"/>
        <v>5.568749488166407E-3</v>
      </c>
      <c r="U148" s="54">
        <f t="shared" si="91"/>
        <v>-2.9999999999999992E-4</v>
      </c>
      <c r="V148" s="55">
        <f t="shared" si="92"/>
        <v>1.0000000000000009E-3</v>
      </c>
    </row>
    <row r="149" spans="1:24">
      <c r="A149" s="171">
        <v>132</v>
      </c>
      <c r="B149" s="168" t="s">
        <v>285</v>
      </c>
      <c r="C149" s="168" t="s">
        <v>97</v>
      </c>
      <c r="D149" s="26">
        <v>532164041.74807197</v>
      </c>
      <c r="E149" s="27">
        <f t="shared" si="87"/>
        <v>2.8039812076540186E-4</v>
      </c>
      <c r="F149" s="30">
        <v>154643.643576</v>
      </c>
      <c r="G149" s="30">
        <v>154643.643576</v>
      </c>
      <c r="H149" s="29">
        <v>29</v>
      </c>
      <c r="I149" s="47">
        <v>0</v>
      </c>
      <c r="J149" s="47">
        <v>7.6700000000000004E-2</v>
      </c>
      <c r="K149" s="26">
        <f>365930.34*W135</f>
        <v>532491950.64882004</v>
      </c>
      <c r="L149" s="27">
        <f t="shared" si="86"/>
        <v>2.7781010248861408E-4</v>
      </c>
      <c r="M149" s="30">
        <f>105.71*W135</f>
        <v>153826.33783</v>
      </c>
      <c r="N149" s="30">
        <f>105.71*W135</f>
        <v>153826.33783</v>
      </c>
      <c r="O149" s="29">
        <v>29</v>
      </c>
      <c r="P149" s="47">
        <v>0</v>
      </c>
      <c r="Q149" s="47">
        <v>7.6799999999999993E-2</v>
      </c>
      <c r="R149" s="54">
        <f t="shared" ref="R149" si="103">((K149-D149)/D149)</f>
        <v>6.1618011557291032E-4</v>
      </c>
      <c r="S149" s="54">
        <f t="shared" ref="S149" si="104">((N149-G149)/G149)</f>
        <v>-5.2850911107660964E-3</v>
      </c>
      <c r="T149" s="54">
        <f t="shared" ref="T149" si="105">((O149-H149)/H149)</f>
        <v>0</v>
      </c>
      <c r="U149" s="54">
        <f t="shared" ref="U149" si="106">P149-I149</f>
        <v>0</v>
      </c>
      <c r="V149" s="55">
        <f t="shared" ref="V149" si="107">Q149-J149</f>
        <v>9.9999999999988987E-5</v>
      </c>
    </row>
    <row r="150" spans="1:24" ht="16.5" customHeight="1">
      <c r="A150" s="171">
        <v>133</v>
      </c>
      <c r="B150" s="168" t="s">
        <v>179</v>
      </c>
      <c r="C150" s="169" t="s">
        <v>50</v>
      </c>
      <c r="D150" s="26">
        <v>159539322594.06601</v>
      </c>
      <c r="E150" s="27">
        <f t="shared" si="87"/>
        <v>8.4061535042119176E-2</v>
      </c>
      <c r="F150" s="30">
        <v>1798.2527</v>
      </c>
      <c r="G150" s="30">
        <v>1798.2527</v>
      </c>
      <c r="H150" s="29">
        <v>849</v>
      </c>
      <c r="I150" s="47">
        <v>3.8E-3</v>
      </c>
      <c r="J150" s="47">
        <v>9.7900000000000001E-2</v>
      </c>
      <c r="K150" s="26">
        <f>109766082.49*1459.61</f>
        <v>160215671663.22888</v>
      </c>
      <c r="L150" s="27">
        <f t="shared" si="86"/>
        <v>8.3587239414249712E-2</v>
      </c>
      <c r="M150" s="30">
        <f>1.2315*1459.61</f>
        <v>1797.5097149999999</v>
      </c>
      <c r="N150" s="30">
        <f>1.2315*1459.61</f>
        <v>1797.5097149999999</v>
      </c>
      <c r="O150" s="29">
        <v>860</v>
      </c>
      <c r="P150" s="47">
        <v>8.0000000000000004E-4</v>
      </c>
      <c r="Q150" s="47">
        <v>9.6600000000000005E-2</v>
      </c>
      <c r="R150" s="54">
        <f t="shared" si="88"/>
        <v>4.2393878710628849E-3</v>
      </c>
      <c r="S150" s="54">
        <f t="shared" si="89"/>
        <v>-4.1317051824812484E-4</v>
      </c>
      <c r="T150" s="54">
        <f t="shared" si="90"/>
        <v>1.2956419316843345E-2</v>
      </c>
      <c r="U150" s="54">
        <f t="shared" si="91"/>
        <v>-3.0000000000000001E-3</v>
      </c>
      <c r="V150" s="55">
        <f t="shared" si="92"/>
        <v>-1.2999999999999956E-3</v>
      </c>
    </row>
    <row r="151" spans="1:24" ht="16.5" customHeight="1">
      <c r="A151" s="171">
        <v>134</v>
      </c>
      <c r="B151" s="168" t="s">
        <v>180</v>
      </c>
      <c r="C151" s="169" t="s">
        <v>92</v>
      </c>
      <c r="D151" s="30">
        <v>1971413912.3324211</v>
      </c>
      <c r="E151" s="27">
        <f t="shared" si="87"/>
        <v>1.0387412769434497E-3</v>
      </c>
      <c r="F151" s="30">
        <v>158600.973096</v>
      </c>
      <c r="G151" s="30">
        <v>158600.973096</v>
      </c>
      <c r="H151" s="29">
        <v>30</v>
      </c>
      <c r="I151" s="47">
        <v>1.5E-3</v>
      </c>
      <c r="J151" s="47">
        <v>6.54E-2</v>
      </c>
      <c r="K151" s="30">
        <f>1355986.93596306*W135</f>
        <v>1973195577.566174</v>
      </c>
      <c r="L151" s="27">
        <f t="shared" si="86"/>
        <v>1.0294496751844066E-3</v>
      </c>
      <c r="M151" s="30">
        <f>108.29*W135</f>
        <v>157580.68417000002</v>
      </c>
      <c r="N151" s="30">
        <f>108.29*W135</f>
        <v>157580.68417000002</v>
      </c>
      <c r="O151" s="29">
        <v>31</v>
      </c>
      <c r="P151" s="47">
        <v>6.9999999999999999E-4</v>
      </c>
      <c r="Q151" s="47">
        <v>6.6400000000000001E-2</v>
      </c>
      <c r="R151" s="54">
        <f t="shared" si="88"/>
        <v>9.0374995459225531E-4</v>
      </c>
      <c r="S151" s="54">
        <f t="shared" si="89"/>
        <v>-6.4330559017592272E-3</v>
      </c>
      <c r="T151" s="54">
        <f t="shared" si="90"/>
        <v>3.3333333333333333E-2</v>
      </c>
      <c r="U151" s="54">
        <f t="shared" si="91"/>
        <v>-8.0000000000000004E-4</v>
      </c>
      <c r="V151" s="55">
        <f t="shared" si="92"/>
        <v>1.0000000000000009E-3</v>
      </c>
    </row>
    <row r="152" spans="1:24" ht="16.5" customHeight="1">
      <c r="A152" s="171">
        <v>135</v>
      </c>
      <c r="B152" s="168" t="s">
        <v>305</v>
      </c>
      <c r="C152" s="169" t="s">
        <v>103</v>
      </c>
      <c r="D152" s="30">
        <v>2411324638.3525438</v>
      </c>
      <c r="E152" s="27">
        <f t="shared" si="87"/>
        <v>1.2705309718566964E-3</v>
      </c>
      <c r="F152" s="30">
        <v>1597.5885840000001</v>
      </c>
      <c r="G152" s="30">
        <v>1597.5885840000001</v>
      </c>
      <c r="H152" s="29">
        <v>31</v>
      </c>
      <c r="I152" s="47">
        <v>9.2299999999999993E-2</v>
      </c>
      <c r="J152" s="47">
        <v>8.4199999999999997E-2</v>
      </c>
      <c r="K152" s="30">
        <f>1988113.61*W135</f>
        <v>2893049246.2045302</v>
      </c>
      <c r="L152" s="27">
        <f t="shared" si="86"/>
        <v>1.5093529707132472E-3</v>
      </c>
      <c r="M152" s="30">
        <f>1.08*W135</f>
        <v>1571.5868400000002</v>
      </c>
      <c r="N152" s="30">
        <f>1.08*W135</f>
        <v>1571.5868400000002</v>
      </c>
      <c r="O152" s="29">
        <v>31</v>
      </c>
      <c r="P152" s="47">
        <v>9.0300000000000005E-2</v>
      </c>
      <c r="Q152" s="47">
        <v>8.5500000000000007E-2</v>
      </c>
      <c r="R152" s="54">
        <f t="shared" ref="R152" si="108">((K152-D152)/D152)</f>
        <v>0.19977592406682682</v>
      </c>
      <c r="S152" s="54">
        <f t="shared" ref="S152" si="109">((N152-G152)/G152)</f>
        <v>-1.6275619555879299E-2</v>
      </c>
      <c r="T152" s="54">
        <f t="shared" si="90"/>
        <v>0</v>
      </c>
      <c r="U152" s="54">
        <f t="shared" si="91"/>
        <v>-1.9999999999999879E-3</v>
      </c>
      <c r="V152" s="55">
        <f t="shared" si="92"/>
        <v>1.3000000000000095E-3</v>
      </c>
    </row>
    <row r="153" spans="1:24">
      <c r="A153" s="171">
        <v>136</v>
      </c>
      <c r="B153" s="168" t="s">
        <v>181</v>
      </c>
      <c r="C153" s="169" t="s">
        <v>105</v>
      </c>
      <c r="D153" s="30">
        <v>1666645786.9074481</v>
      </c>
      <c r="E153" s="27">
        <f t="shared" si="87"/>
        <v>8.7815844357942458E-4</v>
      </c>
      <c r="F153" s="30">
        <v>2066.6054159999999</v>
      </c>
      <c r="G153" s="30">
        <v>2066.6054159999999</v>
      </c>
      <c r="H153" s="29">
        <v>112</v>
      </c>
      <c r="I153" s="47">
        <v>1.01E-2</v>
      </c>
      <c r="J153" s="47">
        <v>0.13469999999999999</v>
      </c>
      <c r="K153" s="30">
        <f>1140672.5*W135</f>
        <v>1659875823.8425</v>
      </c>
      <c r="L153" s="27">
        <f t="shared" si="86"/>
        <v>8.6598543354165071E-4</v>
      </c>
      <c r="M153" s="30">
        <f>1.4*W135</f>
        <v>2037.2421999999999</v>
      </c>
      <c r="N153" s="30">
        <f>1.4*W135</f>
        <v>2037.2421999999999</v>
      </c>
      <c r="O153" s="29">
        <v>115</v>
      </c>
      <c r="P153" s="47">
        <v>-6.6E-3</v>
      </c>
      <c r="Q153" s="47">
        <v>0.1273</v>
      </c>
      <c r="R153" s="54">
        <f t="shared" si="88"/>
        <v>-4.0620287274779109E-3</v>
      </c>
      <c r="S153" s="54">
        <f t="shared" si="89"/>
        <v>-1.4208428843099464E-2</v>
      </c>
      <c r="T153" s="54">
        <f t="shared" si="90"/>
        <v>2.6785714285714284E-2</v>
      </c>
      <c r="U153" s="54">
        <f t="shared" si="91"/>
        <v>-1.67E-2</v>
      </c>
      <c r="V153" s="55">
        <f t="shared" si="92"/>
        <v>-7.3999999999999899E-3</v>
      </c>
    </row>
    <row r="154" spans="1:24">
      <c r="A154" s="33"/>
      <c r="B154" s="34"/>
      <c r="C154" s="67" t="s">
        <v>51</v>
      </c>
      <c r="D154" s="45">
        <f>SUM(D116:D153)</f>
        <v>1897887333536.4214</v>
      </c>
      <c r="E154" s="37">
        <f>(D154/$D$226)</f>
        <v>0.27860083373043953</v>
      </c>
      <c r="F154" s="38"/>
      <c r="G154" s="42"/>
      <c r="H154" s="40">
        <f>SUM(H116:H153)</f>
        <v>27328</v>
      </c>
      <c r="I154" s="76"/>
      <c r="J154" s="76"/>
      <c r="K154" s="45">
        <f>SUM(K116:K153)</f>
        <v>1916747972369.5215</v>
      </c>
      <c r="L154" s="37">
        <f>(K154/$K$226)</f>
        <v>0.27676027267029946</v>
      </c>
      <c r="M154" s="38"/>
      <c r="N154" s="42"/>
      <c r="O154" s="40">
        <f>SUM(O116:O153)</f>
        <v>27470</v>
      </c>
      <c r="P154" s="76"/>
      <c r="Q154" s="76"/>
      <c r="R154" s="54">
        <f t="shared" si="88"/>
        <v>9.9377020436488168E-3</v>
      </c>
      <c r="S154" s="54" t="e">
        <f t="shared" si="89"/>
        <v>#DIV/0!</v>
      </c>
      <c r="T154" s="54">
        <f t="shared" si="90"/>
        <v>5.1961358313817327E-3</v>
      </c>
      <c r="U154" s="54">
        <f t="shared" si="91"/>
        <v>0</v>
      </c>
      <c r="V154" s="55">
        <f t="shared" si="92"/>
        <v>0</v>
      </c>
    </row>
    <row r="155" spans="1:24" ht="6" customHeight="1">
      <c r="A155" s="33"/>
      <c r="B155" s="181"/>
      <c r="C155" s="181"/>
      <c r="D155" s="181"/>
      <c r="E155" s="181"/>
      <c r="F155" s="181"/>
      <c r="G155" s="181"/>
      <c r="H155" s="181"/>
      <c r="I155" s="181"/>
      <c r="J155" s="181"/>
      <c r="K155" s="181"/>
      <c r="L155" s="181"/>
      <c r="M155" s="181"/>
      <c r="N155" s="181"/>
      <c r="O155" s="181"/>
      <c r="P155" s="181"/>
      <c r="Q155" s="181"/>
      <c r="R155" s="181"/>
      <c r="S155" s="181"/>
      <c r="T155" s="181"/>
      <c r="U155" s="181"/>
      <c r="V155" s="181"/>
    </row>
    <row r="156" spans="1:24">
      <c r="A156" s="183" t="s">
        <v>182</v>
      </c>
      <c r="B156" s="183"/>
      <c r="C156" s="183"/>
      <c r="D156" s="183"/>
      <c r="E156" s="183"/>
      <c r="F156" s="183"/>
      <c r="G156" s="183"/>
      <c r="H156" s="183"/>
      <c r="I156" s="183"/>
      <c r="J156" s="183"/>
      <c r="K156" s="183"/>
      <c r="L156" s="183"/>
      <c r="M156" s="183"/>
      <c r="N156" s="183"/>
      <c r="O156" s="183"/>
      <c r="P156" s="183"/>
      <c r="Q156" s="183"/>
      <c r="R156" s="183"/>
      <c r="S156" s="183"/>
      <c r="T156" s="183"/>
      <c r="U156" s="183"/>
      <c r="V156" s="183"/>
    </row>
    <row r="157" spans="1:24">
      <c r="A157" s="171">
        <v>137</v>
      </c>
      <c r="B157" s="168" t="s">
        <v>183</v>
      </c>
      <c r="C157" s="169" t="s">
        <v>184</v>
      </c>
      <c r="D157" s="68">
        <v>2543691604.2733102</v>
      </c>
      <c r="E157" s="27">
        <f>(D157/$D$163)</f>
        <v>6.9156166817712856E-3</v>
      </c>
      <c r="F157" s="57">
        <v>119.87</v>
      </c>
      <c r="G157" s="57">
        <v>119.87</v>
      </c>
      <c r="H157" s="29">
        <v>8</v>
      </c>
      <c r="I157" s="47">
        <v>2E-3</v>
      </c>
      <c r="J157" s="47">
        <v>0.13689999999999999</v>
      </c>
      <c r="K157" s="68">
        <v>2548778987.4818602</v>
      </c>
      <c r="L157" s="27">
        <f>(K157/$K$163)</f>
        <v>6.9266129801894049E-3</v>
      </c>
      <c r="M157" s="57">
        <v>120.11211062591235</v>
      </c>
      <c r="N157" s="57">
        <v>120.11211062591235</v>
      </c>
      <c r="O157" s="29">
        <v>8</v>
      </c>
      <c r="P157" s="47">
        <v>2E-3</v>
      </c>
      <c r="Q157" s="47">
        <v>0.13917362835470537</v>
      </c>
      <c r="R157" s="54">
        <f t="shared" ref="R157:R163" si="110">((K157-D157)/D157)</f>
        <v>2.0000000000013193E-3</v>
      </c>
      <c r="S157" s="54">
        <f t="shared" ref="S157:T163" si="111">((N157-G157)/G157)</f>
        <v>2.0197766406302347E-3</v>
      </c>
      <c r="T157" s="54">
        <f t="shared" si="111"/>
        <v>0</v>
      </c>
      <c r="U157" s="54">
        <f t="shared" ref="U157:V163" si="112">P157-I157</f>
        <v>0</v>
      </c>
      <c r="V157" s="55">
        <f t="shared" si="112"/>
        <v>2.2736283547053759E-3</v>
      </c>
    </row>
    <row r="158" spans="1:24">
      <c r="A158" s="171">
        <v>138</v>
      </c>
      <c r="B158" s="168" t="s">
        <v>312</v>
      </c>
      <c r="C158" s="169" t="s">
        <v>21</v>
      </c>
      <c r="D158" s="68">
        <v>262139600917.98999</v>
      </c>
      <c r="E158" s="27">
        <v>0</v>
      </c>
      <c r="F158" s="57">
        <v>104.8558</v>
      </c>
      <c r="G158" s="57">
        <v>104.8558</v>
      </c>
      <c r="H158" s="29">
        <v>45</v>
      </c>
      <c r="I158" s="47">
        <v>0.17380000000000001</v>
      </c>
      <c r="J158" s="47">
        <v>8.8599999999999998E-2</v>
      </c>
      <c r="K158" s="68">
        <v>262416390080.85001</v>
      </c>
      <c r="L158" s="27">
        <f t="shared" ref="L158:L159" si="113">(K158/$K$163)</f>
        <v>0.71314805350944466</v>
      </c>
      <c r="M158" s="57">
        <v>104.9666</v>
      </c>
      <c r="N158" s="57">
        <v>104.9666</v>
      </c>
      <c r="O158" s="29">
        <v>45</v>
      </c>
      <c r="P158" s="47">
        <v>5.5100000000000003E-2</v>
      </c>
      <c r="Q158" s="47">
        <v>8.7599999999999997E-2</v>
      </c>
      <c r="R158" s="54">
        <f t="shared" ref="R158" si="114">((K158-D158)/D158)</f>
        <v>1.0558845816912989E-3</v>
      </c>
      <c r="S158" s="54">
        <f t="shared" ref="S158" si="115">((N158-G158)/G158)</f>
        <v>1.0566892818518153E-3</v>
      </c>
      <c r="T158" s="54">
        <f t="shared" ref="T158" si="116">((O158-H158)/H158)</f>
        <v>0</v>
      </c>
      <c r="U158" s="54">
        <f t="shared" ref="U158" si="117">P158-I158</f>
        <v>-0.1187</v>
      </c>
      <c r="V158" s="55">
        <f t="shared" ref="V158" si="118">Q158-J158</f>
        <v>-1.0000000000000009E-3</v>
      </c>
    </row>
    <row r="159" spans="1:24">
      <c r="A159" s="171">
        <v>139</v>
      </c>
      <c r="B159" s="168" t="s">
        <v>185</v>
      </c>
      <c r="C159" s="169" t="s">
        <v>45</v>
      </c>
      <c r="D159" s="26">
        <v>57062508820</v>
      </c>
      <c r="E159" s="27">
        <f>(D159/$D$163)</f>
        <v>0.15513768934738853</v>
      </c>
      <c r="F159" s="57">
        <v>102.5</v>
      </c>
      <c r="G159" s="57">
        <v>102.5</v>
      </c>
      <c r="H159" s="29">
        <v>645</v>
      </c>
      <c r="I159" s="47">
        <v>8.3900000000000002E-2</v>
      </c>
      <c r="J159" s="47">
        <v>8.3900000000000002E-2</v>
      </c>
      <c r="K159" s="26">
        <v>57062508820</v>
      </c>
      <c r="L159" s="27">
        <f t="shared" si="113"/>
        <v>0.155074220329038</v>
      </c>
      <c r="M159" s="57">
        <v>102.5</v>
      </c>
      <c r="N159" s="57">
        <v>102.5</v>
      </c>
      <c r="O159" s="29">
        <v>645</v>
      </c>
      <c r="P159" s="47">
        <v>8.3900000000000002E-2</v>
      </c>
      <c r="Q159" s="47">
        <v>8.3900000000000002E-2</v>
      </c>
      <c r="R159" s="54">
        <f t="shared" si="110"/>
        <v>0</v>
      </c>
      <c r="S159" s="54">
        <f t="shared" si="111"/>
        <v>0</v>
      </c>
      <c r="T159" s="54">
        <f t="shared" si="111"/>
        <v>0</v>
      </c>
      <c r="U159" s="54">
        <f t="shared" si="112"/>
        <v>0</v>
      </c>
      <c r="V159" s="55">
        <f t="shared" si="112"/>
        <v>0</v>
      </c>
    </row>
    <row r="160" spans="1:24" ht="15.75" customHeight="1">
      <c r="A160" s="171">
        <v>140</v>
      </c>
      <c r="B160" s="168" t="s">
        <v>186</v>
      </c>
      <c r="C160" s="169" t="s">
        <v>140</v>
      </c>
      <c r="D160" s="26">
        <v>2603540741.48</v>
      </c>
      <c r="E160" s="27">
        <f>(D160/$D$163)</f>
        <v>7.0783304678925579E-3</v>
      </c>
      <c r="F160" s="57">
        <v>346.55</v>
      </c>
      <c r="G160" s="57">
        <v>346.55</v>
      </c>
      <c r="H160" s="29">
        <v>3552</v>
      </c>
      <c r="I160" s="47">
        <v>0.38250000000000001</v>
      </c>
      <c r="J160" s="47">
        <v>9.0899999999999995E-2</v>
      </c>
      <c r="K160" s="26">
        <v>2605774827.5149498</v>
      </c>
      <c r="L160" s="27">
        <f>(K160/$K$163)</f>
        <v>7.0815060200837892E-3</v>
      </c>
      <c r="M160" s="57">
        <v>381.11</v>
      </c>
      <c r="N160" s="57">
        <v>381.11</v>
      </c>
      <c r="O160" s="29">
        <v>3871</v>
      </c>
      <c r="P160" s="47">
        <v>5.3800000000000001E-2</v>
      </c>
      <c r="Q160" s="47">
        <v>9.1700000000000004E-2</v>
      </c>
      <c r="R160" s="54">
        <f t="shared" si="110"/>
        <v>8.580952851461039E-4</v>
      </c>
      <c r="S160" s="54">
        <f t="shared" si="111"/>
        <v>9.9725869282931756E-2</v>
      </c>
      <c r="T160" s="54">
        <f t="shared" si="111"/>
        <v>8.9808558558558557E-2</v>
      </c>
      <c r="U160" s="54">
        <f t="shared" si="112"/>
        <v>-0.32869999999999999</v>
      </c>
      <c r="V160" s="55">
        <f t="shared" si="112"/>
        <v>8.0000000000000904E-4</v>
      </c>
    </row>
    <row r="161" spans="1:22">
      <c r="A161" s="171">
        <v>141</v>
      </c>
      <c r="B161" s="168" t="s">
        <v>187</v>
      </c>
      <c r="C161" s="169" t="s">
        <v>140</v>
      </c>
      <c r="D161" s="26">
        <v>10350868269.629999</v>
      </c>
      <c r="E161" s="27">
        <f>(D161/$D$163)</f>
        <v>2.8141240532466302E-2</v>
      </c>
      <c r="F161" s="57">
        <v>57.6</v>
      </c>
      <c r="G161" s="57">
        <v>57.6</v>
      </c>
      <c r="H161" s="29">
        <v>5482</v>
      </c>
      <c r="I161" s="47">
        <v>5.6500000000000002E-2</v>
      </c>
      <c r="J161" s="47">
        <v>0.1313</v>
      </c>
      <c r="K161" s="26">
        <v>10353809921.799999</v>
      </c>
      <c r="L161" s="27">
        <f>(K161/$K$163)</f>
        <v>2.8137721846808083E-2</v>
      </c>
      <c r="M161" s="57">
        <v>51.85</v>
      </c>
      <c r="N161" s="57">
        <v>51.85</v>
      </c>
      <c r="O161" s="29">
        <v>5970</v>
      </c>
      <c r="P161" s="47">
        <v>8.6999999999999994E-3</v>
      </c>
      <c r="Q161" s="47">
        <v>0.14319999999999999</v>
      </c>
      <c r="R161" s="54">
        <f t="shared" si="110"/>
        <v>2.8419375972845107E-4</v>
      </c>
      <c r="S161" s="54">
        <f t="shared" si="111"/>
        <v>-9.9826388888888881E-2</v>
      </c>
      <c r="T161" s="54">
        <f t="shared" si="111"/>
        <v>8.901860634804816E-2</v>
      </c>
      <c r="U161" s="54">
        <f t="shared" si="112"/>
        <v>-4.7800000000000002E-2</v>
      </c>
      <c r="V161" s="55">
        <f t="shared" si="112"/>
        <v>1.1899999999999994E-2</v>
      </c>
    </row>
    <row r="162" spans="1:22">
      <c r="A162" s="171">
        <v>142</v>
      </c>
      <c r="B162" s="168" t="s">
        <v>188</v>
      </c>
      <c r="C162" s="169" t="s">
        <v>47</v>
      </c>
      <c r="D162" s="26">
        <v>33118267929</v>
      </c>
      <c r="E162" s="27">
        <f>(D162/$D$163)</f>
        <v>9.0039706769639752E-2</v>
      </c>
      <c r="F162" s="57">
        <v>7.2</v>
      </c>
      <c r="G162" s="57">
        <v>7.2</v>
      </c>
      <c r="H162" s="29">
        <v>209805</v>
      </c>
      <c r="I162" s="47">
        <v>7.0000000000000001E-3</v>
      </c>
      <c r="J162" s="47">
        <v>0.44</v>
      </c>
      <c r="K162" s="26">
        <v>32981756964.220001</v>
      </c>
      <c r="L162" s="27">
        <f>(K162/$K$163)</f>
        <v>8.9631885314436055E-2</v>
      </c>
      <c r="M162" s="57">
        <v>7.15</v>
      </c>
      <c r="N162" s="57">
        <v>7.15</v>
      </c>
      <c r="O162" s="29">
        <v>210195</v>
      </c>
      <c r="P162" s="47">
        <v>-6.8999999999999999E-3</v>
      </c>
      <c r="Q162" s="47">
        <v>0.43</v>
      </c>
      <c r="R162" s="54">
        <f t="shared" si="110"/>
        <v>-4.1219234373203132E-3</v>
      </c>
      <c r="S162" s="54">
        <f t="shared" si="111"/>
        <v>-6.9444444444444198E-3</v>
      </c>
      <c r="T162" s="54">
        <f t="shared" si="111"/>
        <v>1.8588689497390433E-3</v>
      </c>
      <c r="U162" s="54">
        <f t="shared" si="112"/>
        <v>-1.3899999999999999E-2</v>
      </c>
      <c r="V162" s="55">
        <f t="shared" si="112"/>
        <v>-1.0000000000000009E-2</v>
      </c>
    </row>
    <row r="163" spans="1:22">
      <c r="A163" s="33"/>
      <c r="B163" s="69"/>
      <c r="C163" s="35" t="s">
        <v>51</v>
      </c>
      <c r="D163" s="36">
        <f>SUM(D157:D162)</f>
        <v>367818478282.37329</v>
      </c>
      <c r="E163" s="37">
        <f>(D163/$D$226)</f>
        <v>5.3994003174037325E-2</v>
      </c>
      <c r="F163" s="38"/>
      <c r="G163" s="70"/>
      <c r="H163" s="40">
        <f>SUM(H157:H162)</f>
        <v>219537</v>
      </c>
      <c r="I163" s="77"/>
      <c r="J163" s="77"/>
      <c r="K163" s="36">
        <f>SUM(K157:K162)</f>
        <v>367969019601.86682</v>
      </c>
      <c r="L163" s="37">
        <f>(K163/$K$226)</f>
        <v>5.3131245039659443E-2</v>
      </c>
      <c r="M163" s="38"/>
      <c r="N163" s="70"/>
      <c r="O163" s="40">
        <f>SUM(O157:O162)</f>
        <v>220734</v>
      </c>
      <c r="P163" s="77"/>
      <c r="Q163" s="77"/>
      <c r="R163" s="54">
        <f t="shared" si="110"/>
        <v>4.0928155702378848E-4</v>
      </c>
      <c r="S163" s="54" t="e">
        <f t="shared" si="111"/>
        <v>#DIV/0!</v>
      </c>
      <c r="T163" s="54">
        <f t="shared" si="111"/>
        <v>5.4523838806214897E-3</v>
      </c>
      <c r="U163" s="54">
        <f t="shared" si="112"/>
        <v>0</v>
      </c>
      <c r="V163" s="55">
        <f t="shared" si="112"/>
        <v>0</v>
      </c>
    </row>
    <row r="164" spans="1:22" ht="5.25" customHeight="1">
      <c r="A164" s="33"/>
      <c r="B164" s="181"/>
      <c r="C164" s="181"/>
      <c r="D164" s="181"/>
      <c r="E164" s="181"/>
      <c r="F164" s="181"/>
      <c r="G164" s="181"/>
      <c r="H164" s="181"/>
      <c r="I164" s="181"/>
      <c r="J164" s="181"/>
      <c r="K164" s="181"/>
      <c r="L164" s="181"/>
      <c r="M164" s="181"/>
      <c r="N164" s="181"/>
      <c r="O164" s="181"/>
      <c r="P164" s="181"/>
      <c r="Q164" s="181"/>
      <c r="R164" s="181"/>
      <c r="S164" s="181"/>
      <c r="T164" s="181"/>
      <c r="U164" s="181"/>
      <c r="V164" s="181"/>
    </row>
    <row r="165" spans="1:22" ht="15" customHeight="1">
      <c r="A165" s="183" t="s">
        <v>189</v>
      </c>
      <c r="B165" s="183"/>
      <c r="C165" s="183"/>
      <c r="D165" s="183"/>
      <c r="E165" s="183"/>
      <c r="F165" s="183"/>
      <c r="G165" s="183"/>
      <c r="H165" s="183"/>
      <c r="I165" s="183"/>
      <c r="J165" s="183"/>
      <c r="K165" s="183"/>
      <c r="L165" s="183"/>
      <c r="M165" s="183"/>
      <c r="N165" s="183"/>
      <c r="O165" s="183"/>
      <c r="P165" s="183"/>
      <c r="Q165" s="183"/>
      <c r="R165" s="183"/>
      <c r="S165" s="183"/>
      <c r="T165" s="183"/>
      <c r="U165" s="183"/>
      <c r="V165" s="183"/>
    </row>
    <row r="166" spans="1:22">
      <c r="A166" s="167">
        <v>143</v>
      </c>
      <c r="B166" s="168" t="s">
        <v>190</v>
      </c>
      <c r="C166" s="169" t="s">
        <v>55</v>
      </c>
      <c r="D166" s="30">
        <v>559755737.16999996</v>
      </c>
      <c r="E166" s="27">
        <f t="shared" ref="E166:E193" si="119">(D166/$D$194)</f>
        <v>7.2503533091139473E-3</v>
      </c>
      <c r="F166" s="30">
        <v>7.52</v>
      </c>
      <c r="G166" s="30">
        <v>7.63</v>
      </c>
      <c r="H166" s="31">
        <v>11911</v>
      </c>
      <c r="I166" s="48">
        <v>7.2810000000000001E-3</v>
      </c>
      <c r="J166" s="48">
        <v>0.31684600000000002</v>
      </c>
      <c r="K166" s="30">
        <v>577678319.82000005</v>
      </c>
      <c r="L166" s="51">
        <f t="shared" ref="L166:L193" si="120">(K166/$K$194)</f>
        <v>7.4072036614138944E-3</v>
      </c>
      <c r="M166" s="30">
        <v>7.58</v>
      </c>
      <c r="N166" s="30">
        <v>7.68</v>
      </c>
      <c r="O166" s="31">
        <v>11918</v>
      </c>
      <c r="P166" s="48">
        <v>9.0489999999999998E-3</v>
      </c>
      <c r="Q166" s="48">
        <v>0.32589499999999999</v>
      </c>
      <c r="R166" s="54">
        <f>((K166-D166)/D166)</f>
        <v>3.201857785435603E-2</v>
      </c>
      <c r="S166" s="54">
        <f>((N166-G166)/G166)</f>
        <v>6.5530799475753375E-3</v>
      </c>
      <c r="T166" s="54">
        <f>((O166-H166)/H166)</f>
        <v>5.8769204936613218E-4</v>
      </c>
      <c r="U166" s="54">
        <f>P166-I166</f>
        <v>1.7679999999999996E-3</v>
      </c>
      <c r="V166" s="55">
        <f>Q166-J166</f>
        <v>9.0489999999999737E-3</v>
      </c>
    </row>
    <row r="167" spans="1:22">
      <c r="A167" s="167">
        <v>144</v>
      </c>
      <c r="B167" s="168" t="s">
        <v>191</v>
      </c>
      <c r="C167" s="168" t="s">
        <v>192</v>
      </c>
      <c r="D167" s="30">
        <v>1036165589.95435</v>
      </c>
      <c r="E167" s="27">
        <f t="shared" si="119"/>
        <v>1.3421151611410696E-2</v>
      </c>
      <c r="F167" s="30">
        <v>2114.2377919140499</v>
      </c>
      <c r="G167" s="30">
        <v>2138.25809854507</v>
      </c>
      <c r="H167" s="31">
        <v>154</v>
      </c>
      <c r="I167" s="48">
        <v>0.88939999999999997</v>
      </c>
      <c r="J167" s="48">
        <v>0.40389999999999998</v>
      </c>
      <c r="K167" s="30">
        <v>1065480926.8019</v>
      </c>
      <c r="L167" s="51">
        <f t="shared" si="120"/>
        <v>1.3661987911599073E-2</v>
      </c>
      <c r="M167" s="30">
        <v>2167.2882541980498</v>
      </c>
      <c r="N167" s="30">
        <v>2192.0849985923901</v>
      </c>
      <c r="O167" s="31">
        <v>155</v>
      </c>
      <c r="P167" s="48">
        <v>2.5100000000000001E-2</v>
      </c>
      <c r="Q167" s="48">
        <v>0.43919999999999998</v>
      </c>
      <c r="R167" s="54">
        <f>((K167-D167)/D167)</f>
        <v>2.8292135090918789E-2</v>
      </c>
      <c r="S167" s="54">
        <f>((N167-G167)/G167)</f>
        <v>2.5173247366136686E-2</v>
      </c>
      <c r="T167" s="54">
        <f>((O167-H167)/H167)</f>
        <v>6.4935064935064939E-3</v>
      </c>
      <c r="U167" s="54">
        <f>P167-I167</f>
        <v>-0.86429999999999996</v>
      </c>
      <c r="V167" s="55">
        <f>Q167-J167</f>
        <v>3.5299999999999998E-2</v>
      </c>
    </row>
    <row r="168" spans="1:22">
      <c r="A168" s="167">
        <v>145</v>
      </c>
      <c r="B168" s="168" t="s">
        <v>193</v>
      </c>
      <c r="C168" s="169" t="s">
        <v>21</v>
      </c>
      <c r="D168" s="30">
        <v>9054218337.9500008</v>
      </c>
      <c r="E168" s="27">
        <f t="shared" si="119"/>
        <v>0.11727665752903028</v>
      </c>
      <c r="F168" s="30">
        <v>1000.9089</v>
      </c>
      <c r="G168" s="30">
        <v>1031.0871</v>
      </c>
      <c r="H168" s="31">
        <v>21858</v>
      </c>
      <c r="I168" s="48">
        <v>0.72399999999999998</v>
      </c>
      <c r="J168" s="48">
        <v>0.34279999999999999</v>
      </c>
      <c r="K168" s="30">
        <v>9196089437.3700008</v>
      </c>
      <c r="L168" s="51">
        <f t="shared" si="120"/>
        <v>0.11791563749943311</v>
      </c>
      <c r="M168" s="30">
        <v>1012.5626</v>
      </c>
      <c r="N168" s="30">
        <v>1043.0922</v>
      </c>
      <c r="O168" s="31">
        <v>21915</v>
      </c>
      <c r="P168" s="48">
        <v>0.60709999999999997</v>
      </c>
      <c r="Q168" s="48">
        <v>0.35320000000000001</v>
      </c>
      <c r="R168" s="54">
        <f t="shared" ref="R168:R193" si="121">((K168-D168)/D168)</f>
        <v>1.5669060997276728E-2</v>
      </c>
      <c r="S168" s="54">
        <f t="shared" ref="S168:T193" si="122">((N168-G168)/G168)</f>
        <v>1.1643148284950985E-2</v>
      </c>
      <c r="T168" s="54">
        <f t="shared" si="122"/>
        <v>2.607740872906945E-3</v>
      </c>
      <c r="U168" s="54">
        <f t="shared" ref="U168:V193" si="123">P168-I168</f>
        <v>-0.1169</v>
      </c>
      <c r="V168" s="55">
        <f t="shared" si="123"/>
        <v>1.040000000000002E-2</v>
      </c>
    </row>
    <row r="169" spans="1:22">
      <c r="A169" s="167">
        <v>146</v>
      </c>
      <c r="B169" s="168" t="s">
        <v>194</v>
      </c>
      <c r="C169" s="169" t="s">
        <v>107</v>
      </c>
      <c r="D169" s="30">
        <v>5669033137.4200001</v>
      </c>
      <c r="E169" s="27">
        <f t="shared" si="119"/>
        <v>7.342933790223348E-2</v>
      </c>
      <c r="F169" s="30">
        <v>33.028599999999997</v>
      </c>
      <c r="G169" s="30">
        <v>33.4223</v>
      </c>
      <c r="H169" s="29">
        <v>6150</v>
      </c>
      <c r="I169" s="47">
        <v>8.8999999999999999E-3</v>
      </c>
      <c r="J169" s="47">
        <v>0.55879999999999996</v>
      </c>
      <c r="K169" s="30">
        <v>5711330386.3599997</v>
      </c>
      <c r="L169" s="51">
        <f t="shared" si="120"/>
        <v>7.3232776612721276E-2</v>
      </c>
      <c r="M169" s="30">
        <v>33.157200000000003</v>
      </c>
      <c r="N169" s="30">
        <v>33.5533</v>
      </c>
      <c r="O169" s="29">
        <v>6155</v>
      </c>
      <c r="P169" s="47">
        <v>1.8599999999999998E-2</v>
      </c>
      <c r="Q169" s="47">
        <v>0.56759999999999999</v>
      </c>
      <c r="R169" s="54">
        <f t="shared" si="121"/>
        <v>7.461104550757526E-3</v>
      </c>
      <c r="S169" s="54">
        <f t="shared" si="122"/>
        <v>3.919538751073392E-3</v>
      </c>
      <c r="T169" s="54">
        <f t="shared" si="122"/>
        <v>8.1300813008130081E-4</v>
      </c>
      <c r="U169" s="54">
        <f t="shared" si="123"/>
        <v>9.6999999999999986E-3</v>
      </c>
      <c r="V169" s="55">
        <f t="shared" si="123"/>
        <v>8.80000000000003E-3</v>
      </c>
    </row>
    <row r="170" spans="1:22">
      <c r="A170" s="167">
        <v>147</v>
      </c>
      <c r="B170" s="168" t="s">
        <v>195</v>
      </c>
      <c r="C170" s="169" t="s">
        <v>116</v>
      </c>
      <c r="D170" s="26">
        <v>2381313825.1900001</v>
      </c>
      <c r="E170" s="27">
        <f t="shared" si="119"/>
        <v>3.0844465587427383E-2</v>
      </c>
      <c r="F170" s="30">
        <v>5.6909999999999998</v>
      </c>
      <c r="G170" s="30">
        <v>5.8197999999999999</v>
      </c>
      <c r="H170" s="29">
        <v>2739</v>
      </c>
      <c r="I170" s="47">
        <v>-0.27179999999999999</v>
      </c>
      <c r="J170" s="47">
        <v>0.32740000000000002</v>
      </c>
      <c r="K170" s="26">
        <v>2422438378.8800001</v>
      </c>
      <c r="L170" s="51">
        <f t="shared" si="120"/>
        <v>3.1061394921624418E-2</v>
      </c>
      <c r="M170" s="30">
        <v>5.7885999999999997</v>
      </c>
      <c r="N170" s="30">
        <v>5.9208999999999996</v>
      </c>
      <c r="O170" s="29">
        <v>2737</v>
      </c>
      <c r="P170" s="47">
        <v>0.90580000000000005</v>
      </c>
      <c r="Q170" s="47">
        <v>0.41639999999999999</v>
      </c>
      <c r="R170" s="54">
        <f t="shared" si="121"/>
        <v>1.7269690897090732E-2</v>
      </c>
      <c r="S170" s="54">
        <f t="shared" si="122"/>
        <v>1.7371730987319107E-2</v>
      </c>
      <c r="T170" s="54">
        <f t="shared" si="122"/>
        <v>-7.3019350127783865E-4</v>
      </c>
      <c r="U170" s="54">
        <f t="shared" si="123"/>
        <v>1.1776</v>
      </c>
      <c r="V170" s="55">
        <f t="shared" si="123"/>
        <v>8.8999999999999968E-2</v>
      </c>
    </row>
    <row r="171" spans="1:22">
      <c r="A171" s="167">
        <v>148</v>
      </c>
      <c r="B171" s="168" t="s">
        <v>304</v>
      </c>
      <c r="C171" s="169" t="s">
        <v>25</v>
      </c>
      <c r="D171" s="26">
        <v>914767911.85000002</v>
      </c>
      <c r="E171" s="27">
        <f t="shared" si="119"/>
        <v>1.1848722784485942E-2</v>
      </c>
      <c r="F171" s="30">
        <v>1.1234999999999999</v>
      </c>
      <c r="G171" s="30">
        <v>1.1305000000000001</v>
      </c>
      <c r="H171" s="29">
        <v>206</v>
      </c>
      <c r="I171" s="47">
        <v>8.3000000000000001E-3</v>
      </c>
      <c r="J171" s="47">
        <v>0.127</v>
      </c>
      <c r="K171" s="26">
        <v>926549181.40999997</v>
      </c>
      <c r="L171" s="51">
        <f t="shared" si="120"/>
        <v>1.1880554027297921E-2</v>
      </c>
      <c r="M171" s="30">
        <v>1.1377999999999999</v>
      </c>
      <c r="N171" s="30">
        <v>1.145</v>
      </c>
      <c r="O171" s="29">
        <v>208</v>
      </c>
      <c r="P171" s="47">
        <v>1.9699999999999999E-2</v>
      </c>
      <c r="Q171" s="47">
        <v>0.1414</v>
      </c>
      <c r="R171" s="54">
        <f t="shared" ref="R171" si="124">((K171-D171)/D171)</f>
        <v>1.2878971165673976E-2</v>
      </c>
      <c r="S171" s="54">
        <f t="shared" ref="S171" si="125">((N171-G171)/G171)</f>
        <v>1.2826183104820837E-2</v>
      </c>
      <c r="T171" s="54">
        <f t="shared" ref="T171" si="126">((O171-H171)/H171)</f>
        <v>9.7087378640776691E-3</v>
      </c>
      <c r="U171" s="54">
        <f t="shared" ref="U171" si="127">P171-I171</f>
        <v>1.1399999999999999E-2</v>
      </c>
      <c r="V171" s="55">
        <f t="shared" ref="V171" si="128">Q171-J171</f>
        <v>1.4399999999999996E-2</v>
      </c>
    </row>
    <row r="172" spans="1:22">
      <c r="A172" s="167">
        <v>149</v>
      </c>
      <c r="B172" s="168" t="s">
        <v>196</v>
      </c>
      <c r="C172" s="169" t="s">
        <v>63</v>
      </c>
      <c r="D172" s="30">
        <v>6081724039.2399998</v>
      </c>
      <c r="E172" s="27">
        <f t="shared" si="119"/>
        <v>7.8774803159596493E-2</v>
      </c>
      <c r="F172" s="30">
        <v>11346.42</v>
      </c>
      <c r="G172" s="30">
        <v>11435.95</v>
      </c>
      <c r="H172" s="29">
        <v>1271</v>
      </c>
      <c r="I172" s="47">
        <v>5.2200000000000003E-2</v>
      </c>
      <c r="J172" s="47">
        <v>0.64119999999999999</v>
      </c>
      <c r="K172" s="30">
        <v>6081724039.2399998</v>
      </c>
      <c r="L172" s="51">
        <f t="shared" si="120"/>
        <v>7.7982100116210346E-2</v>
      </c>
      <c r="M172" s="30">
        <v>11346.42</v>
      </c>
      <c r="N172" s="30">
        <v>11435.95</v>
      </c>
      <c r="O172" s="29">
        <v>1271</v>
      </c>
      <c r="P172" s="47">
        <v>5.2200000000000003E-2</v>
      </c>
      <c r="Q172" s="47">
        <v>0.64119999999999999</v>
      </c>
      <c r="R172" s="54">
        <f t="shared" si="121"/>
        <v>0</v>
      </c>
      <c r="S172" s="54">
        <f t="shared" si="122"/>
        <v>0</v>
      </c>
      <c r="T172" s="54">
        <f t="shared" si="122"/>
        <v>0</v>
      </c>
      <c r="U172" s="54">
        <f t="shared" si="123"/>
        <v>0</v>
      </c>
      <c r="V172" s="55">
        <f t="shared" si="123"/>
        <v>0</v>
      </c>
    </row>
    <row r="173" spans="1:22">
      <c r="A173" s="167">
        <v>150</v>
      </c>
      <c r="B173" s="168" t="s">
        <v>197</v>
      </c>
      <c r="C173" s="169" t="s">
        <v>65</v>
      </c>
      <c r="D173" s="30">
        <v>1150980949.1099999</v>
      </c>
      <c r="E173" s="27">
        <f t="shared" si="119"/>
        <v>1.4908321574866478E-2</v>
      </c>
      <c r="F173" s="30">
        <v>228.81</v>
      </c>
      <c r="G173" s="30">
        <v>230.42</v>
      </c>
      <c r="H173" s="29">
        <v>507</v>
      </c>
      <c r="I173" s="47">
        <v>1.21E-2</v>
      </c>
      <c r="J173" s="47">
        <v>0.2422</v>
      </c>
      <c r="K173" s="30">
        <v>1166597750.6300001</v>
      </c>
      <c r="L173" s="51">
        <f t="shared" si="120"/>
        <v>1.4958544978036024E-2</v>
      </c>
      <c r="M173" s="30">
        <v>230.47</v>
      </c>
      <c r="N173" s="30">
        <v>232.09</v>
      </c>
      <c r="O173" s="29">
        <v>508</v>
      </c>
      <c r="P173" s="47">
        <v>1.95E-2</v>
      </c>
      <c r="Q173" s="47">
        <v>0.25030000000000002</v>
      </c>
      <c r="R173" s="54">
        <f t="shared" si="121"/>
        <v>1.3568253698791423E-2</v>
      </c>
      <c r="S173" s="54">
        <f t="shared" si="122"/>
        <v>7.24763475392768E-3</v>
      </c>
      <c r="T173" s="54">
        <f t="shared" si="122"/>
        <v>1.9723865877712033E-3</v>
      </c>
      <c r="U173" s="54">
        <f t="shared" si="123"/>
        <v>7.4000000000000003E-3</v>
      </c>
      <c r="V173" s="55">
        <f t="shared" si="123"/>
        <v>8.1000000000000238E-3</v>
      </c>
    </row>
    <row r="174" spans="1:22">
      <c r="A174" s="167">
        <v>151</v>
      </c>
      <c r="B174" s="168" t="s">
        <v>198</v>
      </c>
      <c r="C174" s="169" t="s">
        <v>121</v>
      </c>
      <c r="D174" s="30">
        <v>797369739.76999998</v>
      </c>
      <c r="E174" s="27">
        <f t="shared" si="119"/>
        <v>1.0328098396199146E-2</v>
      </c>
      <c r="F174" s="30">
        <v>2.0327000000000002</v>
      </c>
      <c r="G174" s="30">
        <v>2.0665</v>
      </c>
      <c r="H174" s="29">
        <v>2172</v>
      </c>
      <c r="I174" s="47">
        <v>1.9199999999999998E-2</v>
      </c>
      <c r="J174" s="47">
        <v>0.3886</v>
      </c>
      <c r="K174" s="30">
        <v>866946185.19000006</v>
      </c>
      <c r="L174" s="51">
        <f t="shared" si="120"/>
        <v>1.1116302511039552E-2</v>
      </c>
      <c r="M174" s="30">
        <v>2.0472999999999999</v>
      </c>
      <c r="N174" s="30">
        <v>2.0794999999999999</v>
      </c>
      <c r="O174" s="29">
        <v>2355</v>
      </c>
      <c r="P174" s="47">
        <v>7.1999999999999998E-3</v>
      </c>
      <c r="Q174" s="47">
        <v>0.39850000000000002</v>
      </c>
      <c r="R174" s="54">
        <f t="shared" si="121"/>
        <v>8.7257444005925389E-2</v>
      </c>
      <c r="S174" s="54">
        <f t="shared" si="122"/>
        <v>6.2908299056375029E-3</v>
      </c>
      <c r="T174" s="54">
        <f t="shared" si="122"/>
        <v>8.4254143646408847E-2</v>
      </c>
      <c r="U174" s="54">
        <f t="shared" si="123"/>
        <v>-1.1999999999999999E-2</v>
      </c>
      <c r="V174" s="55">
        <f t="shared" si="123"/>
        <v>9.9000000000000199E-3</v>
      </c>
    </row>
    <row r="175" spans="1:22">
      <c r="A175" s="167">
        <v>152</v>
      </c>
      <c r="B175" s="168" t="s">
        <v>199</v>
      </c>
      <c r="C175" s="169" t="s">
        <v>27</v>
      </c>
      <c r="D175" s="41">
        <v>163900167.33000001</v>
      </c>
      <c r="E175" s="27">
        <f t="shared" si="119"/>
        <v>2.1229512118506322E-3</v>
      </c>
      <c r="F175" s="30">
        <v>197.27459999999999</v>
      </c>
      <c r="G175" s="30">
        <v>198.6857</v>
      </c>
      <c r="H175" s="29">
        <v>146</v>
      </c>
      <c r="I175" s="47">
        <v>3.82E-3</v>
      </c>
      <c r="J175" s="47">
        <v>0.27210000000000001</v>
      </c>
      <c r="K175" s="41">
        <v>166951569.93000001</v>
      </c>
      <c r="L175" s="51">
        <f t="shared" si="120"/>
        <v>2.1407143692870841E-3</v>
      </c>
      <c r="M175" s="30">
        <v>200.5838</v>
      </c>
      <c r="N175" s="30">
        <v>202.02019999999999</v>
      </c>
      <c r="O175" s="29">
        <v>148</v>
      </c>
      <c r="P175" s="47">
        <v>3.3E-3</v>
      </c>
      <c r="Q175" s="47">
        <v>0.27410000000000001</v>
      </c>
      <c r="R175" s="54">
        <f t="shared" si="121"/>
        <v>1.8617446520699618E-2</v>
      </c>
      <c r="S175" s="54">
        <f t="shared" si="122"/>
        <v>1.678278809194618E-2</v>
      </c>
      <c r="T175" s="54">
        <f t="shared" si="122"/>
        <v>1.3698630136986301E-2</v>
      </c>
      <c r="U175" s="54">
        <f t="shared" si="123"/>
        <v>-5.2000000000000006E-4</v>
      </c>
      <c r="V175" s="55">
        <f t="shared" si="123"/>
        <v>2.0000000000000018E-3</v>
      </c>
    </row>
    <row r="176" spans="1:22">
      <c r="A176" s="167">
        <v>153</v>
      </c>
      <c r="B176" s="168" t="s">
        <v>200</v>
      </c>
      <c r="C176" s="169" t="s">
        <v>68</v>
      </c>
      <c r="D176" s="41">
        <v>340402213.23000002</v>
      </c>
      <c r="E176" s="27">
        <f t="shared" si="119"/>
        <v>4.409130892699167E-3</v>
      </c>
      <c r="F176" s="30">
        <v>160.97</v>
      </c>
      <c r="G176" s="30">
        <v>162.11000000000001</v>
      </c>
      <c r="H176" s="29">
        <v>52</v>
      </c>
      <c r="I176" s="47">
        <v>7.6E-3</v>
      </c>
      <c r="J176" s="47">
        <v>0.40550000000000003</v>
      </c>
      <c r="K176" s="41">
        <v>344151742.41000003</v>
      </c>
      <c r="L176" s="51">
        <f t="shared" si="120"/>
        <v>4.4128400859073866E-3</v>
      </c>
      <c r="M176" s="30">
        <v>162.96</v>
      </c>
      <c r="N176" s="30">
        <v>164.19</v>
      </c>
      <c r="O176" s="29">
        <v>52</v>
      </c>
      <c r="P176" s="47">
        <v>1.7100000000000001E-2</v>
      </c>
      <c r="Q176" s="47">
        <v>0.42259999999999998</v>
      </c>
      <c r="R176" s="54">
        <f t="shared" si="121"/>
        <v>1.101499647849398E-2</v>
      </c>
      <c r="S176" s="54">
        <f t="shared" si="122"/>
        <v>1.2830793905372796E-2</v>
      </c>
      <c r="T176" s="54">
        <f t="shared" si="122"/>
        <v>0</v>
      </c>
      <c r="U176" s="54">
        <f t="shared" si="123"/>
        <v>9.5000000000000015E-3</v>
      </c>
      <c r="V176" s="55">
        <f t="shared" si="123"/>
        <v>1.7099999999999949E-2</v>
      </c>
    </row>
    <row r="177" spans="1:22" ht="15.75" customHeight="1">
      <c r="A177" s="167">
        <v>154</v>
      </c>
      <c r="B177" s="168" t="s">
        <v>201</v>
      </c>
      <c r="C177" s="169" t="s">
        <v>71</v>
      </c>
      <c r="D177" s="26">
        <v>485179772.92000002</v>
      </c>
      <c r="E177" s="27">
        <f t="shared" si="119"/>
        <v>6.2843925278738668E-3</v>
      </c>
      <c r="F177" s="30">
        <v>1.73</v>
      </c>
      <c r="G177" s="30">
        <v>1.7471000000000001</v>
      </c>
      <c r="H177" s="29">
        <v>109</v>
      </c>
      <c r="I177" s="47">
        <v>3.6999999999999998E-2</v>
      </c>
      <c r="J177" s="47">
        <v>0.41260000000000002</v>
      </c>
      <c r="K177" s="26">
        <v>487864152.31999999</v>
      </c>
      <c r="L177" s="51">
        <f t="shared" si="120"/>
        <v>6.2555734071226572E-3</v>
      </c>
      <c r="M177" s="30">
        <v>1.7484999999999999</v>
      </c>
      <c r="N177" s="30">
        <v>1.76431</v>
      </c>
      <c r="O177" s="29">
        <v>115</v>
      </c>
      <c r="P177" s="47">
        <v>3.6999999999999998E-2</v>
      </c>
      <c r="Q177" s="47">
        <v>0.438</v>
      </c>
      <c r="R177" s="54">
        <f t="shared" si="121"/>
        <v>5.5327520845404165E-3</v>
      </c>
      <c r="S177" s="54">
        <f t="shared" si="122"/>
        <v>9.8506095815923227E-3</v>
      </c>
      <c r="T177" s="54">
        <f t="shared" si="122"/>
        <v>5.5045871559633031E-2</v>
      </c>
      <c r="U177" s="54">
        <f t="shared" si="123"/>
        <v>0</v>
      </c>
      <c r="V177" s="55">
        <f t="shared" si="123"/>
        <v>2.5399999999999978E-2</v>
      </c>
    </row>
    <row r="178" spans="1:22">
      <c r="A178" s="167">
        <v>155</v>
      </c>
      <c r="B178" s="168" t="s">
        <v>202</v>
      </c>
      <c r="C178" s="169" t="s">
        <v>29</v>
      </c>
      <c r="D178" s="30">
        <v>13526299756.549999</v>
      </c>
      <c r="E178" s="27">
        <f t="shared" si="119"/>
        <v>0.17520222784279404</v>
      </c>
      <c r="F178" s="30">
        <v>451.11</v>
      </c>
      <c r="G178" s="30">
        <v>455.66</v>
      </c>
      <c r="H178" s="29">
        <v>5525</v>
      </c>
      <c r="I178" s="47">
        <v>9.7000000000000003E-3</v>
      </c>
      <c r="J178" s="47">
        <v>0.39179999999999998</v>
      </c>
      <c r="K178" s="30">
        <v>13526299756.549999</v>
      </c>
      <c r="L178" s="51">
        <f t="shared" si="120"/>
        <v>0.17343918517371062</v>
      </c>
      <c r="M178" s="30">
        <v>459.29</v>
      </c>
      <c r="N178" s="30">
        <v>463.96</v>
      </c>
      <c r="O178" s="29">
        <v>5526</v>
      </c>
      <c r="P178" s="47">
        <v>1.8200000000000001E-2</v>
      </c>
      <c r="Q178" s="47">
        <v>0.41710000000000003</v>
      </c>
      <c r="R178" s="54">
        <f t="shared" si="121"/>
        <v>0</v>
      </c>
      <c r="S178" s="54">
        <f t="shared" si="122"/>
        <v>1.821533599613737E-2</v>
      </c>
      <c r="T178" s="54">
        <f t="shared" si="122"/>
        <v>1.8099547511312217E-4</v>
      </c>
      <c r="U178" s="54">
        <f t="shared" si="123"/>
        <v>8.5000000000000006E-3</v>
      </c>
      <c r="V178" s="55">
        <f t="shared" si="123"/>
        <v>2.5300000000000045E-2</v>
      </c>
    </row>
    <row r="179" spans="1:22">
      <c r="A179" s="167">
        <v>156</v>
      </c>
      <c r="B179" s="168" t="s">
        <v>203</v>
      </c>
      <c r="C179" s="169" t="s">
        <v>76</v>
      </c>
      <c r="D179" s="30">
        <v>4254721527.0100002</v>
      </c>
      <c r="E179" s="27">
        <f t="shared" si="119"/>
        <v>5.5110170837510464E-2</v>
      </c>
      <c r="F179" s="30">
        <v>2.9672000000000001</v>
      </c>
      <c r="G179" s="30">
        <v>3.0257000000000001</v>
      </c>
      <c r="H179" s="29">
        <v>10204</v>
      </c>
      <c r="I179" s="47">
        <v>6.4999999999999997E-3</v>
      </c>
      <c r="J179" s="47">
        <v>0.28120000000000001</v>
      </c>
      <c r="K179" s="30">
        <v>4312665445.3999996</v>
      </c>
      <c r="L179" s="51">
        <f t="shared" si="120"/>
        <v>5.5298580856511632E-2</v>
      </c>
      <c r="M179" s="30">
        <v>3.0072999999999999</v>
      </c>
      <c r="N179" s="30">
        <v>3.0672000000000001</v>
      </c>
      <c r="O179" s="29">
        <v>10204</v>
      </c>
      <c r="P179" s="47">
        <v>1.3599999999999999E-2</v>
      </c>
      <c r="Q179" s="47">
        <v>0.29870000000000002</v>
      </c>
      <c r="R179" s="54">
        <f t="shared" si="121"/>
        <v>1.3618733452273527E-2</v>
      </c>
      <c r="S179" s="54">
        <f t="shared" si="122"/>
        <v>1.3715834352381297E-2</v>
      </c>
      <c r="T179" s="54">
        <f t="shared" si="122"/>
        <v>0</v>
      </c>
      <c r="U179" s="54">
        <f t="shared" si="123"/>
        <v>7.0999999999999995E-3</v>
      </c>
      <c r="V179" s="55">
        <f t="shared" si="123"/>
        <v>1.7500000000000016E-2</v>
      </c>
    </row>
    <row r="180" spans="1:22">
      <c r="A180" s="167">
        <v>157</v>
      </c>
      <c r="B180" s="168" t="s">
        <v>204</v>
      </c>
      <c r="C180" s="169" t="s">
        <v>78</v>
      </c>
      <c r="D180" s="30">
        <v>294712880.77999997</v>
      </c>
      <c r="E180" s="27">
        <f t="shared" si="119"/>
        <v>3.8173302540940837E-3</v>
      </c>
      <c r="F180" s="30">
        <v>337.09469999999999</v>
      </c>
      <c r="G180" s="30">
        <v>339.40109999999999</v>
      </c>
      <c r="H180" s="29">
        <v>62</v>
      </c>
      <c r="I180" s="47">
        <v>-2.7000000000000001E-3</v>
      </c>
      <c r="J180" s="47">
        <v>0.17100000000000001</v>
      </c>
      <c r="K180" s="30">
        <v>295248329.50999999</v>
      </c>
      <c r="L180" s="51">
        <f t="shared" si="120"/>
        <v>3.785782558109933E-3</v>
      </c>
      <c r="M180" s="30">
        <v>338.92</v>
      </c>
      <c r="N180" s="30">
        <v>336.63</v>
      </c>
      <c r="O180" s="29">
        <v>65</v>
      </c>
      <c r="P180" s="47">
        <v>-1.9E-3</v>
      </c>
      <c r="Q180" s="47">
        <v>0.16930000000000001</v>
      </c>
      <c r="R180" s="54">
        <f t="shared" si="121"/>
        <v>1.8168487532098261E-3</v>
      </c>
      <c r="S180" s="54">
        <f t="shared" si="122"/>
        <v>-8.1646759542028293E-3</v>
      </c>
      <c r="T180" s="54">
        <f t="shared" si="122"/>
        <v>4.8387096774193547E-2</v>
      </c>
      <c r="U180" s="54">
        <f t="shared" si="123"/>
        <v>8.0000000000000015E-4</v>
      </c>
      <c r="V180" s="55">
        <f t="shared" si="123"/>
        <v>-1.7000000000000071E-3</v>
      </c>
    </row>
    <row r="181" spans="1:22">
      <c r="A181" s="167">
        <v>158</v>
      </c>
      <c r="B181" s="168" t="s">
        <v>205</v>
      </c>
      <c r="C181" s="168" t="s">
        <v>80</v>
      </c>
      <c r="D181" s="127">
        <v>70182645.291401297</v>
      </c>
      <c r="E181" s="27">
        <f t="shared" si="119"/>
        <v>9.0905539816975994E-4</v>
      </c>
      <c r="F181" s="30">
        <v>1.3560000000000001</v>
      </c>
      <c r="G181" s="30">
        <v>1.3819999999999999</v>
      </c>
      <c r="H181" s="29">
        <v>31</v>
      </c>
      <c r="I181" s="47">
        <v>1.9199999999999998E-2</v>
      </c>
      <c r="J181" s="47">
        <v>0.14860000000000001</v>
      </c>
      <c r="K181" s="127">
        <v>69642307.280848697</v>
      </c>
      <c r="L181" s="51">
        <f t="shared" si="120"/>
        <v>8.9297925122194333E-4</v>
      </c>
      <c r="M181" s="30">
        <v>1.347</v>
      </c>
      <c r="N181" s="30">
        <v>1.3720000000000001</v>
      </c>
      <c r="O181" s="29">
        <v>30</v>
      </c>
      <c r="P181" s="47">
        <v>-7.7000000000000002E-3</v>
      </c>
      <c r="Q181" s="47">
        <v>0.13980000000000001</v>
      </c>
      <c r="R181" s="54">
        <f t="shared" si="121"/>
        <v>-7.6990259958012964E-3</v>
      </c>
      <c r="S181" s="54">
        <f t="shared" si="122"/>
        <v>-7.2358900144716262E-3</v>
      </c>
      <c r="T181" s="54">
        <f t="shared" si="122"/>
        <v>-3.2258064516129031E-2</v>
      </c>
      <c r="U181" s="54">
        <f t="shared" si="123"/>
        <v>-2.69E-2</v>
      </c>
      <c r="V181" s="55">
        <f t="shared" si="123"/>
        <v>-8.8000000000000023E-3</v>
      </c>
    </row>
    <row r="182" spans="1:22" ht="13.5" customHeight="1">
      <c r="A182" s="167">
        <v>159</v>
      </c>
      <c r="B182" s="168" t="s">
        <v>206</v>
      </c>
      <c r="C182" s="169" t="s">
        <v>35</v>
      </c>
      <c r="D182" s="26">
        <v>4838618476.8299999</v>
      </c>
      <c r="E182" s="27">
        <f t="shared" si="119"/>
        <v>6.2673218254786431E-2</v>
      </c>
      <c r="F182" s="30">
        <v>6.0726000000000004</v>
      </c>
      <c r="G182" s="30">
        <v>6.2199</v>
      </c>
      <c r="H182" s="29">
        <v>2893</v>
      </c>
      <c r="I182" s="47">
        <v>2.0400000000000001E-2</v>
      </c>
      <c r="J182" s="47">
        <v>0.43240000000000001</v>
      </c>
      <c r="K182" s="26">
        <v>4654714986.6599998</v>
      </c>
      <c r="L182" s="51">
        <f t="shared" si="120"/>
        <v>5.9684465746904398E-2</v>
      </c>
      <c r="M182" s="30">
        <v>5.8048489999999999</v>
      </c>
      <c r="N182" s="30">
        <v>5.9542390000000003</v>
      </c>
      <c r="O182" s="29">
        <v>2985</v>
      </c>
      <c r="P182" s="47">
        <v>-4.41E-2</v>
      </c>
      <c r="Q182" s="47">
        <v>0.36930000000000002</v>
      </c>
      <c r="R182" s="54">
        <f t="shared" si="121"/>
        <v>-3.8007437670614541E-2</v>
      </c>
      <c r="S182" s="54">
        <f t="shared" si="122"/>
        <v>-4.2711458383575249E-2</v>
      </c>
      <c r="T182" s="54">
        <f t="shared" si="122"/>
        <v>3.180089872105081E-2</v>
      </c>
      <c r="U182" s="54">
        <f t="shared" si="123"/>
        <v>-6.4500000000000002E-2</v>
      </c>
      <c r="V182" s="55">
        <f t="shared" si="123"/>
        <v>-6.3099999999999989E-2</v>
      </c>
    </row>
    <row r="183" spans="1:22" ht="13.5" customHeight="1">
      <c r="A183" s="167">
        <v>160</v>
      </c>
      <c r="B183" s="168" t="s">
        <v>207</v>
      </c>
      <c r="C183" s="169" t="s">
        <v>208</v>
      </c>
      <c r="D183" s="26">
        <v>104728491.64</v>
      </c>
      <c r="E183" s="27">
        <f t="shared" si="119"/>
        <v>1.3565177013808408E-3</v>
      </c>
      <c r="F183" s="30">
        <v>2.67</v>
      </c>
      <c r="G183" s="30">
        <v>2.68</v>
      </c>
      <c r="H183" s="29">
        <v>108</v>
      </c>
      <c r="I183" s="47">
        <v>1.2E-2</v>
      </c>
      <c r="J183" s="47">
        <v>0.27100000000000002</v>
      </c>
      <c r="K183" s="26">
        <v>104728491.64</v>
      </c>
      <c r="L183" s="51">
        <f t="shared" si="120"/>
        <v>1.3428671980833182E-3</v>
      </c>
      <c r="M183" s="30">
        <v>2.71</v>
      </c>
      <c r="N183" s="30">
        <v>2.73</v>
      </c>
      <c r="O183" s="29">
        <v>108</v>
      </c>
      <c r="P183" s="47">
        <v>1.2E-2</v>
      </c>
      <c r="Q183" s="47">
        <v>0.28460000000000002</v>
      </c>
      <c r="R183" s="54">
        <f t="shared" si="121"/>
        <v>0</v>
      </c>
      <c r="S183" s="54">
        <f t="shared" si="122"/>
        <v>1.865671641791038E-2</v>
      </c>
      <c r="T183" s="54">
        <f t="shared" si="122"/>
        <v>0</v>
      </c>
      <c r="U183" s="54">
        <f>P183-I183</f>
        <v>0</v>
      </c>
      <c r="V183" s="55">
        <f>Q183-J183</f>
        <v>1.3600000000000001E-2</v>
      </c>
    </row>
    <row r="184" spans="1:22">
      <c r="A184" s="167">
        <v>161</v>
      </c>
      <c r="B184" s="168" t="s">
        <v>209</v>
      </c>
      <c r="C184" s="169" t="s">
        <v>130</v>
      </c>
      <c r="D184" s="26">
        <v>774133632.60000002</v>
      </c>
      <c r="E184" s="27">
        <f t="shared" si="119"/>
        <v>1.0027127856151298E-2</v>
      </c>
      <c r="F184" s="30">
        <v>342.41</v>
      </c>
      <c r="G184" s="30">
        <v>346.07</v>
      </c>
      <c r="H184" s="29">
        <v>158</v>
      </c>
      <c r="I184" s="47">
        <v>1.37E-2</v>
      </c>
      <c r="J184" s="47">
        <v>0.42720000000000002</v>
      </c>
      <c r="K184" s="26">
        <v>931997939.97000003</v>
      </c>
      <c r="L184" s="51">
        <f t="shared" si="120"/>
        <v>1.1950420011481592E-2</v>
      </c>
      <c r="M184" s="30">
        <v>346.15</v>
      </c>
      <c r="N184" s="30">
        <v>349.8</v>
      </c>
      <c r="O184" s="29">
        <v>158</v>
      </c>
      <c r="P184" s="47">
        <v>1.37E-2</v>
      </c>
      <c r="Q184" s="47">
        <v>0.42720000000000002</v>
      </c>
      <c r="R184" s="54">
        <f t="shared" si="121"/>
        <v>0.20392384560246787</v>
      </c>
      <c r="S184" s="54">
        <f t="shared" si="122"/>
        <v>1.0778166266940267E-2</v>
      </c>
      <c r="T184" s="54">
        <f t="shared" si="122"/>
        <v>0</v>
      </c>
      <c r="U184" s="54">
        <f t="shared" si="123"/>
        <v>0</v>
      </c>
      <c r="V184" s="55">
        <f t="shared" si="123"/>
        <v>0</v>
      </c>
    </row>
    <row r="185" spans="1:22">
      <c r="A185" s="167">
        <v>162</v>
      </c>
      <c r="B185" s="168" t="s">
        <v>210</v>
      </c>
      <c r="C185" s="169" t="s">
        <v>31</v>
      </c>
      <c r="D185" s="26">
        <v>2069536583.3499999</v>
      </c>
      <c r="E185" s="27">
        <f t="shared" si="119"/>
        <v>2.68061056261528E-2</v>
      </c>
      <c r="F185" s="30">
        <v>552.22</v>
      </c>
      <c r="G185" s="30">
        <v>552.22</v>
      </c>
      <c r="H185" s="29">
        <v>823</v>
      </c>
      <c r="I185" s="47">
        <v>1.1769999999999999E-2</v>
      </c>
      <c r="J185" s="47">
        <v>-5.1889999999999999E-2</v>
      </c>
      <c r="K185" s="26">
        <v>2161651755.4200001</v>
      </c>
      <c r="L185" s="51">
        <f t="shared" si="120"/>
        <v>2.7717493020056463E-2</v>
      </c>
      <c r="M185" s="30">
        <v>552.22</v>
      </c>
      <c r="N185" s="30">
        <v>552.22</v>
      </c>
      <c r="O185" s="29">
        <v>823</v>
      </c>
      <c r="P185" s="47">
        <v>1.1769999999999999E-2</v>
      </c>
      <c r="Q185" s="47">
        <v>1.8149999999999999E-2</v>
      </c>
      <c r="R185" s="54">
        <f t="shared" si="121"/>
        <v>4.4510047713624622E-2</v>
      </c>
      <c r="S185" s="54">
        <f t="shared" si="122"/>
        <v>0</v>
      </c>
      <c r="T185" s="54">
        <f t="shared" si="122"/>
        <v>0</v>
      </c>
      <c r="U185" s="54">
        <f t="shared" si="123"/>
        <v>0</v>
      </c>
      <c r="V185" s="55">
        <f t="shared" si="123"/>
        <v>7.0039999999999991E-2</v>
      </c>
    </row>
    <row r="186" spans="1:22">
      <c r="A186" s="167">
        <v>163</v>
      </c>
      <c r="B186" s="168" t="s">
        <v>211</v>
      </c>
      <c r="C186" s="169" t="s">
        <v>87</v>
      </c>
      <c r="D186" s="30">
        <v>47902210.399999999</v>
      </c>
      <c r="E186" s="27">
        <f t="shared" si="119"/>
        <v>6.2046340327555013E-4</v>
      </c>
      <c r="F186" s="30">
        <v>2.56</v>
      </c>
      <c r="G186" s="30">
        <v>2.56</v>
      </c>
      <c r="H186" s="29">
        <v>8</v>
      </c>
      <c r="I186" s="47">
        <v>1.6080000000000001E-3</v>
      </c>
      <c r="J186" s="47">
        <v>0.36904700000000001</v>
      </c>
      <c r="K186" s="30">
        <v>48478054.880000003</v>
      </c>
      <c r="L186" s="51">
        <f t="shared" si="120"/>
        <v>6.2160343098430334E-4</v>
      </c>
      <c r="M186" s="30">
        <v>2.6</v>
      </c>
      <c r="N186" s="30">
        <v>2.6</v>
      </c>
      <c r="O186" s="29">
        <v>8</v>
      </c>
      <c r="P186" s="47">
        <v>1.2021E-2</v>
      </c>
      <c r="Q186" s="47">
        <v>0.38550499999999999</v>
      </c>
      <c r="R186" s="54">
        <f t="shared" si="121"/>
        <v>1.2021250693684152E-2</v>
      </c>
      <c r="S186" s="54">
        <f t="shared" si="122"/>
        <v>1.5625000000000014E-2</v>
      </c>
      <c r="T186" s="54">
        <f t="shared" si="122"/>
        <v>0</v>
      </c>
      <c r="U186" s="54">
        <f t="shared" si="123"/>
        <v>1.0413E-2</v>
      </c>
      <c r="V186" s="55">
        <f t="shared" si="123"/>
        <v>1.6457999999999973E-2</v>
      </c>
    </row>
    <row r="187" spans="1:22">
      <c r="A187" s="167">
        <v>164</v>
      </c>
      <c r="B187" s="168" t="s">
        <v>212</v>
      </c>
      <c r="C187" s="169" t="s">
        <v>43</v>
      </c>
      <c r="D187" s="30">
        <v>373607750.72000003</v>
      </c>
      <c r="E187" s="27">
        <f t="shared" si="119"/>
        <v>4.8392325649727133E-3</v>
      </c>
      <c r="F187" s="30">
        <v>3.46</v>
      </c>
      <c r="G187" s="30">
        <v>3.54</v>
      </c>
      <c r="H187" s="29">
        <v>139</v>
      </c>
      <c r="I187" s="47">
        <v>5.7999999999999996E-3</v>
      </c>
      <c r="J187" s="47">
        <v>0.32469999999999999</v>
      </c>
      <c r="K187" s="30">
        <v>391149991.33999997</v>
      </c>
      <c r="L187" s="51">
        <f t="shared" si="120"/>
        <v>5.0154689013055653E-3</v>
      </c>
      <c r="M187" s="30">
        <v>3.52</v>
      </c>
      <c r="N187" s="30">
        <v>3.59</v>
      </c>
      <c r="O187" s="29">
        <v>141</v>
      </c>
      <c r="P187" s="47">
        <v>2.24E-2</v>
      </c>
      <c r="Q187" s="47">
        <v>0.34710000000000002</v>
      </c>
      <c r="R187" s="54">
        <f t="shared" si="121"/>
        <v>4.6953631412071428E-2</v>
      </c>
      <c r="S187" s="54">
        <f t="shared" si="122"/>
        <v>1.4124293785310684E-2</v>
      </c>
      <c r="T187" s="54">
        <f t="shared" si="122"/>
        <v>1.4388489208633094E-2</v>
      </c>
      <c r="U187" s="54">
        <f t="shared" si="123"/>
        <v>1.66E-2</v>
      </c>
      <c r="V187" s="55">
        <f t="shared" si="123"/>
        <v>2.2400000000000031E-2</v>
      </c>
    </row>
    <row r="188" spans="1:22">
      <c r="A188" s="167">
        <v>165</v>
      </c>
      <c r="B188" s="168" t="s">
        <v>213</v>
      </c>
      <c r="C188" s="169" t="s">
        <v>47</v>
      </c>
      <c r="D188" s="26">
        <v>4024365941.48</v>
      </c>
      <c r="E188" s="27">
        <f t="shared" si="119"/>
        <v>5.21264419162773E-2</v>
      </c>
      <c r="F188" s="30">
        <v>9249.7000000000007</v>
      </c>
      <c r="G188" s="30">
        <v>9343.5300000000007</v>
      </c>
      <c r="H188" s="29">
        <v>2971</v>
      </c>
      <c r="I188" s="47">
        <v>1.55E-2</v>
      </c>
      <c r="J188" s="47">
        <v>0.4516</v>
      </c>
      <c r="K188" s="26">
        <v>4157697567.0700002</v>
      </c>
      <c r="L188" s="27">
        <f t="shared" si="120"/>
        <v>5.3311525783845612E-2</v>
      </c>
      <c r="M188" s="30">
        <v>9399.06</v>
      </c>
      <c r="N188" s="30">
        <v>9493.59</v>
      </c>
      <c r="O188" s="29">
        <v>3043</v>
      </c>
      <c r="P188" s="47">
        <v>1.61E-2</v>
      </c>
      <c r="Q188" s="47">
        <v>0.47489999999999999</v>
      </c>
      <c r="R188" s="54">
        <f t="shared" si="121"/>
        <v>3.3131088854450978E-2</v>
      </c>
      <c r="S188" s="54">
        <f t="shared" si="122"/>
        <v>1.6060311252813389E-2</v>
      </c>
      <c r="T188" s="54">
        <f t="shared" si="122"/>
        <v>2.4234264557388085E-2</v>
      </c>
      <c r="U188" s="54">
        <f t="shared" si="123"/>
        <v>5.9999999999999984E-4</v>
      </c>
      <c r="V188" s="55">
        <f t="shared" si="123"/>
        <v>2.3299999999999987E-2</v>
      </c>
    </row>
    <row r="189" spans="1:22">
      <c r="A189" s="167">
        <v>166</v>
      </c>
      <c r="B189" s="168" t="s">
        <v>214</v>
      </c>
      <c r="C189" s="168" t="s">
        <v>97</v>
      </c>
      <c r="D189" s="26">
        <v>142622069.63999999</v>
      </c>
      <c r="E189" s="27">
        <f t="shared" si="119"/>
        <v>1.8473421992868395E-3</v>
      </c>
      <c r="F189" s="30">
        <v>1384.63</v>
      </c>
      <c r="G189" s="30">
        <v>1404.65</v>
      </c>
      <c r="H189" s="29">
        <v>28</v>
      </c>
      <c r="I189" s="47">
        <v>5.3E-3</v>
      </c>
      <c r="J189" s="47">
        <v>0.24909999999999999</v>
      </c>
      <c r="K189" s="26">
        <v>148446728.86000001</v>
      </c>
      <c r="L189" s="27">
        <f t="shared" si="120"/>
        <v>1.9034384982273985E-3</v>
      </c>
      <c r="M189" s="30">
        <v>1394.76</v>
      </c>
      <c r="N189" s="30">
        <v>1414.34</v>
      </c>
      <c r="O189" s="29">
        <v>32</v>
      </c>
      <c r="P189" s="47">
        <v>4.0399999999999998E-2</v>
      </c>
      <c r="Q189" s="47">
        <v>0.25700000000000001</v>
      </c>
      <c r="R189" s="54">
        <f t="shared" si="121"/>
        <v>4.0839816970139074E-2</v>
      </c>
      <c r="S189" s="54">
        <f t="shared" si="122"/>
        <v>6.8985156444664698E-3</v>
      </c>
      <c r="T189" s="54">
        <f t="shared" si="122"/>
        <v>0.14285714285714285</v>
      </c>
      <c r="U189" s="54">
        <f t="shared" si="123"/>
        <v>3.5099999999999999E-2</v>
      </c>
      <c r="V189" s="55">
        <f t="shared" si="123"/>
        <v>7.9000000000000181E-3</v>
      </c>
    </row>
    <row r="190" spans="1:22">
      <c r="A190" s="167">
        <v>167</v>
      </c>
      <c r="B190" s="168" t="s">
        <v>215</v>
      </c>
      <c r="C190" s="168" t="s">
        <v>80</v>
      </c>
      <c r="D190" s="26">
        <v>762355654.46000004</v>
      </c>
      <c r="E190" s="27">
        <f t="shared" si="119"/>
        <v>9.874571129866087E-3</v>
      </c>
      <c r="F190" s="30">
        <v>1.4490000000000001</v>
      </c>
      <c r="G190" s="30">
        <v>1.4490000000000001</v>
      </c>
      <c r="H190" s="29">
        <v>49</v>
      </c>
      <c r="I190" s="47">
        <v>2.5999999999999999E-3</v>
      </c>
      <c r="J190" s="47">
        <v>8.14E-2</v>
      </c>
      <c r="K190" s="26">
        <v>766322710.88807297</v>
      </c>
      <c r="L190" s="27">
        <f t="shared" si="120"/>
        <v>9.8260713534886468E-3</v>
      </c>
      <c r="M190" s="30">
        <v>1.45635148137975</v>
      </c>
      <c r="N190" s="30">
        <v>1.45635148137975</v>
      </c>
      <c r="O190" s="29">
        <v>49</v>
      </c>
      <c r="P190" s="47">
        <v>2.5999999999999999E-3</v>
      </c>
      <c r="Q190" s="47">
        <v>8.6999999999999994E-2</v>
      </c>
      <c r="R190" s="54">
        <f t="shared" si="121"/>
        <v>5.2036820411372397E-3</v>
      </c>
      <c r="S190" s="54">
        <f t="shared" si="122"/>
        <v>5.0734861143891972E-3</v>
      </c>
      <c r="T190" s="54">
        <f t="shared" si="122"/>
        <v>0</v>
      </c>
      <c r="U190" s="54">
        <f t="shared" si="123"/>
        <v>0</v>
      </c>
      <c r="V190" s="55">
        <f t="shared" si="123"/>
        <v>5.5999999999999939E-3</v>
      </c>
    </row>
    <row r="191" spans="1:22">
      <c r="A191" s="167">
        <v>168</v>
      </c>
      <c r="B191" s="168" t="s">
        <v>216</v>
      </c>
      <c r="C191" s="169" t="s">
        <v>50</v>
      </c>
      <c r="D191" s="30">
        <v>3297910771.5300002</v>
      </c>
      <c r="E191" s="27">
        <f t="shared" si="119"/>
        <v>4.2716879323852652E-2</v>
      </c>
      <c r="F191" s="30">
        <v>2.1394000000000002</v>
      </c>
      <c r="G191" s="30">
        <v>2.1541999999999999</v>
      </c>
      <c r="H191" s="29">
        <v>2724</v>
      </c>
      <c r="I191" s="47">
        <v>3.8E-3</v>
      </c>
      <c r="J191" s="47">
        <v>0.28249999999999997</v>
      </c>
      <c r="K191" s="30">
        <v>3288436261.7600002</v>
      </c>
      <c r="L191" s="51">
        <f t="shared" si="120"/>
        <v>4.2165537952029576E-2</v>
      </c>
      <c r="M191" s="30">
        <v>2.1787999999999998</v>
      </c>
      <c r="N191" s="30">
        <v>2.1947000000000001</v>
      </c>
      <c r="O191" s="29">
        <v>2740</v>
      </c>
      <c r="P191" s="47">
        <v>1.84E-2</v>
      </c>
      <c r="Q191" s="47">
        <v>0.3024</v>
      </c>
      <c r="R191" s="54">
        <f t="shared" si="121"/>
        <v>-2.8728823871740079E-3</v>
      </c>
      <c r="S191" s="54">
        <f t="shared" si="122"/>
        <v>1.880048277782945E-2</v>
      </c>
      <c r="T191" s="54">
        <f t="shared" si="122"/>
        <v>5.8737151248164461E-3</v>
      </c>
      <c r="U191" s="54">
        <f t="shared" si="123"/>
        <v>1.46E-2</v>
      </c>
      <c r="V191" s="55">
        <f t="shared" si="123"/>
        <v>1.9900000000000029E-2</v>
      </c>
    </row>
    <row r="192" spans="1:22">
      <c r="A192" s="167">
        <v>169</v>
      </c>
      <c r="B192" s="168" t="s">
        <v>217</v>
      </c>
      <c r="C192" s="169" t="s">
        <v>50</v>
      </c>
      <c r="D192" s="30">
        <v>2029119895.8399999</v>
      </c>
      <c r="E192" s="27">
        <f t="shared" si="119"/>
        <v>2.6282600024382513E-2</v>
      </c>
      <c r="F192" s="30">
        <v>1.6918</v>
      </c>
      <c r="G192" s="30">
        <v>1.7023999999999999</v>
      </c>
      <c r="H192" s="29">
        <v>1262</v>
      </c>
      <c r="I192" s="47">
        <v>5.7000000000000002E-3</v>
      </c>
      <c r="J192" s="47">
        <v>0.31230000000000002</v>
      </c>
      <c r="K192" s="30">
        <v>2070606448.4100001</v>
      </c>
      <c r="L192" s="51">
        <f t="shared" si="120"/>
        <v>2.6550076642635274E-2</v>
      </c>
      <c r="M192" s="30">
        <v>1.7188000000000001</v>
      </c>
      <c r="N192" s="30">
        <v>1.7302999999999999</v>
      </c>
      <c r="O192" s="29">
        <v>1281</v>
      </c>
      <c r="P192" s="47">
        <v>1.6E-2</v>
      </c>
      <c r="Q192" s="47">
        <v>0.33100000000000002</v>
      </c>
      <c r="R192" s="54">
        <f t="shared" si="121"/>
        <v>2.0445589565729373E-2</v>
      </c>
      <c r="S192" s="54">
        <f t="shared" si="122"/>
        <v>1.6388627819548893E-2</v>
      </c>
      <c r="T192" s="54">
        <f t="shared" si="122"/>
        <v>1.5055467511885896E-2</v>
      </c>
      <c r="U192" s="54">
        <f t="shared" si="123"/>
        <v>1.03E-2</v>
      </c>
      <c r="V192" s="55">
        <f t="shared" si="123"/>
        <v>1.8699999999999994E-2</v>
      </c>
    </row>
    <row r="193" spans="1:24">
      <c r="A193" s="167">
        <v>170</v>
      </c>
      <c r="B193" s="168" t="s">
        <v>218</v>
      </c>
      <c r="C193" s="169" t="s">
        <v>101</v>
      </c>
      <c r="D193" s="26">
        <v>11958295852.049999</v>
      </c>
      <c r="E193" s="27">
        <f t="shared" si="119"/>
        <v>0.15489232918025925</v>
      </c>
      <c r="F193" s="30">
        <v>692.17</v>
      </c>
      <c r="G193" s="30">
        <v>700.82</v>
      </c>
      <c r="H193" s="29">
        <v>35</v>
      </c>
      <c r="I193" s="47">
        <v>2.7000000000000001E-3</v>
      </c>
      <c r="J193" s="47">
        <v>0.3387</v>
      </c>
      <c r="K193" s="26">
        <v>12046829464.700001</v>
      </c>
      <c r="L193" s="51">
        <f t="shared" si="120"/>
        <v>0.15446887351971078</v>
      </c>
      <c r="M193" s="30">
        <v>697.22</v>
      </c>
      <c r="N193" s="30">
        <v>706.04</v>
      </c>
      <c r="O193" s="29">
        <v>35</v>
      </c>
      <c r="P193" s="47">
        <v>7.4000000000000003E-3</v>
      </c>
      <c r="Q193" s="47">
        <v>0.34860000000000002</v>
      </c>
      <c r="R193" s="54">
        <f t="shared" si="121"/>
        <v>7.4035308831085908E-3</v>
      </c>
      <c r="S193" s="54">
        <f t="shared" si="122"/>
        <v>7.4484175679916569E-3</v>
      </c>
      <c r="T193" s="54">
        <f t="shared" si="122"/>
        <v>0</v>
      </c>
      <c r="U193" s="54">
        <f t="shared" si="123"/>
        <v>4.7000000000000002E-3</v>
      </c>
      <c r="V193" s="55">
        <f t="shared" si="123"/>
        <v>9.9000000000000199E-3</v>
      </c>
    </row>
    <row r="194" spans="1:24">
      <c r="A194" s="33"/>
      <c r="B194" s="34"/>
      <c r="C194" s="35" t="s">
        <v>51</v>
      </c>
      <c r="D194" s="71">
        <f>SUM(D166:D193)</f>
        <v>77203925561.30574</v>
      </c>
      <c r="E194" s="37">
        <f>(D194/$D$226)</f>
        <v>1.1333169070981527E-2</v>
      </c>
      <c r="F194" s="38"/>
      <c r="G194" s="72"/>
      <c r="H194" s="40">
        <f>SUM(H166:H193)</f>
        <v>74295</v>
      </c>
      <c r="I194" s="78"/>
      <c r="J194" s="78"/>
      <c r="K194" s="71">
        <f>SUM(K166:K193)</f>
        <v>77988718310.700836</v>
      </c>
      <c r="L194" s="37">
        <f>(K194/$K$226)</f>
        <v>1.1260833065180685E-2</v>
      </c>
      <c r="M194" s="38"/>
      <c r="N194" s="72"/>
      <c r="O194" s="40">
        <f>SUM(O166:O193)</f>
        <v>74765</v>
      </c>
      <c r="P194" s="78"/>
      <c r="Q194" s="78"/>
      <c r="R194" s="54">
        <f t="shared" ref="R194" si="129">((K194-D194)/D194)</f>
        <v>1.0165192296755832E-2</v>
      </c>
      <c r="S194" s="54" t="e">
        <f t="shared" ref="S194" si="130">((N194-G194)/G194)</f>
        <v>#DIV/0!</v>
      </c>
      <c r="T194" s="54">
        <f t="shared" ref="T194" si="131">((O194-H194)/H194)</f>
        <v>6.326132310384279E-3</v>
      </c>
      <c r="U194" s="54">
        <f t="shared" ref="U194" si="132">P194-I194</f>
        <v>0</v>
      </c>
      <c r="V194" s="55">
        <f t="shared" ref="V194" si="133">Q194-J194</f>
        <v>0</v>
      </c>
    </row>
    <row r="195" spans="1:24" ht="5.25" customHeight="1">
      <c r="A195" s="33"/>
      <c r="B195" s="181"/>
      <c r="C195" s="181"/>
      <c r="D195" s="181"/>
      <c r="E195" s="181"/>
      <c r="F195" s="181"/>
      <c r="G195" s="181"/>
      <c r="H195" s="181"/>
      <c r="I195" s="181"/>
      <c r="J195" s="181"/>
      <c r="K195" s="181"/>
      <c r="L195" s="181"/>
      <c r="M195" s="181"/>
      <c r="N195" s="181"/>
      <c r="O195" s="181"/>
      <c r="P195" s="181"/>
      <c r="Q195" s="181"/>
      <c r="R195" s="181"/>
      <c r="S195" s="181"/>
      <c r="T195" s="181"/>
      <c r="U195" s="181"/>
      <c r="V195" s="181"/>
    </row>
    <row r="196" spans="1:24" ht="15" customHeight="1">
      <c r="A196" s="183" t="s">
        <v>219</v>
      </c>
      <c r="B196" s="183"/>
      <c r="C196" s="183"/>
      <c r="D196" s="183"/>
      <c r="E196" s="183"/>
      <c r="F196" s="183"/>
      <c r="G196" s="183"/>
      <c r="H196" s="183"/>
      <c r="I196" s="183"/>
      <c r="J196" s="183"/>
      <c r="K196" s="183"/>
      <c r="L196" s="183"/>
      <c r="M196" s="183"/>
      <c r="N196" s="183"/>
      <c r="O196" s="183"/>
      <c r="P196" s="183"/>
      <c r="Q196" s="183"/>
      <c r="R196" s="183"/>
      <c r="S196" s="183"/>
      <c r="T196" s="183"/>
      <c r="U196" s="183"/>
      <c r="V196" s="183"/>
    </row>
    <row r="197" spans="1:24">
      <c r="A197" s="171">
        <v>171</v>
      </c>
      <c r="B197" s="168" t="s">
        <v>220</v>
      </c>
      <c r="C197" s="169" t="s">
        <v>221</v>
      </c>
      <c r="D197" s="74">
        <v>1442189250.8900001</v>
      </c>
      <c r="E197" s="27">
        <f>(D197/$D$199)</f>
        <v>0.17543010520365102</v>
      </c>
      <c r="F197" s="73">
        <v>39.983800000000002</v>
      </c>
      <c r="G197" s="73">
        <v>40.370199999999997</v>
      </c>
      <c r="H197" s="29">
        <v>1496</v>
      </c>
      <c r="I197" s="47">
        <v>5.7999999999999996E-3</v>
      </c>
      <c r="J197" s="47">
        <v>0.50660000000000005</v>
      </c>
      <c r="K197" s="74">
        <v>1431080064.9300001</v>
      </c>
      <c r="L197" s="51">
        <f>(K197/$K$199)</f>
        <v>0.17241105309060706</v>
      </c>
      <c r="M197" s="73">
        <v>39.983800000000002</v>
      </c>
      <c r="N197" s="73">
        <v>40.370199999999997</v>
      </c>
      <c r="O197" s="29">
        <v>1497</v>
      </c>
      <c r="P197" s="47">
        <v>5.4999999999999997E-3</v>
      </c>
      <c r="Q197" s="47">
        <v>0.50539999999999996</v>
      </c>
      <c r="R197" s="54">
        <f>((K197-D197)/D197)</f>
        <v>-7.7030014979964428E-3</v>
      </c>
      <c r="S197" s="54">
        <f t="shared" ref="S197:T199" si="134">((N197-G197)/G197)</f>
        <v>0</v>
      </c>
      <c r="T197" s="54">
        <f t="shared" si="134"/>
        <v>6.6844919786096253E-4</v>
      </c>
      <c r="U197" s="54">
        <f t="shared" ref="U197:V199" si="135">P197-I197</f>
        <v>-2.9999999999999992E-4</v>
      </c>
      <c r="V197" s="55">
        <f t="shared" si="135"/>
        <v>-1.2000000000000899E-3</v>
      </c>
    </row>
    <row r="198" spans="1:24">
      <c r="A198" s="171">
        <v>172</v>
      </c>
      <c r="B198" s="168" t="s">
        <v>222</v>
      </c>
      <c r="C198" s="169" t="s">
        <v>47</v>
      </c>
      <c r="D198" s="41">
        <v>6778687372.3999996</v>
      </c>
      <c r="E198" s="27">
        <f>(D198/$D$199)</f>
        <v>0.8245698947963489</v>
      </c>
      <c r="F198" s="73">
        <v>4.41</v>
      </c>
      <c r="G198" s="73">
        <v>4.47</v>
      </c>
      <c r="H198" s="29">
        <v>11201</v>
      </c>
      <c r="I198" s="47">
        <v>8.9999999999999993E-3</v>
      </c>
      <c r="J198" s="47">
        <v>0.54139999999999999</v>
      </c>
      <c r="K198" s="41">
        <v>6869316222.1800003</v>
      </c>
      <c r="L198" s="51">
        <f>(K198/$K$199)</f>
        <v>0.82758894690939289</v>
      </c>
      <c r="M198" s="73">
        <v>4.47</v>
      </c>
      <c r="N198" s="73">
        <v>4.54</v>
      </c>
      <c r="O198" s="29">
        <v>11255</v>
      </c>
      <c r="P198" s="47">
        <v>1.5699999999999999E-2</v>
      </c>
      <c r="Q198" s="47">
        <v>0.5655</v>
      </c>
      <c r="R198" s="54">
        <f>((K198-D198)/D198)</f>
        <v>1.3369675396007159E-2</v>
      </c>
      <c r="S198" s="54">
        <f t="shared" si="134"/>
        <v>1.5659955257270756E-2</v>
      </c>
      <c r="T198" s="54">
        <f t="shared" si="134"/>
        <v>4.8209981251673955E-3</v>
      </c>
      <c r="U198" s="54">
        <f t="shared" si="135"/>
        <v>6.6999999999999994E-3</v>
      </c>
      <c r="V198" s="55">
        <f t="shared" si="135"/>
        <v>2.410000000000001E-2</v>
      </c>
    </row>
    <row r="199" spans="1:24">
      <c r="A199" s="33"/>
      <c r="B199" s="34"/>
      <c r="C199" s="67" t="s">
        <v>51</v>
      </c>
      <c r="D199" s="71">
        <f>SUM(D197:D198)</f>
        <v>8220876623.29</v>
      </c>
      <c r="E199" s="37">
        <f>(D199/$D$226)</f>
        <v>1.2067855877282096E-3</v>
      </c>
      <c r="F199" s="38"/>
      <c r="G199" s="72"/>
      <c r="H199" s="40">
        <f>SUM(H197:H198)</f>
        <v>12697</v>
      </c>
      <c r="I199" s="78"/>
      <c r="J199" s="78"/>
      <c r="K199" s="71">
        <f>SUM(K197:K198)</f>
        <v>8300396287.1100006</v>
      </c>
      <c r="L199" s="37">
        <f>(K199/$K$226)</f>
        <v>1.198498692998348E-3</v>
      </c>
      <c r="M199" s="38"/>
      <c r="N199" s="72"/>
      <c r="O199" s="40">
        <f>SUM(O197:O198)</f>
        <v>12752</v>
      </c>
      <c r="P199" s="78"/>
      <c r="Q199" s="78"/>
      <c r="R199" s="54">
        <f>((K199-D199)/D199)</f>
        <v>9.6728934715695596E-3</v>
      </c>
      <c r="S199" s="54" t="e">
        <f t="shared" si="134"/>
        <v>#DIV/0!</v>
      </c>
      <c r="T199" s="54">
        <f t="shared" si="134"/>
        <v>4.3317319051744503E-3</v>
      </c>
      <c r="U199" s="54">
        <f t="shared" si="135"/>
        <v>0</v>
      </c>
      <c r="V199" s="55">
        <f t="shared" si="135"/>
        <v>0</v>
      </c>
    </row>
    <row r="200" spans="1:24" ht="6" customHeight="1">
      <c r="A200" s="33"/>
      <c r="B200" s="181"/>
      <c r="C200" s="181"/>
      <c r="D200" s="181"/>
      <c r="E200" s="181"/>
      <c r="F200" s="181"/>
      <c r="G200" s="181"/>
      <c r="H200" s="181"/>
      <c r="I200" s="181"/>
      <c r="J200" s="181"/>
      <c r="K200" s="181"/>
      <c r="L200" s="181"/>
      <c r="M200" s="181"/>
      <c r="N200" s="181"/>
      <c r="O200" s="181"/>
      <c r="P200" s="181"/>
      <c r="Q200" s="181"/>
      <c r="R200" s="181"/>
      <c r="S200" s="181"/>
      <c r="T200" s="181"/>
      <c r="U200" s="181"/>
      <c r="V200" s="181"/>
    </row>
    <row r="201" spans="1:24" ht="15" customHeight="1">
      <c r="A201" s="184" t="s">
        <v>223</v>
      </c>
      <c r="B201" s="184"/>
      <c r="C201" s="184"/>
      <c r="D201" s="184"/>
      <c r="E201" s="184"/>
      <c r="F201" s="184"/>
      <c r="G201" s="184"/>
      <c r="H201" s="184"/>
      <c r="I201" s="184"/>
      <c r="J201" s="184"/>
      <c r="K201" s="184"/>
      <c r="L201" s="184"/>
      <c r="M201" s="184"/>
      <c r="N201" s="184"/>
      <c r="O201" s="184"/>
      <c r="P201" s="184"/>
      <c r="Q201" s="184"/>
      <c r="R201" s="184"/>
      <c r="S201" s="184"/>
      <c r="T201" s="184"/>
      <c r="U201" s="184"/>
      <c r="V201" s="184"/>
    </row>
    <row r="202" spans="1:24">
      <c r="A202" s="185" t="s">
        <v>224</v>
      </c>
      <c r="B202" s="185"/>
      <c r="C202" s="185"/>
      <c r="D202" s="185"/>
      <c r="E202" s="185"/>
      <c r="F202" s="185"/>
      <c r="G202" s="185"/>
      <c r="H202" s="185"/>
      <c r="I202" s="185"/>
      <c r="J202" s="185"/>
      <c r="K202" s="185"/>
      <c r="L202" s="185"/>
      <c r="M202" s="185"/>
      <c r="N202" s="185"/>
      <c r="O202" s="185"/>
      <c r="P202" s="185"/>
      <c r="Q202" s="185"/>
      <c r="R202" s="185"/>
      <c r="S202" s="185"/>
      <c r="T202" s="185"/>
      <c r="U202" s="185"/>
      <c r="V202" s="185"/>
    </row>
    <row r="203" spans="1:24">
      <c r="A203" s="171">
        <v>173</v>
      </c>
      <c r="B203" s="168" t="s">
        <v>225</v>
      </c>
      <c r="C203" s="169" t="s">
        <v>226</v>
      </c>
      <c r="D203" s="44">
        <v>4949109231.5900002</v>
      </c>
      <c r="E203" s="27">
        <f>(D203/$D$225)</f>
        <v>7.5077617510097575E-2</v>
      </c>
      <c r="F203" s="75">
        <v>2.27</v>
      </c>
      <c r="G203" s="75">
        <v>2.31</v>
      </c>
      <c r="H203" s="43">
        <v>15172</v>
      </c>
      <c r="I203" s="50">
        <v>1.21E-2</v>
      </c>
      <c r="J203" s="50">
        <v>0.28820000000000001</v>
      </c>
      <c r="K203" s="44">
        <v>7219665580.04</v>
      </c>
      <c r="L203" s="27">
        <f>(K203/$K$225)</f>
        <v>0.10529524949146334</v>
      </c>
      <c r="M203" s="75">
        <v>2.8</v>
      </c>
      <c r="N203" s="75">
        <v>2.85</v>
      </c>
      <c r="O203" s="43">
        <v>15200</v>
      </c>
      <c r="P203" s="50">
        <v>-4.3799999999999999E-2</v>
      </c>
      <c r="Q203" s="50">
        <v>0.29730000000000001</v>
      </c>
      <c r="R203" s="53">
        <f>((K203-D203)/D203)</f>
        <v>0.45878081129369985</v>
      </c>
      <c r="S203" s="53">
        <f>((N203-G203)/G203)</f>
        <v>0.23376623376623379</v>
      </c>
      <c r="T203" s="53">
        <f>((O203-H203)/H203)</f>
        <v>1.8455048774057474E-3</v>
      </c>
      <c r="U203" s="53">
        <f>P203-I203</f>
        <v>-5.5899999999999998E-2</v>
      </c>
      <c r="V203" s="141">
        <f>Q203-J203</f>
        <v>9.099999999999997E-3</v>
      </c>
    </row>
    <row r="204" spans="1:24">
      <c r="A204" s="171">
        <v>174</v>
      </c>
      <c r="B204" s="168" t="s">
        <v>227</v>
      </c>
      <c r="C204" s="169" t="s">
        <v>47</v>
      </c>
      <c r="D204" s="44">
        <v>3059110320.52</v>
      </c>
      <c r="E204" s="27">
        <f>(D204/$D$225)</f>
        <v>4.640647514894438E-2</v>
      </c>
      <c r="F204" s="75">
        <v>861.43</v>
      </c>
      <c r="G204" s="75">
        <v>872.52</v>
      </c>
      <c r="H204" s="43">
        <v>1907</v>
      </c>
      <c r="I204" s="50">
        <v>1.5299999999999999E-2</v>
      </c>
      <c r="J204" s="50">
        <v>0.7288</v>
      </c>
      <c r="K204" s="44">
        <v>3257896780.52</v>
      </c>
      <c r="L204" s="27">
        <f>(K204/$K$225)</f>
        <v>4.7514812219375396E-2</v>
      </c>
      <c r="M204" s="75">
        <v>886.06</v>
      </c>
      <c r="N204" s="75">
        <v>897.18</v>
      </c>
      <c r="O204" s="43">
        <v>1980</v>
      </c>
      <c r="P204" s="50">
        <v>2.8299999999999999E-2</v>
      </c>
      <c r="Q204" s="50">
        <v>0.77769999999999995</v>
      </c>
      <c r="R204" s="53">
        <f>((K204-D204)/D204)</f>
        <v>6.4981788550276753E-2</v>
      </c>
      <c r="S204" s="53">
        <f>((N204-G204)/G204)</f>
        <v>2.8262962453582691E-2</v>
      </c>
      <c r="T204" s="53">
        <f>((O204-H204)/H204)</f>
        <v>3.8280020975353962E-2</v>
      </c>
      <c r="U204" s="53">
        <f>P204-I204</f>
        <v>1.2999999999999999E-2</v>
      </c>
      <c r="V204" s="141">
        <f>Q204-J204</f>
        <v>4.8899999999999944E-2</v>
      </c>
    </row>
    <row r="205" spans="1:24" ht="6" customHeight="1">
      <c r="A205" s="140"/>
      <c r="B205" s="181"/>
      <c r="C205" s="181"/>
      <c r="D205" s="181"/>
      <c r="E205" s="181"/>
      <c r="F205" s="181"/>
      <c r="G205" s="181"/>
      <c r="H205" s="181"/>
      <c r="I205" s="181"/>
      <c r="J205" s="181"/>
      <c r="K205" s="181"/>
      <c r="L205" s="181"/>
      <c r="M205" s="181"/>
      <c r="N205" s="181"/>
      <c r="O205" s="181"/>
      <c r="P205" s="181"/>
      <c r="Q205" s="181"/>
      <c r="R205" s="181"/>
      <c r="S205" s="181"/>
      <c r="T205" s="181"/>
      <c r="U205" s="181"/>
      <c r="V205" s="181"/>
    </row>
    <row r="206" spans="1:24" ht="15" customHeight="1">
      <c r="A206" s="185" t="s">
        <v>169</v>
      </c>
      <c r="B206" s="185"/>
      <c r="C206" s="185"/>
      <c r="D206" s="185"/>
      <c r="E206" s="185"/>
      <c r="F206" s="185"/>
      <c r="G206" s="185"/>
      <c r="H206" s="185"/>
      <c r="I206" s="185"/>
      <c r="J206" s="185"/>
      <c r="K206" s="185"/>
      <c r="L206" s="185"/>
      <c r="M206" s="185"/>
      <c r="N206" s="185"/>
      <c r="O206" s="185"/>
      <c r="P206" s="185"/>
      <c r="Q206" s="185"/>
      <c r="R206" s="185"/>
      <c r="S206" s="185"/>
      <c r="T206" s="185"/>
      <c r="U206" s="185"/>
      <c r="V206" s="185"/>
    </row>
    <row r="207" spans="1:24">
      <c r="A207" s="171">
        <v>175</v>
      </c>
      <c r="B207" s="168" t="s">
        <v>287</v>
      </c>
      <c r="C207" s="169" t="s">
        <v>21</v>
      </c>
      <c r="D207" s="26">
        <v>1139519446</v>
      </c>
      <c r="E207" s="27">
        <f>(D207/$D$225)</f>
        <v>1.7286424911785767E-2</v>
      </c>
      <c r="F207" s="73">
        <v>1.1071</v>
      </c>
      <c r="G207" s="73">
        <v>1.1071</v>
      </c>
      <c r="H207" s="29">
        <v>691</v>
      </c>
      <c r="I207" s="47">
        <v>0.1086</v>
      </c>
      <c r="J207" s="47">
        <v>0.1227</v>
      </c>
      <c r="K207" s="26">
        <v>1191473046.9100001</v>
      </c>
      <c r="L207" s="27">
        <f t="shared" ref="L207:L219" si="136">(K207/$K$225)</f>
        <v>1.7377044732319494E-2</v>
      </c>
      <c r="M207" s="73">
        <v>1.1095999999999999</v>
      </c>
      <c r="N207" s="73">
        <v>1.1095999999999999</v>
      </c>
      <c r="O207" s="29">
        <v>693</v>
      </c>
      <c r="P207" s="47">
        <v>0.1177</v>
      </c>
      <c r="Q207" s="47">
        <v>0.1229</v>
      </c>
      <c r="R207" s="54">
        <f>((K207-D207)/D207)</f>
        <v>4.5592553152445356E-2</v>
      </c>
      <c r="S207" s="54">
        <f>((N207-G207)/G207)</f>
        <v>2.2581519284616989E-3</v>
      </c>
      <c r="T207" s="54">
        <f>((O207-H207)/H207)</f>
        <v>2.8943560057887118E-3</v>
      </c>
      <c r="U207" s="54">
        <f>P207-I207</f>
        <v>9.099999999999997E-3</v>
      </c>
      <c r="V207" s="55">
        <f>Q207-J207</f>
        <v>1.9999999999999185E-4</v>
      </c>
      <c r="X207" s="79"/>
    </row>
    <row r="208" spans="1:24">
      <c r="A208" s="171">
        <v>176</v>
      </c>
      <c r="B208" s="168" t="s">
        <v>228</v>
      </c>
      <c r="C208" s="169" t="s">
        <v>229</v>
      </c>
      <c r="D208" s="26">
        <v>357350059.89999998</v>
      </c>
      <c r="E208" s="27">
        <f>(D208/$D$225)</f>
        <v>5.4209737265716621E-3</v>
      </c>
      <c r="F208" s="73">
        <v>1087.56</v>
      </c>
      <c r="G208" s="73">
        <v>1087.56</v>
      </c>
      <c r="H208" s="29">
        <v>17</v>
      </c>
      <c r="I208" s="47">
        <v>1.1000000000000001E-3</v>
      </c>
      <c r="J208" s="47">
        <v>4.2599999999999999E-2</v>
      </c>
      <c r="K208" s="26">
        <v>355967088.98000002</v>
      </c>
      <c r="L208" s="27">
        <f t="shared" si="136"/>
        <v>5.1916038256014851E-3</v>
      </c>
      <c r="M208" s="73">
        <v>1083.3499999999999</v>
      </c>
      <c r="N208" s="73">
        <v>1083.3499999999999</v>
      </c>
      <c r="O208" s="29">
        <v>17</v>
      </c>
      <c r="P208" s="47">
        <v>2.0199999999999999E-2</v>
      </c>
      <c r="Q208" s="47">
        <v>6.2799999999999995E-2</v>
      </c>
      <c r="R208" s="54">
        <f>((K208-D208)/D208)</f>
        <v>-3.8700732844062333E-3</v>
      </c>
      <c r="S208" s="54">
        <f>((N208-G208)/G208)</f>
        <v>-3.8710507925999822E-3</v>
      </c>
      <c r="T208" s="54">
        <f>((O208-H208)/H208)</f>
        <v>0</v>
      </c>
      <c r="U208" s="54">
        <f>P208-I208</f>
        <v>1.9099999999999999E-2</v>
      </c>
      <c r="V208" s="55">
        <f>Q208-J208</f>
        <v>2.0199999999999996E-2</v>
      </c>
      <c r="X208" s="79"/>
    </row>
    <row r="209" spans="1:22">
      <c r="A209" s="171">
        <v>177</v>
      </c>
      <c r="B209" s="168" t="s">
        <v>230</v>
      </c>
      <c r="C209" s="169" t="s">
        <v>65</v>
      </c>
      <c r="D209" s="26">
        <v>245584432.72</v>
      </c>
      <c r="E209" s="27">
        <f>(D209/$D$225)</f>
        <v>3.7254975074096134E-3</v>
      </c>
      <c r="F209" s="73">
        <v>121.95</v>
      </c>
      <c r="G209" s="73">
        <v>121.95</v>
      </c>
      <c r="H209" s="29">
        <v>73</v>
      </c>
      <c r="I209" s="47">
        <v>5.1000000000000004E-3</v>
      </c>
      <c r="J209" s="47">
        <v>0.14180000000000001</v>
      </c>
      <c r="K209" s="26">
        <v>241492740.06999999</v>
      </c>
      <c r="L209" s="27">
        <f t="shared" si="136"/>
        <v>3.5220520998019513E-3</v>
      </c>
      <c r="M209" s="73">
        <v>122.27</v>
      </c>
      <c r="N209" s="73">
        <v>122.27</v>
      </c>
      <c r="O209" s="29">
        <v>75</v>
      </c>
      <c r="P209" s="47">
        <v>7.7000000000000002E-3</v>
      </c>
      <c r="Q209" s="47">
        <v>0.14180000000000001</v>
      </c>
      <c r="R209" s="54">
        <f t="shared" ref="R209:R226" si="137">((K209-D209)/D209)</f>
        <v>-1.6661042414952653E-2</v>
      </c>
      <c r="S209" s="54">
        <f t="shared" ref="S209:S225" si="138">((N209-G209)/G209)</f>
        <v>2.6240262402623467E-3</v>
      </c>
      <c r="T209" s="54">
        <f t="shared" ref="T209:T225" si="139">((O209-H209)/H209)</f>
        <v>2.7397260273972601E-2</v>
      </c>
      <c r="U209" s="54">
        <f t="shared" ref="U209:U225" si="140">P209-I209</f>
        <v>2.5999999999999999E-3</v>
      </c>
      <c r="V209" s="55">
        <f t="shared" ref="V209:V225" si="141">Q209-J209</f>
        <v>0</v>
      </c>
    </row>
    <row r="210" spans="1:22">
      <c r="A210" s="171">
        <v>178</v>
      </c>
      <c r="B210" s="175" t="s">
        <v>231</v>
      </c>
      <c r="C210" s="169" t="s">
        <v>68</v>
      </c>
      <c r="D210" s="41">
        <v>66272067.659999996</v>
      </c>
      <c r="E210" s="27">
        <f>(D210/$D$225)</f>
        <v>1.0053423180927232E-3</v>
      </c>
      <c r="F210" s="73">
        <v>101.06</v>
      </c>
      <c r="G210" s="73">
        <v>101.06</v>
      </c>
      <c r="H210" s="29">
        <v>17</v>
      </c>
      <c r="I210" s="47">
        <v>2E-3</v>
      </c>
      <c r="J210" s="47">
        <v>8.0699999999999994E-2</v>
      </c>
      <c r="K210" s="41">
        <v>66401764.030000001</v>
      </c>
      <c r="L210" s="27">
        <f t="shared" si="136"/>
        <v>9.6843686631997554E-4</v>
      </c>
      <c r="M210" s="73">
        <v>101.26</v>
      </c>
      <c r="N210" s="73">
        <v>101.26</v>
      </c>
      <c r="O210" s="29">
        <v>17</v>
      </c>
      <c r="P210" s="47">
        <v>2E-3</v>
      </c>
      <c r="Q210" s="47">
        <v>8.2799999999999999E-2</v>
      </c>
      <c r="R210" s="54">
        <f t="shared" si="137"/>
        <v>1.9570291765362551E-3</v>
      </c>
      <c r="S210" s="54">
        <f t="shared" si="138"/>
        <v>1.9790223629527295E-3</v>
      </c>
      <c r="T210" s="54">
        <f t="shared" si="139"/>
        <v>0</v>
      </c>
      <c r="U210" s="54">
        <f t="shared" si="140"/>
        <v>0</v>
      </c>
      <c r="V210" s="55">
        <f t="shared" si="141"/>
        <v>2.1000000000000046E-3</v>
      </c>
    </row>
    <row r="211" spans="1:22">
      <c r="A211" s="171">
        <v>179</v>
      </c>
      <c r="B211" s="168" t="s">
        <v>232</v>
      </c>
      <c r="C211" s="169" t="s">
        <v>71</v>
      </c>
      <c r="D211" s="41">
        <v>187353509.72999999</v>
      </c>
      <c r="E211" s="27">
        <v>0</v>
      </c>
      <c r="F211" s="73">
        <v>1.1299999999999999</v>
      </c>
      <c r="G211" s="73">
        <v>1.1299999999999999</v>
      </c>
      <c r="H211" s="29">
        <v>51</v>
      </c>
      <c r="I211" s="47">
        <v>1.8E-3</v>
      </c>
      <c r="J211" s="47">
        <v>0.1118</v>
      </c>
      <c r="K211" s="41">
        <v>188276612.88</v>
      </c>
      <c r="L211" s="27">
        <f t="shared" si="136"/>
        <v>2.7459212212565423E-3</v>
      </c>
      <c r="M211" s="73">
        <v>1.1299999999999999</v>
      </c>
      <c r="N211" s="73">
        <v>1.1299999999999999</v>
      </c>
      <c r="O211" s="29">
        <v>52</v>
      </c>
      <c r="P211" s="47">
        <v>1.8E-3</v>
      </c>
      <c r="Q211" s="47">
        <v>0.1115</v>
      </c>
      <c r="R211" s="54">
        <f t="shared" ref="R211:R212" si="142">((K211-D211)/D211)</f>
        <v>4.9270662253955849E-3</v>
      </c>
      <c r="S211" s="54">
        <f t="shared" ref="S211:S212" si="143">((N211-G211)/G211)</f>
        <v>0</v>
      </c>
      <c r="T211" s="54">
        <f t="shared" ref="T211" si="144">((O211-H211)/H211)</f>
        <v>1.9607843137254902E-2</v>
      </c>
      <c r="U211" s="54">
        <f t="shared" ref="U211" si="145">P211-I211</f>
        <v>0</v>
      </c>
      <c r="V211" s="55">
        <f t="shared" ref="V211" si="146">Q211-J211</f>
        <v>-2.9999999999999472E-4</v>
      </c>
    </row>
    <row r="212" spans="1:22">
      <c r="A212" s="171">
        <v>180</v>
      </c>
      <c r="B212" s="168" t="s">
        <v>233</v>
      </c>
      <c r="C212" s="169" t="s">
        <v>29</v>
      </c>
      <c r="D212" s="26">
        <v>4729416418.71</v>
      </c>
      <c r="E212" s="27">
        <f t="shared" ref="E212:E219" si="147">(D212/$D$225)</f>
        <v>7.1744893942421728E-2</v>
      </c>
      <c r="F212" s="73">
        <v>160.71</v>
      </c>
      <c r="G212" s="73">
        <v>160.71</v>
      </c>
      <c r="H212" s="29">
        <v>745</v>
      </c>
      <c r="I212" s="47">
        <v>2.8999999999999998E-3</v>
      </c>
      <c r="J212" s="47">
        <v>0.1202</v>
      </c>
      <c r="K212" s="26">
        <v>4752244172.1000004</v>
      </c>
      <c r="L212" s="27">
        <f t="shared" si="136"/>
        <v>6.9309129376993919E-2</v>
      </c>
      <c r="M212" s="73">
        <v>161.09</v>
      </c>
      <c r="N212" s="73">
        <v>161.09</v>
      </c>
      <c r="O212" s="29">
        <v>745</v>
      </c>
      <c r="P212" s="47">
        <v>2.3999999999999998E-3</v>
      </c>
      <c r="Q212" s="47">
        <v>0.12280000000000001</v>
      </c>
      <c r="R212" s="54">
        <f t="shared" si="142"/>
        <v>4.826759026693374E-3</v>
      </c>
      <c r="S212" s="54">
        <f t="shared" si="143"/>
        <v>2.3645074979776956E-3</v>
      </c>
      <c r="T212" s="54">
        <f t="shared" si="139"/>
        <v>0</v>
      </c>
      <c r="U212" s="54">
        <f t="shared" si="140"/>
        <v>-5.0000000000000001E-4</v>
      </c>
      <c r="V212" s="55">
        <f t="shared" si="141"/>
        <v>2.6000000000000051E-3</v>
      </c>
    </row>
    <row r="213" spans="1:22">
      <c r="A213" s="171">
        <v>181</v>
      </c>
      <c r="B213" s="168" t="s">
        <v>234</v>
      </c>
      <c r="C213" s="169" t="s">
        <v>63</v>
      </c>
      <c r="D213" s="26">
        <v>815700606.41999996</v>
      </c>
      <c r="E213" s="27">
        <f t="shared" si="147"/>
        <v>1.2374117293806537E-2</v>
      </c>
      <c r="F213" s="32">
        <v>1301.67</v>
      </c>
      <c r="G213" s="32">
        <v>1301.67</v>
      </c>
      <c r="H213" s="29">
        <v>268</v>
      </c>
      <c r="I213" s="47">
        <v>0.1076</v>
      </c>
      <c r="J213" s="47">
        <v>0.1278</v>
      </c>
      <c r="K213" s="26">
        <v>815700606.41999996</v>
      </c>
      <c r="L213" s="27">
        <f t="shared" si="136"/>
        <v>1.1896589656560793E-2</v>
      </c>
      <c r="M213" s="32">
        <v>1301.67</v>
      </c>
      <c r="N213" s="32">
        <v>1301.67</v>
      </c>
      <c r="O213" s="29">
        <v>268</v>
      </c>
      <c r="P213" s="47">
        <v>0.1076</v>
      </c>
      <c r="Q213" s="47">
        <v>0.1278</v>
      </c>
      <c r="R213" s="54">
        <f t="shared" si="137"/>
        <v>0</v>
      </c>
      <c r="S213" s="54">
        <f t="shared" si="138"/>
        <v>0</v>
      </c>
      <c r="T213" s="54">
        <f t="shared" si="139"/>
        <v>0</v>
      </c>
      <c r="U213" s="54">
        <f t="shared" si="140"/>
        <v>0</v>
      </c>
      <c r="V213" s="55">
        <f t="shared" si="141"/>
        <v>0</v>
      </c>
    </row>
    <row r="214" spans="1:22">
      <c r="A214" s="171">
        <v>182</v>
      </c>
      <c r="B214" s="168" t="s">
        <v>235</v>
      </c>
      <c r="C214" s="169" t="s">
        <v>226</v>
      </c>
      <c r="D214" s="26">
        <v>35215340639.309998</v>
      </c>
      <c r="E214" s="27">
        <f t="shared" si="147"/>
        <v>0.53421408808883986</v>
      </c>
      <c r="F214" s="32">
        <v>1298.31</v>
      </c>
      <c r="G214" s="32">
        <v>1298.31</v>
      </c>
      <c r="H214" s="29">
        <v>11142</v>
      </c>
      <c r="I214" s="47">
        <v>3.8999999999999998E-3</v>
      </c>
      <c r="J214" s="47">
        <v>0.1147</v>
      </c>
      <c r="K214" s="26">
        <v>35229468765.419998</v>
      </c>
      <c r="L214" s="27">
        <f t="shared" si="136"/>
        <v>0.51380436697264054</v>
      </c>
      <c r="M214" s="32">
        <v>1260.8499999999999</v>
      </c>
      <c r="N214" s="32">
        <v>1260.8499999999999</v>
      </c>
      <c r="O214" s="29">
        <v>11098</v>
      </c>
      <c r="P214" s="47">
        <v>-2.8899999999999999E-2</v>
      </c>
      <c r="Q214" s="47">
        <v>0.1187</v>
      </c>
      <c r="R214" s="54">
        <f t="shared" si="137"/>
        <v>4.0119237393460678E-4</v>
      </c>
      <c r="S214" s="54">
        <f t="shared" si="138"/>
        <v>-2.8852893376774453E-2</v>
      </c>
      <c r="T214" s="54">
        <f t="shared" si="139"/>
        <v>-3.9490217196194582E-3</v>
      </c>
      <c r="U214" s="54">
        <f t="shared" si="140"/>
        <v>-3.2799999999999996E-2</v>
      </c>
      <c r="V214" s="55">
        <f t="shared" si="141"/>
        <v>4.0000000000000036E-3</v>
      </c>
    </row>
    <row r="215" spans="1:22">
      <c r="A215" s="171">
        <v>183</v>
      </c>
      <c r="B215" s="168" t="s">
        <v>236</v>
      </c>
      <c r="C215" s="169" t="s">
        <v>237</v>
      </c>
      <c r="D215" s="26">
        <v>382721909.55000001</v>
      </c>
      <c r="E215" s="27">
        <f t="shared" si="147"/>
        <v>5.8058627913326012E-3</v>
      </c>
      <c r="F215" s="75">
        <v>118.17</v>
      </c>
      <c r="G215" s="75">
        <v>119.25</v>
      </c>
      <c r="H215" s="43">
        <v>135</v>
      </c>
      <c r="I215" s="47">
        <v>-1.7999999999999999E-2</v>
      </c>
      <c r="J215" s="47">
        <v>-4.6199999999999998E-2</v>
      </c>
      <c r="K215" s="26">
        <v>382935359.49000001</v>
      </c>
      <c r="L215" s="27">
        <f t="shared" si="136"/>
        <v>5.584922704464014E-3</v>
      </c>
      <c r="M215" s="75">
        <v>118.35</v>
      </c>
      <c r="N215" s="75">
        <v>119.26</v>
      </c>
      <c r="O215" s="43">
        <v>134</v>
      </c>
      <c r="P215" s="47">
        <v>1E-4</v>
      </c>
      <c r="Q215" s="47">
        <v>-4.6600000000000003E-2</v>
      </c>
      <c r="R215" s="54">
        <f t="shared" si="137"/>
        <v>5.577154970066114E-4</v>
      </c>
      <c r="S215" s="54">
        <f t="shared" si="138"/>
        <v>8.3857442348051289E-5</v>
      </c>
      <c r="T215" s="54">
        <f t="shared" si="139"/>
        <v>-7.4074074074074077E-3</v>
      </c>
      <c r="U215" s="54">
        <f t="shared" si="140"/>
        <v>1.8099999999999998E-2</v>
      </c>
      <c r="V215" s="55">
        <f t="shared" si="141"/>
        <v>-4.0000000000000452E-4</v>
      </c>
    </row>
    <row r="216" spans="1:22">
      <c r="A216" s="171">
        <v>184</v>
      </c>
      <c r="B216" s="168" t="s">
        <v>238</v>
      </c>
      <c r="C216" s="169" t="s">
        <v>237</v>
      </c>
      <c r="D216" s="26">
        <v>331683531.93000001</v>
      </c>
      <c r="E216" s="27">
        <f t="shared" si="147"/>
        <v>5.0316144136989495E-3</v>
      </c>
      <c r="F216" s="75">
        <v>129.69</v>
      </c>
      <c r="G216" s="75">
        <v>129.69</v>
      </c>
      <c r="H216" s="43">
        <v>124</v>
      </c>
      <c r="I216" s="47">
        <v>2.3999999999999998E-3</v>
      </c>
      <c r="J216" s="47">
        <v>0.16109999999999999</v>
      </c>
      <c r="K216" s="26">
        <v>328078655.51999998</v>
      </c>
      <c r="L216" s="27">
        <f t="shared" si="136"/>
        <v>4.7848648254994186E-3</v>
      </c>
      <c r="M216" s="75">
        <v>130.16</v>
      </c>
      <c r="N216" s="75">
        <v>130.16</v>
      </c>
      <c r="O216" s="43">
        <v>126</v>
      </c>
      <c r="P216" s="47">
        <v>3.7000000000000002E-3</v>
      </c>
      <c r="Q216" s="47">
        <v>0.16550000000000001</v>
      </c>
      <c r="R216" s="54">
        <f t="shared" si="137"/>
        <v>-1.0868421440835404E-2</v>
      </c>
      <c r="S216" s="54">
        <f t="shared" si="138"/>
        <v>3.624026524789875E-3</v>
      </c>
      <c r="T216" s="54">
        <f t="shared" si="139"/>
        <v>1.6129032258064516E-2</v>
      </c>
      <c r="U216" s="54">
        <f t="shared" si="140"/>
        <v>1.3000000000000004E-3</v>
      </c>
      <c r="V216" s="55">
        <f t="shared" si="141"/>
        <v>4.400000000000015E-3</v>
      </c>
    </row>
    <row r="217" spans="1:22" ht="13.5" customHeight="1">
      <c r="A217" s="171">
        <v>185</v>
      </c>
      <c r="B217" s="168" t="s">
        <v>239</v>
      </c>
      <c r="C217" s="169" t="s">
        <v>85</v>
      </c>
      <c r="D217" s="26">
        <v>2247290541</v>
      </c>
      <c r="E217" s="27">
        <f t="shared" si="147"/>
        <v>3.4091229709442721E-2</v>
      </c>
      <c r="F217" s="57">
        <v>104.11</v>
      </c>
      <c r="G217" s="57">
        <v>104.11</v>
      </c>
      <c r="H217" s="29">
        <v>695</v>
      </c>
      <c r="I217" s="47">
        <v>3.0999999999999999E-3</v>
      </c>
      <c r="J217" s="47">
        <v>0.1537</v>
      </c>
      <c r="K217" s="26">
        <v>2278950885</v>
      </c>
      <c r="L217" s="27">
        <f t="shared" si="136"/>
        <v>3.3237370810953362E-2</v>
      </c>
      <c r="M217" s="57">
        <v>104.41</v>
      </c>
      <c r="N217" s="57">
        <v>104.41</v>
      </c>
      <c r="O217" s="29">
        <v>706</v>
      </c>
      <c r="P217" s="47">
        <v>2.8999999999999998E-3</v>
      </c>
      <c r="Q217" s="47">
        <v>0.1537</v>
      </c>
      <c r="R217" s="54">
        <f t="shared" si="137"/>
        <v>1.4088229101837348E-2</v>
      </c>
      <c r="S217" s="54">
        <f t="shared" si="138"/>
        <v>2.881567572759554E-3</v>
      </c>
      <c r="T217" s="54">
        <f t="shared" si="139"/>
        <v>1.5827338129496403E-2</v>
      </c>
      <c r="U217" s="54">
        <f t="shared" si="140"/>
        <v>-2.0000000000000009E-4</v>
      </c>
      <c r="V217" s="55">
        <f t="shared" si="141"/>
        <v>0</v>
      </c>
    </row>
    <row r="218" spans="1:22" ht="15.75" customHeight="1">
      <c r="A218" s="171">
        <v>186</v>
      </c>
      <c r="B218" s="168" t="s">
        <v>240</v>
      </c>
      <c r="C218" s="169" t="s">
        <v>47</v>
      </c>
      <c r="D218" s="26">
        <v>5194407329.0100002</v>
      </c>
      <c r="E218" s="27">
        <f t="shared" si="147"/>
        <v>7.8798771332385872E-2</v>
      </c>
      <c r="F218" s="57">
        <v>140.91999999999999</v>
      </c>
      <c r="G218" s="57">
        <v>140.91999999999999</v>
      </c>
      <c r="H218" s="29">
        <v>1561</v>
      </c>
      <c r="I218" s="47">
        <v>1.9E-3</v>
      </c>
      <c r="J218" s="47">
        <v>4.9299999999999997E-2</v>
      </c>
      <c r="K218" s="26">
        <v>5257837077.7299995</v>
      </c>
      <c r="L218" s="27">
        <f t="shared" si="136"/>
        <v>7.6682951689014317E-2</v>
      </c>
      <c r="M218" s="57">
        <v>141.19</v>
      </c>
      <c r="N218" s="57">
        <v>141.19</v>
      </c>
      <c r="O218" s="29">
        <v>1600</v>
      </c>
      <c r="P218" s="47">
        <v>1.9E-3</v>
      </c>
      <c r="Q218" s="47">
        <v>5.1299999999999998E-2</v>
      </c>
      <c r="R218" s="54">
        <f t="shared" si="137"/>
        <v>1.2211161871298292E-2</v>
      </c>
      <c r="S218" s="54">
        <f t="shared" si="138"/>
        <v>1.9159806982685938E-3</v>
      </c>
      <c r="T218" s="54">
        <f t="shared" si="139"/>
        <v>2.4983984625240232E-2</v>
      </c>
      <c r="U218" s="54">
        <f t="shared" si="140"/>
        <v>0</v>
      </c>
      <c r="V218" s="55">
        <f t="shared" si="141"/>
        <v>2.0000000000000018E-3</v>
      </c>
    </row>
    <row r="219" spans="1:22">
      <c r="A219" s="171">
        <v>187</v>
      </c>
      <c r="B219" s="168" t="s">
        <v>241</v>
      </c>
      <c r="C219" s="169" t="s">
        <v>50</v>
      </c>
      <c r="D219" s="26">
        <v>4185622070.0799999</v>
      </c>
      <c r="E219" s="27">
        <f t="shared" si="147"/>
        <v>6.3495574276975719E-2</v>
      </c>
      <c r="F219" s="57">
        <v>1.19</v>
      </c>
      <c r="G219" s="57">
        <v>1.19</v>
      </c>
      <c r="H219" s="29">
        <v>1900</v>
      </c>
      <c r="I219" s="47">
        <v>1.9E-3</v>
      </c>
      <c r="J219" s="47">
        <v>0.1066</v>
      </c>
      <c r="K219" s="26">
        <v>3997485738.1700001</v>
      </c>
      <c r="L219" s="27">
        <f t="shared" si="136"/>
        <v>5.8301351146079622E-2</v>
      </c>
      <c r="M219" s="57">
        <v>1.1928000000000001</v>
      </c>
      <c r="N219" s="57">
        <v>1.1928000000000001</v>
      </c>
      <c r="O219" s="29">
        <v>1917</v>
      </c>
      <c r="P219" s="47">
        <v>2.3999999999999998E-3</v>
      </c>
      <c r="Q219" s="47">
        <v>0.1069</v>
      </c>
      <c r="R219" s="54">
        <f t="shared" si="137"/>
        <v>-4.4948236787752789E-2</v>
      </c>
      <c r="S219" s="54">
        <f t="shared" si="138"/>
        <v>2.3529411764707025E-3</v>
      </c>
      <c r="T219" s="54">
        <f t="shared" si="139"/>
        <v>8.9473684210526309E-3</v>
      </c>
      <c r="U219" s="54">
        <f t="shared" si="140"/>
        <v>4.9999999999999979E-4</v>
      </c>
      <c r="V219" s="55">
        <f t="shared" si="141"/>
        <v>2.9999999999999472E-4</v>
      </c>
    </row>
    <row r="220" spans="1:22" ht="6" customHeight="1">
      <c r="A220" s="33"/>
      <c r="B220" s="181"/>
      <c r="C220" s="181"/>
      <c r="D220" s="181"/>
      <c r="E220" s="181"/>
      <c r="F220" s="181"/>
      <c r="G220" s="181"/>
      <c r="H220" s="181"/>
      <c r="I220" s="181"/>
      <c r="J220" s="181"/>
      <c r="K220" s="181"/>
      <c r="L220" s="181"/>
      <c r="M220" s="181"/>
      <c r="N220" s="181"/>
      <c r="O220" s="181"/>
      <c r="P220" s="181"/>
      <c r="Q220" s="181"/>
      <c r="R220" s="181"/>
      <c r="S220" s="181"/>
      <c r="T220" s="181"/>
      <c r="U220" s="181"/>
      <c r="V220" s="181"/>
    </row>
    <row r="221" spans="1:22">
      <c r="A221" s="185" t="s">
        <v>242</v>
      </c>
      <c r="B221" s="185"/>
      <c r="C221" s="185"/>
      <c r="D221" s="185"/>
      <c r="E221" s="185"/>
      <c r="F221" s="185"/>
      <c r="G221" s="185"/>
      <c r="H221" s="185"/>
      <c r="I221" s="185"/>
      <c r="J221" s="185"/>
      <c r="K221" s="185"/>
      <c r="L221" s="185"/>
      <c r="M221" s="185"/>
      <c r="N221" s="185"/>
      <c r="O221" s="185"/>
      <c r="P221" s="185"/>
      <c r="Q221" s="185"/>
      <c r="R221" s="185"/>
      <c r="S221" s="185"/>
      <c r="T221" s="185"/>
      <c r="U221" s="185"/>
      <c r="V221" s="185"/>
    </row>
    <row r="222" spans="1:22">
      <c r="A222" s="171">
        <v>188</v>
      </c>
      <c r="B222" s="168" t="s">
        <v>311</v>
      </c>
      <c r="C222" s="169" t="s">
        <v>21</v>
      </c>
      <c r="D222" s="74">
        <v>2417156174.8899999</v>
      </c>
      <c r="E222" s="27">
        <f>(D222/$D$199)</f>
        <v>0.29402657230521145</v>
      </c>
      <c r="F222" s="73">
        <v>95.846400000000003</v>
      </c>
      <c r="G222" s="73">
        <v>98.736199999999997</v>
      </c>
      <c r="H222" s="31">
        <v>2683</v>
      </c>
      <c r="I222" s="48">
        <v>0.68620000000000003</v>
      </c>
      <c r="J222" s="48">
        <v>0.52610000000000001</v>
      </c>
      <c r="K222" s="74">
        <v>2599729209.52</v>
      </c>
      <c r="L222" s="51">
        <f>(K222/$K$199)</f>
        <v>0.31320543255955358</v>
      </c>
      <c r="M222" s="73">
        <v>97.453800000000001</v>
      </c>
      <c r="N222" s="73">
        <v>100.3921</v>
      </c>
      <c r="O222" s="31">
        <v>2768</v>
      </c>
      <c r="P222" s="48">
        <v>0.87450000000000006</v>
      </c>
      <c r="Q222" s="48">
        <v>0.54330000000000001</v>
      </c>
      <c r="R222" s="54">
        <f>((K222-D222)/D222)</f>
        <v>7.5532163178619882E-2</v>
      </c>
      <c r="S222" s="54">
        <f t="shared" ref="S222" si="148">((N222-G222)/G222)</f>
        <v>1.6770951282305806E-2</v>
      </c>
      <c r="T222" s="54">
        <f t="shared" ref="T222" si="149">((O222-H222)/H222)</f>
        <v>3.1680954155795749E-2</v>
      </c>
      <c r="U222" s="54">
        <f t="shared" ref="U222" si="150">P222-I222</f>
        <v>0.18830000000000002</v>
      </c>
      <c r="V222" s="55">
        <f t="shared" ref="V222" si="151">Q222-J222</f>
        <v>1.7199999999999993E-2</v>
      </c>
    </row>
    <row r="223" spans="1:22">
      <c r="A223" s="171">
        <v>189</v>
      </c>
      <c r="B223" s="168" t="s">
        <v>243</v>
      </c>
      <c r="C223" s="169" t="s">
        <v>226</v>
      </c>
      <c r="D223" s="26">
        <v>270409649.41000003</v>
      </c>
      <c r="E223" s="27">
        <f t="shared" ref="E223" si="152">(D223/$D$225)</f>
        <v>4.1020941909825732E-3</v>
      </c>
      <c r="F223" s="32">
        <v>1237.3599999999999</v>
      </c>
      <c r="G223" s="32">
        <v>1237.3599999999999</v>
      </c>
      <c r="H223" s="29">
        <v>155</v>
      </c>
      <c r="I223" s="47">
        <v>2.3699999999999999E-2</v>
      </c>
      <c r="J223" s="47">
        <v>0.1171</v>
      </c>
      <c r="K223" s="26">
        <v>275923888.10000002</v>
      </c>
      <c r="L223" s="27">
        <f t="shared" ref="L223" si="153">(K223/$K$225)</f>
        <v>4.0242133539353147E-3</v>
      </c>
      <c r="M223" s="32">
        <v>1229.78</v>
      </c>
      <c r="N223" s="32">
        <v>1229.78</v>
      </c>
      <c r="O223" s="29">
        <v>155</v>
      </c>
      <c r="P223" s="47">
        <v>-6.1000000000000004E-3</v>
      </c>
      <c r="Q223" s="47">
        <v>0.1111</v>
      </c>
      <c r="R223" s="54">
        <f t="shared" ref="R223" si="154">((K223-D223)/D223)</f>
        <v>2.0392166855108074E-2</v>
      </c>
      <c r="S223" s="54">
        <f t="shared" ref="S223" si="155">((N223-G223)/G223)</f>
        <v>-6.1259455615180125E-3</v>
      </c>
      <c r="T223" s="54">
        <f t="shared" ref="T223" si="156">((O223-H223)/H223)</f>
        <v>0</v>
      </c>
      <c r="U223" s="54">
        <f t="shared" ref="U223" si="157">P223-I223</f>
        <v>-2.98E-2</v>
      </c>
      <c r="V223" s="55">
        <f t="shared" ref="V223" si="158">Q223-J223</f>
        <v>-5.9999999999999915E-3</v>
      </c>
    </row>
    <row r="224" spans="1:22">
      <c r="A224" s="171">
        <v>190</v>
      </c>
      <c r="B224" s="168" t="s">
        <v>288</v>
      </c>
      <c r="C224" s="169" t="s">
        <v>289</v>
      </c>
      <c r="D224" s="26">
        <v>125854633.39</v>
      </c>
      <c r="E224" s="27">
        <f t="shared" ref="E224" si="159">(D224/$D$225)</f>
        <v>1.909205391389662E-3</v>
      </c>
      <c r="F224" s="32">
        <v>109.46</v>
      </c>
      <c r="G224" s="32">
        <v>111.72</v>
      </c>
      <c r="H224" s="29">
        <v>297</v>
      </c>
      <c r="I224" s="47">
        <v>4.0000000000000002E-4</v>
      </c>
      <c r="J224" s="47">
        <v>5.33E-2</v>
      </c>
      <c r="K224" s="26">
        <v>126391336.08</v>
      </c>
      <c r="L224" s="27">
        <f t="shared" ref="L224" si="160">(K224/$K$225)</f>
        <v>1.84335508598852E-3</v>
      </c>
      <c r="M224" s="32">
        <v>109.72</v>
      </c>
      <c r="N224" s="32">
        <v>111.98</v>
      </c>
      <c r="O224" s="29">
        <v>298</v>
      </c>
      <c r="P224" s="47">
        <v>2.3999999999999998E-3</v>
      </c>
      <c r="Q224" s="47">
        <v>5.3900000000000003E-2</v>
      </c>
      <c r="R224" s="54">
        <f t="shared" ref="R224" si="161">((K224-D224)/D224)</f>
        <v>4.2644650859762646E-3</v>
      </c>
      <c r="S224" s="54">
        <f t="shared" ref="S224" si="162">((N224-G224)/G224)</f>
        <v>2.3272466881489894E-3</v>
      </c>
      <c r="T224" s="54">
        <f t="shared" ref="T224" si="163">((O224-H224)/H224)</f>
        <v>3.3670033670033669E-3</v>
      </c>
      <c r="U224" s="54">
        <f t="shared" ref="U224" si="164">P224-I224</f>
        <v>1.9999999999999996E-3</v>
      </c>
      <c r="V224" s="55">
        <f t="shared" ref="V224" si="165">Q224-J224</f>
        <v>6.0000000000000331E-4</v>
      </c>
    </row>
    <row r="225" spans="1:22">
      <c r="A225" s="33"/>
      <c r="B225" s="34"/>
      <c r="C225" s="67" t="s">
        <v>51</v>
      </c>
      <c r="D225" s="45">
        <f>SUM(D203:D224)</f>
        <v>65919902571.820007</v>
      </c>
      <c r="E225" s="37">
        <f>(D225/$D$226)</f>
        <v>9.6767281657954961E-3</v>
      </c>
      <c r="F225" s="38"/>
      <c r="G225" s="70"/>
      <c r="H225" s="80">
        <f>SUM(H203:H224)</f>
        <v>37633</v>
      </c>
      <c r="I225" s="77"/>
      <c r="J225" s="77"/>
      <c r="K225" s="45">
        <f>SUM(K203:K224)</f>
        <v>68565919306.97998</v>
      </c>
      <c r="L225" s="37">
        <f>(K225/$K$226)</f>
        <v>9.9002700390655052E-3</v>
      </c>
      <c r="M225" s="38"/>
      <c r="N225" s="70"/>
      <c r="O225" s="40">
        <f>SUM(O203:O224)</f>
        <v>37849</v>
      </c>
      <c r="P225" s="77"/>
      <c r="Q225" s="77"/>
      <c r="R225" s="54">
        <f t="shared" si="137"/>
        <v>4.0139876303323219E-2</v>
      </c>
      <c r="S225" s="54" t="e">
        <f t="shared" si="138"/>
        <v>#DIV/0!</v>
      </c>
      <c r="T225" s="54">
        <f t="shared" si="139"/>
        <v>5.7396433980814714E-3</v>
      </c>
      <c r="U225" s="54">
        <f t="shared" si="140"/>
        <v>0</v>
      </c>
      <c r="V225" s="55">
        <f t="shared" si="141"/>
        <v>0</v>
      </c>
    </row>
    <row r="226" spans="1:22">
      <c r="A226" s="81"/>
      <c r="B226" s="81"/>
      <c r="C226" s="82" t="s">
        <v>244</v>
      </c>
      <c r="D226" s="83">
        <f>SUM(D25,D70,D112,D154,D163,D194,D199,D225)</f>
        <v>6812209813315.6475</v>
      </c>
      <c r="E226" s="84"/>
      <c r="F226" s="84"/>
      <c r="G226" s="85"/>
      <c r="H226" s="83">
        <f>SUM(H25,H70,H112,H154,H163,H194,H199,H225)</f>
        <v>1002812</v>
      </c>
      <c r="I226" s="107"/>
      <c r="J226" s="107"/>
      <c r="K226" s="83">
        <f>SUM(K25,K70,K112,K154,K163,K194,K199,K225)</f>
        <v>6925661526041.7656</v>
      </c>
      <c r="L226" s="84"/>
      <c r="M226" s="84"/>
      <c r="N226" s="85"/>
      <c r="O226" s="83">
        <f>SUM(O25,O70,O112,O154,O163,O194,O199,O225)</f>
        <v>1030077.38</v>
      </c>
      <c r="P226" s="108"/>
      <c r="Q226" s="83"/>
      <c r="R226" s="114">
        <f t="shared" si="137"/>
        <v>1.6654171823122225E-2</v>
      </c>
      <c r="S226" s="114"/>
      <c r="T226" s="114"/>
      <c r="U226" s="114"/>
      <c r="V226" s="114"/>
    </row>
    <row r="227" spans="1:22" ht="6.75" customHeight="1">
      <c r="A227" s="33"/>
      <c r="B227" s="181"/>
      <c r="C227" s="181"/>
      <c r="D227" s="181"/>
      <c r="E227" s="181"/>
      <c r="F227" s="181"/>
      <c r="G227" s="181"/>
      <c r="H227" s="181"/>
      <c r="I227" s="181"/>
      <c r="J227" s="181"/>
      <c r="K227" s="181"/>
      <c r="L227" s="181"/>
      <c r="M227" s="181"/>
      <c r="N227" s="181"/>
      <c r="O227" s="181"/>
      <c r="P227" s="181"/>
      <c r="Q227" s="181"/>
      <c r="R227" s="181"/>
      <c r="S227" s="181"/>
      <c r="T227" s="181"/>
      <c r="U227" s="181"/>
      <c r="V227" s="34"/>
    </row>
    <row r="228" spans="1:22" ht="14.4" customHeight="1">
      <c r="A228" s="184" t="s">
        <v>245</v>
      </c>
      <c r="B228" s="184"/>
      <c r="C228" s="184"/>
      <c r="D228" s="184"/>
      <c r="E228" s="184"/>
      <c r="F228" s="184"/>
      <c r="G228" s="184"/>
      <c r="H228" s="184"/>
      <c r="I228" s="184"/>
      <c r="J228" s="184"/>
      <c r="K228" s="184"/>
      <c r="L228" s="184"/>
      <c r="M228" s="184"/>
      <c r="N228" s="184"/>
      <c r="O228" s="184"/>
      <c r="P228" s="184"/>
      <c r="Q228" s="184"/>
      <c r="R228" s="184"/>
      <c r="S228" s="184"/>
      <c r="T228" s="184"/>
      <c r="U228" s="184"/>
      <c r="V228" s="184"/>
    </row>
    <row r="229" spans="1:22" ht="14.4" customHeight="1">
      <c r="A229" s="171">
        <v>1</v>
      </c>
      <c r="B229" s="168" t="s">
        <v>310</v>
      </c>
      <c r="C229" s="169" t="s">
        <v>21</v>
      </c>
      <c r="D229" s="26">
        <v>1830365536.4240158</v>
      </c>
      <c r="E229" s="27">
        <f t="shared" ref="E229:E232" si="166">(D229/$D$225)</f>
        <v>2.7766508520394504E-2</v>
      </c>
      <c r="F229" s="32">
        <v>1497.0431006400001</v>
      </c>
      <c r="G229" s="32">
        <v>1497.0431006400001</v>
      </c>
      <c r="H229" s="29">
        <v>49</v>
      </c>
      <c r="I229" s="47">
        <v>6.6500000000000004E-2</v>
      </c>
      <c r="J229" s="47">
        <v>4.5900000000000003E-2</v>
      </c>
      <c r="K229" s="26">
        <f>1249895.3*W135</f>
        <v>1818813893.3869002</v>
      </c>
      <c r="L229" s="27">
        <f>(K229/$K$234)</f>
        <v>9.3208046793838928E-2</v>
      </c>
      <c r="M229" s="32">
        <f>1.0223*W135</f>
        <v>1487.6233579</v>
      </c>
      <c r="N229" s="32">
        <f>1.0223*W135</f>
        <v>1487.6233579</v>
      </c>
      <c r="O229" s="29">
        <v>49</v>
      </c>
      <c r="P229" s="47">
        <v>4.5900000000000003E-2</v>
      </c>
      <c r="Q229" s="47">
        <v>4.5999999999999999E-2</v>
      </c>
      <c r="R229" s="54">
        <f t="shared" ref="R229" si="167">((K229-D229)/D229)</f>
        <v>-6.311112620533718E-3</v>
      </c>
      <c r="S229" s="54">
        <f t="shared" ref="S229" si="168">((N229-G229)/G229)</f>
        <v>-6.2922321581610745E-3</v>
      </c>
      <c r="T229" s="54">
        <f t="shared" ref="T229" si="169">((O229-H229)/H229)</f>
        <v>0</v>
      </c>
      <c r="U229" s="54">
        <f t="shared" ref="U229" si="170">P229-I229</f>
        <v>-2.06E-2</v>
      </c>
      <c r="V229" s="55">
        <f t="shared" ref="V229" si="171">Q229-J229</f>
        <v>9.9999999999995925E-5</v>
      </c>
    </row>
    <row r="230" spans="1:22" ht="14.4" customHeight="1">
      <c r="A230" s="171">
        <v>2</v>
      </c>
      <c r="B230" s="168" t="s">
        <v>246</v>
      </c>
      <c r="C230" s="169" t="s">
        <v>184</v>
      </c>
      <c r="D230" s="26">
        <v>4215157574.9411898</v>
      </c>
      <c r="E230" s="27">
        <f t="shared" ref="E230" si="172">(D230/$D$225)</f>
        <v>6.3943625680404459E-2</v>
      </c>
      <c r="F230" s="32">
        <v>123.2</v>
      </c>
      <c r="G230" s="32">
        <v>123.2</v>
      </c>
      <c r="H230" s="29">
        <v>9</v>
      </c>
      <c r="I230" s="47">
        <v>0.2641</v>
      </c>
      <c r="J230" s="47">
        <v>0.31319999999999998</v>
      </c>
      <c r="K230" s="26">
        <v>4262618665.4876537</v>
      </c>
      <c r="L230" s="27">
        <f>(K230/$K$234)</f>
        <v>0.21844475758716242</v>
      </c>
      <c r="M230" s="32">
        <v>123.2</v>
      </c>
      <c r="N230" s="32">
        <v>123.2</v>
      </c>
      <c r="O230" s="29">
        <v>9</v>
      </c>
      <c r="P230" s="47">
        <v>0.21110313536718561</v>
      </c>
      <c r="Q230" s="47">
        <v>0.25902763241958915</v>
      </c>
      <c r="R230" s="54">
        <f t="shared" ref="R230" si="173">((K230-D230)/D230)</f>
        <v>1.1259624273269582E-2</v>
      </c>
      <c r="S230" s="54">
        <f t="shared" ref="S230" si="174">((N230-G230)/G230)</f>
        <v>0</v>
      </c>
      <c r="T230" s="54">
        <f t="shared" ref="T230" si="175">((O230-H230)/H230)</f>
        <v>0</v>
      </c>
      <c r="U230" s="54">
        <f t="shared" ref="U230" si="176">P230-I230</f>
        <v>-5.2996864632814389E-2</v>
      </c>
      <c r="V230" s="55">
        <f t="shared" ref="V230" si="177">Q230-J230</f>
        <v>-5.417236758041083E-2</v>
      </c>
    </row>
    <row r="231" spans="1:22" ht="14.4" customHeight="1">
      <c r="A231" s="171">
        <v>3</v>
      </c>
      <c r="B231" s="168" t="s">
        <v>308</v>
      </c>
      <c r="C231" s="169" t="s">
        <v>29</v>
      </c>
      <c r="D231" s="26">
        <v>579571993.36200011</v>
      </c>
      <c r="E231" s="27">
        <f t="shared" si="166"/>
        <v>8.7920638646356315E-3</v>
      </c>
      <c r="F231" s="32">
        <v>156223.66</v>
      </c>
      <c r="G231" s="32">
        <v>156223.66</v>
      </c>
      <c r="H231" s="29">
        <v>5</v>
      </c>
      <c r="I231" s="47">
        <v>4.4999999999999997E-3</v>
      </c>
      <c r="J231" s="47">
        <v>6.9000000000000006E-2</v>
      </c>
      <c r="K231" s="26">
        <f>392631.17*W135</f>
        <v>571346277.54241002</v>
      </c>
      <c r="L231" s="27">
        <f>(K231/$K$234)</f>
        <v>2.9279560028811793E-2</v>
      </c>
      <c r="M231" s="32">
        <f>105.83*W135</f>
        <v>154000.95858999999</v>
      </c>
      <c r="N231" s="32">
        <f>105.83*W135</f>
        <v>154000.95858999999</v>
      </c>
      <c r="O231" s="29">
        <v>5</v>
      </c>
      <c r="P231" s="47">
        <v>-0.01</v>
      </c>
      <c r="Q231" s="47">
        <v>5.8299999999999998E-2</v>
      </c>
      <c r="R231" s="54">
        <f t="shared" ref="R231:R232" si="178">((K231-D231)/D231)</f>
        <v>-1.4192742081745688E-2</v>
      </c>
      <c r="S231" s="54">
        <f t="shared" ref="S231:S232" si="179">((N231-G231)/G231)</f>
        <v>-1.4227687470643107E-2</v>
      </c>
      <c r="T231" s="54">
        <f t="shared" ref="T231:T232" si="180">((O231-H231)/H231)</f>
        <v>0</v>
      </c>
      <c r="U231" s="54">
        <f t="shared" ref="U231:U232" si="181">P231-I231</f>
        <v>-1.4499999999999999E-2</v>
      </c>
      <c r="V231" s="55">
        <f t="shared" ref="V231:V232" si="182">Q231-J231</f>
        <v>-1.0700000000000008E-2</v>
      </c>
    </row>
    <row r="232" spans="1:22" ht="14.4" customHeight="1">
      <c r="A232" s="171">
        <v>4</v>
      </c>
      <c r="B232" s="168" t="s">
        <v>295</v>
      </c>
      <c r="C232" s="169" t="s">
        <v>39</v>
      </c>
      <c r="D232" s="26">
        <v>11731385411.540001</v>
      </c>
      <c r="E232" s="27">
        <f t="shared" si="166"/>
        <v>0.17796424075048667</v>
      </c>
      <c r="F232" s="32">
        <v>1.21</v>
      </c>
      <c r="G232" s="32">
        <v>1.21</v>
      </c>
      <c r="H232" s="29">
        <v>16</v>
      </c>
      <c r="I232" s="47">
        <v>0</v>
      </c>
      <c r="J232" s="47">
        <v>0.2167</v>
      </c>
      <c r="K232" s="26">
        <v>12726742942.33</v>
      </c>
      <c r="L232" s="27">
        <f>(K232/$K$234)</f>
        <v>0.65220243589238769</v>
      </c>
      <c r="M232" s="32">
        <v>1.21</v>
      </c>
      <c r="N232" s="32">
        <v>1.22</v>
      </c>
      <c r="O232" s="29">
        <v>16</v>
      </c>
      <c r="P232" s="47">
        <v>3.8E-3</v>
      </c>
      <c r="Q232" s="47">
        <v>0.2218</v>
      </c>
      <c r="R232" s="54">
        <f t="shared" si="178"/>
        <v>8.4845693485688364E-2</v>
      </c>
      <c r="S232" s="54">
        <f t="shared" si="179"/>
        <v>8.2644628099173625E-3</v>
      </c>
      <c r="T232" s="54">
        <f t="shared" si="180"/>
        <v>0</v>
      </c>
      <c r="U232" s="54">
        <f t="shared" si="181"/>
        <v>3.8E-3</v>
      </c>
      <c r="V232" s="55">
        <f t="shared" si="182"/>
        <v>5.0999999999999934E-3</v>
      </c>
    </row>
    <row r="233" spans="1:22" ht="14.4" customHeight="1">
      <c r="A233" s="171">
        <v>5</v>
      </c>
      <c r="B233" s="168" t="s">
        <v>313</v>
      </c>
      <c r="C233" s="169" t="s">
        <v>50</v>
      </c>
      <c r="D233" s="26">
        <v>132829308.95</v>
      </c>
      <c r="E233" s="27">
        <f t="shared" ref="E233" si="183">(D233/$D$225)</f>
        <v>2.0150106988596032E-3</v>
      </c>
      <c r="F233" s="32">
        <v>1.0887</v>
      </c>
      <c r="G233" s="32">
        <v>1.0887</v>
      </c>
      <c r="H233" s="29">
        <v>15</v>
      </c>
      <c r="I233" s="47">
        <v>4.0000000000000002E-4</v>
      </c>
      <c r="J233" s="47">
        <v>8.8700000000000001E-2</v>
      </c>
      <c r="K233" s="26">
        <v>133963976.51000001</v>
      </c>
      <c r="L233" s="27">
        <f>(K233/$K$234)</f>
        <v>6.865199697799247E-3</v>
      </c>
      <c r="M233" s="32">
        <v>1.0980000000000001</v>
      </c>
      <c r="N233" s="32">
        <v>1.0980000000000001</v>
      </c>
      <c r="O233" s="29">
        <v>15</v>
      </c>
      <c r="P233" s="47">
        <v>8.0000000000000002E-3</v>
      </c>
      <c r="Q233" s="47">
        <v>9.8000000000000004E-2</v>
      </c>
      <c r="R233" s="54">
        <f t="shared" ref="R233:R234" si="184">((K233-D233)/D233)</f>
        <v>8.5422981491766799E-3</v>
      </c>
      <c r="S233" s="54">
        <f t="shared" ref="S233" si="185">((N233-G233)/G233)</f>
        <v>8.5422981537614465E-3</v>
      </c>
      <c r="T233" s="54">
        <f t="shared" ref="T233" si="186">((O233-H233)/H233)</f>
        <v>0</v>
      </c>
      <c r="U233" s="54">
        <f t="shared" ref="U233" si="187">P233-I233</f>
        <v>7.6E-3</v>
      </c>
      <c r="V233" s="55">
        <f t="shared" ref="V233" si="188">Q233-J233</f>
        <v>9.3000000000000027E-3</v>
      </c>
    </row>
    <row r="234" spans="1:22" ht="14.4" customHeight="1">
      <c r="A234" s="86"/>
      <c r="B234" s="86"/>
      <c r="C234" s="86" t="s">
        <v>51</v>
      </c>
      <c r="D234" s="86">
        <f>SUM(D229:D233)</f>
        <v>18489309825.217209</v>
      </c>
      <c r="E234" s="86"/>
      <c r="F234" s="86"/>
      <c r="G234" s="86"/>
      <c r="H234" s="86">
        <f>SUM(H229:H233)</f>
        <v>94</v>
      </c>
      <c r="I234" s="86"/>
      <c r="J234" s="86"/>
      <c r="K234" s="86">
        <f>SUM(K229:K233)</f>
        <v>19513485755.256962</v>
      </c>
      <c r="L234" s="37"/>
      <c r="M234" s="86"/>
      <c r="N234" s="86"/>
      <c r="O234" s="86">
        <f>SUM(O229:O233)</f>
        <v>94</v>
      </c>
      <c r="P234" s="86"/>
      <c r="Q234" s="86"/>
      <c r="R234" s="114">
        <f t="shared" si="184"/>
        <v>5.5392869702626725E-2</v>
      </c>
      <c r="S234" s="86"/>
      <c r="T234" s="86"/>
      <c r="U234" s="86"/>
      <c r="V234" s="86"/>
    </row>
    <row r="235" spans="1:22" ht="6" customHeight="1">
      <c r="A235" s="33"/>
      <c r="B235" s="128"/>
      <c r="C235" s="67"/>
      <c r="D235" s="128"/>
      <c r="E235" s="128"/>
      <c r="F235" s="128"/>
      <c r="G235" s="128"/>
      <c r="H235" s="128"/>
      <c r="I235" s="128"/>
      <c r="J235" s="128"/>
      <c r="K235" s="128"/>
      <c r="L235" s="128"/>
      <c r="M235" s="128"/>
      <c r="N235" s="128"/>
      <c r="O235" s="128"/>
      <c r="P235" s="128"/>
      <c r="Q235" s="128"/>
      <c r="R235" s="128"/>
      <c r="S235" s="128"/>
      <c r="T235" s="128"/>
      <c r="U235" s="128"/>
      <c r="V235" s="34"/>
    </row>
    <row r="236" spans="1:22" ht="15.6">
      <c r="A236" s="184" t="s">
        <v>247</v>
      </c>
      <c r="B236" s="184"/>
      <c r="C236" s="184"/>
      <c r="D236" s="184"/>
      <c r="E236" s="184"/>
      <c r="F236" s="184"/>
      <c r="G236" s="184"/>
      <c r="H236" s="184"/>
      <c r="I236" s="184"/>
      <c r="J236" s="184"/>
      <c r="K236" s="184"/>
      <c r="L236" s="184"/>
      <c r="M236" s="184"/>
      <c r="N236" s="184"/>
      <c r="O236" s="184"/>
      <c r="P236" s="184"/>
      <c r="Q236" s="184"/>
      <c r="R236" s="184"/>
      <c r="S236" s="184"/>
      <c r="T236" s="184"/>
      <c r="U236" s="184"/>
      <c r="V236" s="184"/>
    </row>
    <row r="237" spans="1:22">
      <c r="A237" s="171">
        <v>1</v>
      </c>
      <c r="B237" s="168" t="s">
        <v>248</v>
      </c>
      <c r="C237" s="169" t="s">
        <v>249</v>
      </c>
      <c r="D237" s="26">
        <v>114390469985</v>
      </c>
      <c r="E237" s="27">
        <f>(D237/$D$239)</f>
        <v>0.88560003856814229</v>
      </c>
      <c r="F237" s="57">
        <v>108.35</v>
      </c>
      <c r="G237" s="57">
        <v>108.35</v>
      </c>
      <c r="H237" s="29">
        <v>0</v>
      </c>
      <c r="I237" s="47">
        <v>0.23899999999999999</v>
      </c>
      <c r="J237" s="47">
        <v>0.23899999999999999</v>
      </c>
      <c r="K237" s="26">
        <v>114390469985</v>
      </c>
      <c r="L237" s="27">
        <f>(K237/$K$239)</f>
        <v>0.88525676149815091</v>
      </c>
      <c r="M237" s="57">
        <v>108.35</v>
      </c>
      <c r="N237" s="57">
        <v>108.35</v>
      </c>
      <c r="O237" s="29">
        <v>0</v>
      </c>
      <c r="P237" s="47">
        <v>0.23899999999999999</v>
      </c>
      <c r="Q237" s="47">
        <v>0.23899999999999999</v>
      </c>
      <c r="R237" s="54">
        <f>((K237-D237)/D237)</f>
        <v>0</v>
      </c>
      <c r="S237" s="54">
        <f>((N237-G237)/G237)</f>
        <v>0</v>
      </c>
      <c r="T237" s="54" t="e">
        <f>((O237-H237)/H237)</f>
        <v>#DIV/0!</v>
      </c>
      <c r="U237" s="54">
        <f>P237-I237</f>
        <v>0</v>
      </c>
      <c r="V237" s="55">
        <f>Q237-J237</f>
        <v>0</v>
      </c>
    </row>
    <row r="238" spans="1:22" ht="14.4" customHeight="1">
      <c r="A238" s="171">
        <v>2</v>
      </c>
      <c r="B238" s="168" t="s">
        <v>250</v>
      </c>
      <c r="C238" s="169" t="s">
        <v>50</v>
      </c>
      <c r="D238" s="26">
        <v>14776721753.1</v>
      </c>
      <c r="E238" s="27">
        <f>(D238/$D$239)</f>
        <v>0.11439996143185763</v>
      </c>
      <c r="F238" s="87">
        <v>1000000</v>
      </c>
      <c r="G238" s="87">
        <v>1000000</v>
      </c>
      <c r="H238" s="29">
        <v>26</v>
      </c>
      <c r="I238" s="47">
        <v>0.2167</v>
      </c>
      <c r="J238" s="47">
        <v>0.2167</v>
      </c>
      <c r="K238" s="26">
        <v>14826809069.059999</v>
      </c>
      <c r="L238" s="27">
        <f>(K238/$K$239)</f>
        <v>0.11474323850184913</v>
      </c>
      <c r="M238" s="87">
        <v>1000000</v>
      </c>
      <c r="N238" s="87">
        <v>1000000</v>
      </c>
      <c r="O238" s="29">
        <v>26</v>
      </c>
      <c r="P238" s="47">
        <v>0.21640000000000001</v>
      </c>
      <c r="Q238" s="47">
        <v>0.21640000000000001</v>
      </c>
      <c r="R238" s="54">
        <f>((K238-D238)/D238)</f>
        <v>3.389609467979005E-3</v>
      </c>
      <c r="S238" s="54">
        <f>((N238-G238)/G238)</f>
        <v>0</v>
      </c>
      <c r="T238" s="54">
        <f>((O238-H238)/H238)</f>
        <v>0</v>
      </c>
      <c r="U238" s="54">
        <f>P238-I238</f>
        <v>-2.9999999999999472E-4</v>
      </c>
      <c r="V238" s="55">
        <f>Q238-J238</f>
        <v>-2.9999999999999472E-4</v>
      </c>
    </row>
    <row r="239" spans="1:22" ht="15" customHeight="1">
      <c r="A239" s="81"/>
      <c r="B239" s="81"/>
      <c r="C239" s="82" t="s">
        <v>251</v>
      </c>
      <c r="D239" s="86">
        <f>SUM(D237:D238)</f>
        <v>129167191738.10001</v>
      </c>
      <c r="E239" s="88"/>
      <c r="F239" s="89"/>
      <c r="G239" s="89"/>
      <c r="H239" s="86">
        <f>SUM(H237:H238)</f>
        <v>26</v>
      </c>
      <c r="I239" s="109"/>
      <c r="J239" s="109"/>
      <c r="K239" s="86">
        <f>SUM(K237:K238)</f>
        <v>129217279054.06</v>
      </c>
      <c r="L239" s="88"/>
      <c r="M239" s="89"/>
      <c r="N239" s="89"/>
      <c r="O239" s="86">
        <f>SUM(O237:O238)</f>
        <v>26</v>
      </c>
      <c r="P239" s="109"/>
      <c r="Q239" s="86"/>
      <c r="R239" s="114">
        <f>((K239-D239)/D239)</f>
        <v>3.8777119240579857E-4</v>
      </c>
      <c r="S239" s="115"/>
      <c r="T239" s="115"/>
      <c r="U239" s="114"/>
      <c r="V239" s="116"/>
    </row>
    <row r="240" spans="1:22" ht="4.5" customHeight="1">
      <c r="A240" s="33"/>
      <c r="B240" s="186"/>
      <c r="C240" s="186"/>
      <c r="D240" s="186"/>
      <c r="E240" s="186"/>
      <c r="F240" s="186"/>
      <c r="G240" s="186"/>
      <c r="H240" s="186"/>
      <c r="I240" s="186"/>
      <c r="J240" s="186"/>
      <c r="K240" s="186"/>
      <c r="L240" s="186"/>
      <c r="M240" s="186"/>
      <c r="N240" s="186"/>
      <c r="O240" s="186"/>
      <c r="P240" s="186"/>
      <c r="Q240" s="186"/>
      <c r="R240" s="186"/>
      <c r="S240" s="186"/>
      <c r="T240" s="186"/>
      <c r="U240" s="186"/>
      <c r="V240" s="186"/>
    </row>
    <row r="241" spans="1:26" ht="15.6">
      <c r="A241" s="184" t="s">
        <v>252</v>
      </c>
      <c r="B241" s="184"/>
      <c r="C241" s="184"/>
      <c r="D241" s="184"/>
      <c r="E241" s="184"/>
      <c r="F241" s="184"/>
      <c r="G241" s="184"/>
      <c r="H241" s="184"/>
      <c r="I241" s="184"/>
      <c r="J241" s="184"/>
      <c r="K241" s="184"/>
      <c r="L241" s="184"/>
      <c r="M241" s="184"/>
      <c r="N241" s="184"/>
      <c r="O241" s="184"/>
      <c r="P241" s="184"/>
      <c r="Q241" s="184"/>
      <c r="R241" s="184"/>
      <c r="S241" s="184"/>
      <c r="T241" s="184"/>
      <c r="U241" s="184"/>
      <c r="V241" s="184"/>
    </row>
    <row r="242" spans="1:26">
      <c r="A242" s="171">
        <v>1</v>
      </c>
      <c r="B242" s="168" t="s">
        <v>253</v>
      </c>
      <c r="C242" s="169" t="s">
        <v>78</v>
      </c>
      <c r="D242" s="90">
        <v>1374767880.97</v>
      </c>
      <c r="E242" s="91">
        <f t="shared" ref="E242:E253" si="189">(D242/$D$254)</f>
        <v>7.9764588702646466E-2</v>
      </c>
      <c r="F242" s="87">
        <v>331.53</v>
      </c>
      <c r="G242" s="87">
        <v>331.53</v>
      </c>
      <c r="H242" s="92">
        <v>266</v>
      </c>
      <c r="I242" s="49">
        <v>4.7000000000000002E-3</v>
      </c>
      <c r="J242" s="49">
        <v>0.35970000000000002</v>
      </c>
      <c r="K242" s="90">
        <v>1386321297.1700001</v>
      </c>
      <c r="L242" s="91">
        <f t="shared" ref="L242:L253" si="190">(K242/$K$254)</f>
        <v>7.8994489457150319E-2</v>
      </c>
      <c r="M242" s="87">
        <v>338.7371</v>
      </c>
      <c r="N242" s="87">
        <v>338.7371</v>
      </c>
      <c r="O242" s="92">
        <v>266</v>
      </c>
      <c r="P242" s="49">
        <v>2.1899999999999999E-2</v>
      </c>
      <c r="Q242" s="49">
        <v>0.38919999999999999</v>
      </c>
      <c r="R242" s="54">
        <f>((K242-D242)/D242)</f>
        <v>8.4039032042618426E-3</v>
      </c>
      <c r="S242" s="54">
        <f>((N242-G242)/G242)</f>
        <v>2.1738907489518372E-2</v>
      </c>
      <c r="T242" s="54">
        <f>((O242-H242)/H242)</f>
        <v>0</v>
      </c>
      <c r="U242" s="54">
        <f>P242-I242</f>
        <v>1.72E-2</v>
      </c>
      <c r="V242" s="55">
        <f>Q242-J242</f>
        <v>2.9499999999999971E-2</v>
      </c>
    </row>
    <row r="243" spans="1:26">
      <c r="A243" s="171">
        <v>2</v>
      </c>
      <c r="B243" s="168" t="s">
        <v>254</v>
      </c>
      <c r="C243" s="169" t="s">
        <v>226</v>
      </c>
      <c r="D243" s="90">
        <v>1856376699.73</v>
      </c>
      <c r="E243" s="91">
        <f t="shared" si="189"/>
        <v>0.10770772723222424</v>
      </c>
      <c r="F243" s="87">
        <v>52.8</v>
      </c>
      <c r="G243" s="87">
        <v>58.36</v>
      </c>
      <c r="H243" s="92">
        <v>359</v>
      </c>
      <c r="I243" s="49">
        <v>2.4E-2</v>
      </c>
      <c r="J243" s="49">
        <v>0.72230000000000005</v>
      </c>
      <c r="K243" s="90">
        <v>1885518057.99</v>
      </c>
      <c r="L243" s="91">
        <f t="shared" si="190"/>
        <v>0.10743940575479227</v>
      </c>
      <c r="M243" s="87">
        <v>53.63</v>
      </c>
      <c r="N243" s="87">
        <v>59.28</v>
      </c>
      <c r="O243" s="92">
        <v>359</v>
      </c>
      <c r="P243" s="49">
        <v>3.0300000000000001E-2</v>
      </c>
      <c r="Q243" s="49">
        <v>0.77449999999999997</v>
      </c>
      <c r="R243" s="54">
        <f t="shared" ref="R243:R254" si="191">((K243-D243)/D243)</f>
        <v>1.5697976743749502E-2</v>
      </c>
      <c r="S243" s="54">
        <f t="shared" ref="S243:S254" si="192">((N243-G243)/G243)</f>
        <v>1.5764222069910926E-2</v>
      </c>
      <c r="T243" s="54">
        <f t="shared" ref="T243:T254" si="193">((O243-H243)/H243)</f>
        <v>0</v>
      </c>
      <c r="U243" s="54">
        <f t="shared" ref="U243:U254" si="194">P243-I243</f>
        <v>6.3E-3</v>
      </c>
      <c r="V243" s="55">
        <f t="shared" ref="V243:V254" si="195">Q243-J243</f>
        <v>5.2199999999999913E-2</v>
      </c>
    </row>
    <row r="244" spans="1:26">
      <c r="A244" s="171">
        <v>3</v>
      </c>
      <c r="B244" s="168" t="s">
        <v>255</v>
      </c>
      <c r="C244" s="169" t="s">
        <v>41</v>
      </c>
      <c r="D244" s="90">
        <v>533600840.00999999</v>
      </c>
      <c r="E244" s="91">
        <f t="shared" si="189"/>
        <v>3.0959736639143302E-2</v>
      </c>
      <c r="F244" s="87">
        <v>39.81</v>
      </c>
      <c r="G244" s="87">
        <v>40.119999999999997</v>
      </c>
      <c r="H244" s="92">
        <v>218</v>
      </c>
      <c r="I244" s="49">
        <v>8.9999999999999993E-3</v>
      </c>
      <c r="J244" s="49">
        <v>0.39219999999999999</v>
      </c>
      <c r="K244" s="90">
        <v>540340440.21000004</v>
      </c>
      <c r="L244" s="91">
        <f t="shared" si="190"/>
        <v>3.0789339595788248E-2</v>
      </c>
      <c r="M244" s="87">
        <v>40.32</v>
      </c>
      <c r="N244" s="87">
        <v>40.64</v>
      </c>
      <c r="O244" s="92">
        <v>218</v>
      </c>
      <c r="P244" s="49">
        <v>1.26E-2</v>
      </c>
      <c r="Q244" s="49">
        <v>0.4098</v>
      </c>
      <c r="R244" s="54">
        <f t="shared" si="191"/>
        <v>1.2630415274222101E-2</v>
      </c>
      <c r="S244" s="54">
        <f t="shared" si="192"/>
        <v>1.2961116650049929E-2</v>
      </c>
      <c r="T244" s="54">
        <f t="shared" si="193"/>
        <v>0</v>
      </c>
      <c r="U244" s="54">
        <f t="shared" si="194"/>
        <v>3.6000000000000008E-3</v>
      </c>
      <c r="V244" s="55">
        <f t="shared" si="195"/>
        <v>1.7600000000000005E-2</v>
      </c>
    </row>
    <row r="245" spans="1:26">
      <c r="A245" s="171">
        <v>4</v>
      </c>
      <c r="B245" s="168" t="s">
        <v>256</v>
      </c>
      <c r="C245" s="169" t="s">
        <v>41</v>
      </c>
      <c r="D245" s="90">
        <v>1130145583.77</v>
      </c>
      <c r="E245" s="91">
        <f t="shared" si="189"/>
        <v>6.5571504041774656E-2</v>
      </c>
      <c r="F245" s="87">
        <v>84.8</v>
      </c>
      <c r="G245" s="87">
        <v>85.31</v>
      </c>
      <c r="H245" s="92">
        <v>261</v>
      </c>
      <c r="I245" s="49">
        <v>-8.3000000000000001E-3</v>
      </c>
      <c r="J245" s="49">
        <v>0.27839999999999998</v>
      </c>
      <c r="K245" s="90">
        <v>1142952779.9000001</v>
      </c>
      <c r="L245" s="91">
        <f t="shared" si="190"/>
        <v>6.5127017457021444E-2</v>
      </c>
      <c r="M245" s="87">
        <v>85.765455000000003</v>
      </c>
      <c r="N245" s="87">
        <v>86.286180999999999</v>
      </c>
      <c r="O245" s="92">
        <v>261</v>
      </c>
      <c r="P245" s="49">
        <v>1.1299999999999999E-2</v>
      </c>
      <c r="Q245" s="49">
        <v>0.29289999999999999</v>
      </c>
      <c r="R245" s="54">
        <f t="shared" si="191"/>
        <v>1.1332341880483385E-2</v>
      </c>
      <c r="S245" s="54">
        <f t="shared" si="192"/>
        <v>1.1442749970695075E-2</v>
      </c>
      <c r="T245" s="54">
        <f t="shared" si="193"/>
        <v>0</v>
      </c>
      <c r="U245" s="54">
        <f t="shared" si="194"/>
        <v>1.9599999999999999E-2</v>
      </c>
      <c r="V245" s="55">
        <f t="shared" si="195"/>
        <v>1.4500000000000013E-2</v>
      </c>
    </row>
    <row r="246" spans="1:26">
      <c r="A246" s="171">
        <v>5</v>
      </c>
      <c r="B246" s="168" t="s">
        <v>257</v>
      </c>
      <c r="C246" s="169" t="s">
        <v>258</v>
      </c>
      <c r="D246" s="90">
        <v>1777266047.75</v>
      </c>
      <c r="E246" s="91">
        <f t="shared" si="189"/>
        <v>0.10311769519515732</v>
      </c>
      <c r="F246" s="87">
        <v>51550</v>
      </c>
      <c r="G246" s="87">
        <v>56100</v>
      </c>
      <c r="H246" s="92">
        <v>310</v>
      </c>
      <c r="I246" s="49">
        <v>1.7000000000000001E-2</v>
      </c>
      <c r="J246" s="49">
        <v>0.41</v>
      </c>
      <c r="K246" s="90">
        <v>1811667636.0599999</v>
      </c>
      <c r="L246" s="91">
        <f t="shared" si="190"/>
        <v>0.10323130739515196</v>
      </c>
      <c r="M246" s="87">
        <v>53450</v>
      </c>
      <c r="N246" s="87">
        <v>57900</v>
      </c>
      <c r="O246" s="92">
        <v>310</v>
      </c>
      <c r="P246" s="49">
        <v>1.9E-2</v>
      </c>
      <c r="Q246" s="49">
        <v>0.44</v>
      </c>
      <c r="R246" s="54">
        <f t="shared" si="191"/>
        <v>1.935646514687657E-2</v>
      </c>
      <c r="S246" s="54">
        <f t="shared" si="192"/>
        <v>3.2085561497326207E-2</v>
      </c>
      <c r="T246" s="54">
        <f t="shared" si="193"/>
        <v>0</v>
      </c>
      <c r="U246" s="54">
        <f t="shared" si="194"/>
        <v>1.9999999999999983E-3</v>
      </c>
      <c r="V246" s="55">
        <f t="shared" si="195"/>
        <v>3.0000000000000027E-2</v>
      </c>
    </row>
    <row r="247" spans="1:26">
      <c r="A247" s="171">
        <v>6</v>
      </c>
      <c r="B247" s="168" t="s">
        <v>259</v>
      </c>
      <c r="C247" s="169" t="s">
        <v>260</v>
      </c>
      <c r="D247" s="90">
        <v>926230920.05999994</v>
      </c>
      <c r="E247" s="91">
        <f t="shared" si="189"/>
        <v>5.3740292746824743E-2</v>
      </c>
      <c r="F247" s="87">
        <v>500</v>
      </c>
      <c r="G247" s="87">
        <v>500</v>
      </c>
      <c r="H247" s="92">
        <v>156</v>
      </c>
      <c r="I247" s="49">
        <v>1.4E-2</v>
      </c>
      <c r="J247" s="49">
        <v>0.4325</v>
      </c>
      <c r="K247" s="90">
        <v>939082682.83000004</v>
      </c>
      <c r="L247" s="91">
        <f t="shared" si="190"/>
        <v>5.3510219629201966E-2</v>
      </c>
      <c r="M247" s="87">
        <v>490</v>
      </c>
      <c r="N247" s="87">
        <v>490</v>
      </c>
      <c r="O247" s="92">
        <v>156</v>
      </c>
      <c r="P247" s="49">
        <v>1.3899999999999999E-2</v>
      </c>
      <c r="Q247" s="49">
        <v>0.45169999999999999</v>
      </c>
      <c r="R247" s="54">
        <f t="shared" si="191"/>
        <v>1.3875333344699377E-2</v>
      </c>
      <c r="S247" s="54">
        <f t="shared" si="192"/>
        <v>-0.02</v>
      </c>
      <c r="T247" s="54">
        <f t="shared" si="193"/>
        <v>0</v>
      </c>
      <c r="U247" s="54">
        <f t="shared" si="194"/>
        <v>-1.0000000000000113E-4</v>
      </c>
      <c r="V247" s="55">
        <f t="shared" si="195"/>
        <v>1.9199999999999995E-2</v>
      </c>
    </row>
    <row r="248" spans="1:26">
      <c r="A248" s="171">
        <v>7</v>
      </c>
      <c r="B248" s="168" t="s">
        <v>261</v>
      </c>
      <c r="C248" s="169" t="s">
        <v>260</v>
      </c>
      <c r="D248" s="90">
        <v>989736130.32000005</v>
      </c>
      <c r="E248" s="91">
        <f t="shared" si="189"/>
        <v>5.7424890741134826E-2</v>
      </c>
      <c r="F248" s="87">
        <v>500</v>
      </c>
      <c r="G248" s="87">
        <v>500</v>
      </c>
      <c r="H248" s="92">
        <v>925</v>
      </c>
      <c r="I248" s="49">
        <v>1.06E-2</v>
      </c>
      <c r="J248" s="49">
        <v>0.36670000000000003</v>
      </c>
      <c r="K248" s="90">
        <v>1013132445.26</v>
      </c>
      <c r="L248" s="91">
        <f t="shared" si="190"/>
        <v>5.7729676684014714E-2</v>
      </c>
      <c r="M248" s="87">
        <v>500</v>
      </c>
      <c r="N248" s="87">
        <v>500</v>
      </c>
      <c r="O248" s="92">
        <v>925</v>
      </c>
      <c r="P248" s="49">
        <v>2.3599999999999999E-2</v>
      </c>
      <c r="Q248" s="49">
        <v>0.39850000000000002</v>
      </c>
      <c r="R248" s="54">
        <f t="shared" si="191"/>
        <v>2.3638941959646834E-2</v>
      </c>
      <c r="S248" s="54">
        <f t="shared" si="192"/>
        <v>0</v>
      </c>
      <c r="T248" s="54">
        <f t="shared" si="193"/>
        <v>0</v>
      </c>
      <c r="U248" s="54">
        <f t="shared" si="194"/>
        <v>1.2999999999999999E-2</v>
      </c>
      <c r="V248" s="55">
        <f t="shared" si="195"/>
        <v>3.1799999999999995E-2</v>
      </c>
    </row>
    <row r="249" spans="1:26">
      <c r="A249" s="171">
        <v>8</v>
      </c>
      <c r="B249" s="168" t="s">
        <v>262</v>
      </c>
      <c r="C249" s="169" t="s">
        <v>263</v>
      </c>
      <c r="D249" s="90">
        <v>122088883.31999999</v>
      </c>
      <c r="E249" s="91">
        <f t="shared" si="189"/>
        <v>7.0836464089589117E-3</v>
      </c>
      <c r="F249" s="87">
        <v>31.79</v>
      </c>
      <c r="G249" s="87">
        <v>31.89</v>
      </c>
      <c r="H249" s="92">
        <v>147</v>
      </c>
      <c r="I249" s="49">
        <v>-5.7000000000000002E-3</v>
      </c>
      <c r="J249" s="49">
        <v>1.0348999999999999</v>
      </c>
      <c r="K249" s="90">
        <v>123070623.84</v>
      </c>
      <c r="L249" s="91">
        <f t="shared" si="190"/>
        <v>7.012732991449981E-3</v>
      </c>
      <c r="M249" s="87">
        <v>34.24</v>
      </c>
      <c r="N249" s="87">
        <v>34.24</v>
      </c>
      <c r="O249" s="92">
        <v>147</v>
      </c>
      <c r="P249" s="49">
        <v>0</v>
      </c>
      <c r="Q249" s="49">
        <v>1.0348999999999999</v>
      </c>
      <c r="R249" s="54">
        <f t="shared" si="191"/>
        <v>8.0411950154939855E-3</v>
      </c>
      <c r="S249" s="54">
        <f t="shared" si="192"/>
        <v>7.3690812166823494E-2</v>
      </c>
      <c r="T249" s="54">
        <f t="shared" si="193"/>
        <v>0</v>
      </c>
      <c r="U249" s="54">
        <f t="shared" si="194"/>
        <v>5.7000000000000002E-3</v>
      </c>
      <c r="V249" s="55">
        <f t="shared" si="195"/>
        <v>0</v>
      </c>
    </row>
    <row r="250" spans="1:26">
      <c r="A250" s="171">
        <v>9</v>
      </c>
      <c r="B250" s="168" t="s">
        <v>264</v>
      </c>
      <c r="C250" s="169" t="s">
        <v>263</v>
      </c>
      <c r="D250" s="93">
        <v>958501245.64999998</v>
      </c>
      <c r="E250" s="91">
        <f t="shared" si="189"/>
        <v>5.561263009454534E-2</v>
      </c>
      <c r="F250" s="87">
        <v>15.26</v>
      </c>
      <c r="G250" s="87">
        <v>15.36</v>
      </c>
      <c r="H250" s="92">
        <v>213</v>
      </c>
      <c r="I250" s="49">
        <v>1.67E-2</v>
      </c>
      <c r="J250" s="49">
        <v>0.39450000000000002</v>
      </c>
      <c r="K250" s="93">
        <v>956027110.83000004</v>
      </c>
      <c r="L250" s="91">
        <f t="shared" si="190"/>
        <v>5.4475736383316507E-2</v>
      </c>
      <c r="M250" s="87">
        <v>15.15</v>
      </c>
      <c r="N250" s="87">
        <v>15.25</v>
      </c>
      <c r="O250" s="92">
        <v>210</v>
      </c>
      <c r="P250" s="49">
        <v>-6.9999999999999999E-4</v>
      </c>
      <c r="Q250" s="49">
        <v>0.37609999999999999</v>
      </c>
      <c r="R250" s="54">
        <f t="shared" si="191"/>
        <v>-2.5812536303196124E-3</v>
      </c>
      <c r="S250" s="54">
        <f t="shared" si="192"/>
        <v>-7.1614583333332966E-3</v>
      </c>
      <c r="T250" s="54">
        <f t="shared" si="193"/>
        <v>-1.4084507042253521E-2</v>
      </c>
      <c r="U250" s="54">
        <f t="shared" si="194"/>
        <v>-1.7399999999999999E-2</v>
      </c>
      <c r="V250" s="55">
        <f t="shared" si="195"/>
        <v>-1.8400000000000027E-2</v>
      </c>
    </row>
    <row r="251" spans="1:26" ht="15" customHeight="1">
      <c r="A251" s="171">
        <v>10</v>
      </c>
      <c r="B251" s="168" t="s">
        <v>265</v>
      </c>
      <c r="C251" s="169" t="s">
        <v>263</v>
      </c>
      <c r="D251" s="90">
        <v>119163023.75</v>
      </c>
      <c r="E251" s="91">
        <f t="shared" si="189"/>
        <v>6.9138868528670974E-3</v>
      </c>
      <c r="F251" s="87">
        <v>144.27000000000001</v>
      </c>
      <c r="G251" s="87">
        <v>146.27000000000001</v>
      </c>
      <c r="H251" s="92">
        <v>379</v>
      </c>
      <c r="I251" s="49">
        <v>-4.6800000000000001E-2</v>
      </c>
      <c r="J251" s="49">
        <v>-9.5999999999999992E-3</v>
      </c>
      <c r="K251" s="90">
        <v>120061928.73999999</v>
      </c>
      <c r="L251" s="91">
        <f t="shared" si="190"/>
        <v>6.8412934169141898E-3</v>
      </c>
      <c r="M251" s="87">
        <v>144.34</v>
      </c>
      <c r="N251" s="87">
        <v>146.34</v>
      </c>
      <c r="O251" s="92">
        <v>380</v>
      </c>
      <c r="P251" s="49">
        <v>-9.5100000000000004E-2</v>
      </c>
      <c r="Q251" s="49">
        <v>-8.9999999999999993E-3</v>
      </c>
      <c r="R251" s="54">
        <f t="shared" si="191"/>
        <v>7.5434892612818126E-3</v>
      </c>
      <c r="S251" s="54">
        <f t="shared" si="192"/>
        <v>4.7856703356801241E-4</v>
      </c>
      <c r="T251" s="54">
        <f t="shared" si="193"/>
        <v>2.6385224274406332E-3</v>
      </c>
      <c r="U251" s="54">
        <f t="shared" si="194"/>
        <v>-4.8300000000000003E-2</v>
      </c>
      <c r="V251" s="55">
        <f t="shared" si="195"/>
        <v>5.9999999999999984E-4</v>
      </c>
    </row>
    <row r="252" spans="1:26">
      <c r="A252" s="171">
        <v>11</v>
      </c>
      <c r="B252" s="168" t="s">
        <v>266</v>
      </c>
      <c r="C252" s="169" t="s">
        <v>263</v>
      </c>
      <c r="D252" s="90">
        <v>7358730574.25</v>
      </c>
      <c r="E252" s="91">
        <f t="shared" si="189"/>
        <v>0.42695652535502415</v>
      </c>
      <c r="F252" s="87">
        <v>51.44</v>
      </c>
      <c r="G252" s="87">
        <v>51.64</v>
      </c>
      <c r="H252" s="92">
        <v>422</v>
      </c>
      <c r="I252" s="49">
        <v>9.7000000000000003E-3</v>
      </c>
      <c r="J252" s="49">
        <v>0.38300000000000001</v>
      </c>
      <c r="K252" s="90">
        <v>7539011152.6999998</v>
      </c>
      <c r="L252" s="91">
        <f t="shared" si="190"/>
        <v>0.42958319852332877</v>
      </c>
      <c r="M252" s="87">
        <v>53.87</v>
      </c>
      <c r="N252" s="87">
        <v>54.07</v>
      </c>
      <c r="O252" s="92">
        <v>414</v>
      </c>
      <c r="P252" s="49">
        <v>5.8000000000000003E-2</v>
      </c>
      <c r="Q252" s="49">
        <v>0.40689999999999998</v>
      </c>
      <c r="R252" s="54">
        <f t="shared" si="191"/>
        <v>2.4498869286075739E-2</v>
      </c>
      <c r="S252" s="54">
        <f t="shared" si="192"/>
        <v>4.7056545313710299E-2</v>
      </c>
      <c r="T252" s="54">
        <f t="shared" si="193"/>
        <v>-1.8957345971563982E-2</v>
      </c>
      <c r="U252" s="54">
        <f t="shared" si="194"/>
        <v>4.8300000000000003E-2</v>
      </c>
      <c r="V252" s="55">
        <f t="shared" si="195"/>
        <v>2.3899999999999977E-2</v>
      </c>
    </row>
    <row r="253" spans="1:26">
      <c r="A253" s="171">
        <v>12</v>
      </c>
      <c r="B253" s="168" t="s">
        <v>267</v>
      </c>
      <c r="C253" s="169" t="s">
        <v>263</v>
      </c>
      <c r="D253" s="93">
        <v>88708033.390000001</v>
      </c>
      <c r="E253" s="91">
        <f t="shared" si="189"/>
        <v>5.1468759896990826E-3</v>
      </c>
      <c r="F253" s="87">
        <v>49.16</v>
      </c>
      <c r="G253" s="87">
        <v>49.36</v>
      </c>
      <c r="H253" s="92">
        <v>141</v>
      </c>
      <c r="I253" s="49">
        <v>0.1111</v>
      </c>
      <c r="J253" s="49">
        <v>0.19470000000000001</v>
      </c>
      <c r="K253" s="93">
        <v>92408844.030000001</v>
      </c>
      <c r="L253" s="91">
        <f t="shared" si="190"/>
        <v>5.2655827118698109E-3</v>
      </c>
      <c r="M253" s="87">
        <v>52.82</v>
      </c>
      <c r="N253" s="87">
        <v>53.02</v>
      </c>
      <c r="O253" s="92">
        <v>138</v>
      </c>
      <c r="P253" s="49">
        <v>0.1111</v>
      </c>
      <c r="Q253" s="49">
        <v>0.19470000000000001</v>
      </c>
      <c r="R253" s="54">
        <f t="shared" si="191"/>
        <v>4.171900219825176E-2</v>
      </c>
      <c r="S253" s="54">
        <f t="shared" si="192"/>
        <v>7.4149108589951454E-2</v>
      </c>
      <c r="T253" s="54">
        <f t="shared" si="193"/>
        <v>-2.1276595744680851E-2</v>
      </c>
      <c r="U253" s="54">
        <f t="shared" si="194"/>
        <v>0</v>
      </c>
      <c r="V253" s="55">
        <f t="shared" si="195"/>
        <v>0</v>
      </c>
    </row>
    <row r="254" spans="1:26">
      <c r="A254" s="124"/>
      <c r="B254" s="124"/>
      <c r="C254" s="125" t="s">
        <v>268</v>
      </c>
      <c r="D254" s="86">
        <f>SUM(D242:D253)</f>
        <v>17235315862.969997</v>
      </c>
      <c r="E254" s="88"/>
      <c r="F254" s="88"/>
      <c r="G254" s="89"/>
      <c r="H254" s="86">
        <f>SUM(H242:H253)</f>
        <v>3797</v>
      </c>
      <c r="I254" s="109"/>
      <c r="J254" s="109"/>
      <c r="K254" s="86">
        <f>SUM(K242:K253)</f>
        <v>17549594999.559998</v>
      </c>
      <c r="L254" s="88"/>
      <c r="M254" s="88"/>
      <c r="N254" s="89"/>
      <c r="O254" s="86">
        <f>SUM(O242:O253)</f>
        <v>3784</v>
      </c>
      <c r="P254" s="109"/>
      <c r="Q254" s="109"/>
      <c r="R254" s="54">
        <f t="shared" si="191"/>
        <v>1.8234602666332766E-2</v>
      </c>
      <c r="S254" s="54" t="e">
        <f t="shared" si="192"/>
        <v>#DIV/0!</v>
      </c>
      <c r="T254" s="54">
        <f t="shared" si="193"/>
        <v>-3.4237555965235711E-3</v>
      </c>
      <c r="U254" s="54">
        <f t="shared" si="194"/>
        <v>0</v>
      </c>
      <c r="V254" s="55">
        <f t="shared" si="195"/>
        <v>0</v>
      </c>
      <c r="Z254" s="61"/>
    </row>
    <row r="255" spans="1:26">
      <c r="A255" s="94"/>
      <c r="B255" s="94"/>
      <c r="C255" s="95" t="s">
        <v>269</v>
      </c>
      <c r="D255" s="96">
        <f>SUM(D226,D234,D239,D254)</f>
        <v>6977101630741.9336</v>
      </c>
      <c r="E255" s="97"/>
      <c r="F255" s="97"/>
      <c r="G255" s="98"/>
      <c r="H255" s="96">
        <f>SUM(H226,H234,H239,H254)</f>
        <v>1006729</v>
      </c>
      <c r="I255" s="110"/>
      <c r="J255" s="110"/>
      <c r="K255" s="96">
        <f>SUM(K226,K234,K239,K254)</f>
        <v>7091941885850.6416</v>
      </c>
      <c r="L255" s="97"/>
      <c r="M255" s="97"/>
      <c r="N255" s="96"/>
      <c r="O255" s="96">
        <f>SUM(O226,O234,O239,O254)</f>
        <v>1033981.38</v>
      </c>
      <c r="P255" s="111"/>
      <c r="Q255" s="96"/>
      <c r="R255" s="117"/>
      <c r="S255" s="118"/>
      <c r="T255" s="118"/>
      <c r="U255" s="119"/>
      <c r="V255" s="119"/>
      <c r="Z255" s="61"/>
    </row>
    <row r="256" spans="1:26">
      <c r="A256" s="99" t="s">
        <v>270</v>
      </c>
      <c r="B256" s="122" t="s">
        <v>327</v>
      </c>
      <c r="C256" s="100"/>
      <c r="D256" s="100"/>
      <c r="E256" s="100"/>
      <c r="F256" s="100"/>
      <c r="G256" s="100"/>
      <c r="H256" s="100"/>
      <c r="I256" s="100"/>
      <c r="J256" s="100"/>
      <c r="K256" s="100"/>
      <c r="L256" s="100"/>
      <c r="M256" s="100"/>
      <c r="N256" s="100"/>
      <c r="O256" s="100"/>
      <c r="P256" s="100"/>
      <c r="Q256" s="100"/>
      <c r="R256" s="100"/>
      <c r="S256" s="100"/>
      <c r="T256" s="100"/>
      <c r="U256" s="100"/>
      <c r="V256" s="100"/>
    </row>
    <row r="257" spans="2:11">
      <c r="B257" s="121"/>
    </row>
    <row r="258" spans="2:11">
      <c r="B258" s="121"/>
      <c r="C258" s="101"/>
      <c r="D258" s="102"/>
      <c r="K258" s="102"/>
    </row>
    <row r="259" spans="2:11" ht="15">
      <c r="B259" s="103"/>
      <c r="C259" s="104"/>
      <c r="D259" s="105"/>
      <c r="F259" s="106"/>
      <c r="G259" s="106"/>
      <c r="I259" s="112"/>
      <c r="J259" s="113"/>
    </row>
    <row r="260" spans="2:11">
      <c r="C260" s="121"/>
    </row>
    <row r="261" spans="2:11">
      <c r="K261" s="79"/>
    </row>
    <row r="262" spans="2:11">
      <c r="B262" s="101"/>
    </row>
    <row r="263" spans="2:11">
      <c r="K263" s="155"/>
    </row>
  </sheetData>
  <sheetProtection algorithmName="SHA-512" hashValue="JPuk+MJq5mS1nA1PPMyTHjU/h0ftczDQYyrB20sxoaPIvXAVPVqEgzEVyTJ1IKimVSOh/3z+OsyhBzJqXR9XcA==" saltValue="s9CyMp3ls4WCKcC8tAb9gg==" spinCount="100000" sheet="1" objects="1" scenarios="1"/>
  <sortState ref="A150:C177">
    <sortCondition descending="1" ref="A149"/>
  </sortState>
  <mergeCells count="34">
    <mergeCell ref="A228:V228"/>
    <mergeCell ref="A236:V236"/>
    <mergeCell ref="B240:V240"/>
    <mergeCell ref="A241:V241"/>
    <mergeCell ref="B205:V205"/>
    <mergeCell ref="A206:V206"/>
    <mergeCell ref="B220:V220"/>
    <mergeCell ref="A221:V221"/>
    <mergeCell ref="B227:U227"/>
    <mergeCell ref="B195:V195"/>
    <mergeCell ref="A196:V196"/>
    <mergeCell ref="B200:V200"/>
    <mergeCell ref="A201:V201"/>
    <mergeCell ref="A202:V202"/>
    <mergeCell ref="A134:V134"/>
    <mergeCell ref="B155:V155"/>
    <mergeCell ref="A156:V156"/>
    <mergeCell ref="B164:V164"/>
    <mergeCell ref="A165:V165"/>
    <mergeCell ref="A72:V72"/>
    <mergeCell ref="B113:V113"/>
    <mergeCell ref="A114:V114"/>
    <mergeCell ref="A115:V115"/>
    <mergeCell ref="B133:V133"/>
    <mergeCell ref="B4:V4"/>
    <mergeCell ref="A5:V5"/>
    <mergeCell ref="B26:V26"/>
    <mergeCell ref="A27:V27"/>
    <mergeCell ref="B71:V71"/>
    <mergeCell ref="A1:V1"/>
    <mergeCell ref="D2:J2"/>
    <mergeCell ref="K2:Q2"/>
    <mergeCell ref="R2:T2"/>
    <mergeCell ref="U2:V2"/>
  </mergeCells>
  <pageMargins left="0.7" right="0.7" top="0.75" bottom="0.75" header="0.3" footer="0.3"/>
  <pageSetup paperSize="9" orientation="portrait" horizontalDpi="300" verticalDpi="300" r:id="rId1"/>
  <ignoredErrors>
    <ignoredError sqref="L97 E97 E77 L49 E49 L34 E34 L139 E139" formula="1"/>
    <ignoredError sqref="S163 S25 S70 S112 S154 S194 S199 S225 S254 T237:T238 R50:T50 R139 R127:T127 R46:T46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G29"/>
  <sheetViews>
    <sheetView zoomScaleNormal="100" workbookViewId="0">
      <selection activeCell="D8" sqref="D8"/>
    </sheetView>
  </sheetViews>
  <sheetFormatPr defaultColWidth="9" defaultRowHeight="14.4"/>
  <cols>
    <col min="1" max="1" width="34" customWidth="1"/>
    <col min="2" max="2" width="15.6640625" customWidth="1"/>
    <col min="3" max="3" width="16.109375" customWidth="1"/>
  </cols>
  <sheetData>
    <row r="1" spans="1:7">
      <c r="A1" s="19"/>
      <c r="B1" s="19"/>
      <c r="C1" s="19"/>
      <c r="D1" s="19"/>
      <c r="E1" s="15"/>
      <c r="F1" s="15"/>
      <c r="G1" s="15"/>
    </row>
    <row r="2" spans="1:7" ht="27.6">
      <c r="A2" s="156" t="s">
        <v>271</v>
      </c>
      <c r="B2" s="157" t="s">
        <v>324</v>
      </c>
      <c r="C2" s="157" t="s">
        <v>328</v>
      </c>
      <c r="D2" s="188"/>
      <c r="E2" s="15"/>
      <c r="F2" s="15"/>
      <c r="G2" s="15"/>
    </row>
    <row r="3" spans="1:7">
      <c r="A3" s="158" t="s">
        <v>15</v>
      </c>
      <c r="B3" s="159">
        <f t="shared" ref="B3:C10" si="0">B13</f>
        <v>72.157008607625713</v>
      </c>
      <c r="C3" s="159">
        <f t="shared" si="0"/>
        <v>73.550112013645503</v>
      </c>
      <c r="D3" s="188"/>
      <c r="E3" s="15"/>
      <c r="F3" s="15"/>
      <c r="G3" s="15"/>
    </row>
    <row r="4" spans="1:7" ht="15.6" customHeight="1">
      <c r="A4" s="156" t="s">
        <v>52</v>
      </c>
      <c r="B4" s="160">
        <f t="shared" si="0"/>
        <v>4086.8641162664794</v>
      </c>
      <c r="C4" s="160">
        <f t="shared" si="0"/>
        <v>4172.7591221779403</v>
      </c>
      <c r="D4" s="188"/>
      <c r="E4" s="15"/>
      <c r="F4" s="15"/>
      <c r="G4" s="15"/>
    </row>
    <row r="5" spans="1:7" ht="16.2" customHeight="1">
      <c r="A5" s="156" t="s">
        <v>272</v>
      </c>
      <c r="B5" s="159">
        <f t="shared" si="0"/>
        <v>236.13817186633187</v>
      </c>
      <c r="C5" s="159">
        <f t="shared" si="0"/>
        <v>239.78026597400003</v>
      </c>
      <c r="D5" s="188"/>
      <c r="E5" s="15"/>
      <c r="F5" s="15"/>
      <c r="G5" s="15"/>
    </row>
    <row r="6" spans="1:7">
      <c r="A6" s="156" t="s">
        <v>152</v>
      </c>
      <c r="B6" s="160">
        <f t="shared" si="0"/>
        <v>1897.8873335364215</v>
      </c>
      <c r="C6" s="160">
        <f t="shared" si="0"/>
        <v>1916.7479723695214</v>
      </c>
      <c r="D6" s="188"/>
      <c r="E6" s="15"/>
      <c r="F6" s="15"/>
      <c r="G6" s="15"/>
    </row>
    <row r="7" spans="1:7">
      <c r="A7" s="156" t="s">
        <v>273</v>
      </c>
      <c r="B7" s="159">
        <f t="shared" si="0"/>
        <v>367.81847828237329</v>
      </c>
      <c r="C7" s="159">
        <f t="shared" si="0"/>
        <v>367.96901960186682</v>
      </c>
      <c r="D7" s="188"/>
      <c r="E7" s="15"/>
      <c r="F7" s="15"/>
      <c r="G7" s="15"/>
    </row>
    <row r="8" spans="1:7">
      <c r="A8" s="156" t="s">
        <v>189</v>
      </c>
      <c r="B8" s="161">
        <f t="shared" si="0"/>
        <v>77.203925561305738</v>
      </c>
      <c r="C8" s="161">
        <f t="shared" si="0"/>
        <v>77.988718310700833</v>
      </c>
      <c r="D8" s="188"/>
      <c r="E8" s="15"/>
      <c r="F8" s="15"/>
      <c r="G8" s="15"/>
    </row>
    <row r="9" spans="1:7">
      <c r="A9" s="156" t="s">
        <v>219</v>
      </c>
      <c r="B9" s="159">
        <f t="shared" si="0"/>
        <v>8.2208766232899997</v>
      </c>
      <c r="C9" s="159">
        <f t="shared" si="0"/>
        <v>8.3003962871100008</v>
      </c>
      <c r="D9" s="188"/>
      <c r="E9" s="15"/>
      <c r="F9" s="15"/>
      <c r="G9" s="15"/>
    </row>
    <row r="10" spans="1:7">
      <c r="A10" s="156" t="s">
        <v>274</v>
      </c>
      <c r="B10" s="159">
        <f t="shared" si="0"/>
        <v>65.919902571820003</v>
      </c>
      <c r="C10" s="159">
        <f t="shared" si="0"/>
        <v>68.565919306979978</v>
      </c>
      <c r="D10" s="188"/>
      <c r="E10" s="15"/>
      <c r="F10" s="15"/>
      <c r="G10" s="15"/>
    </row>
    <row r="11" spans="1:7">
      <c r="A11" s="156"/>
      <c r="B11" s="159"/>
      <c r="C11" s="159"/>
      <c r="D11" s="188"/>
      <c r="E11" s="15"/>
      <c r="F11" s="15"/>
      <c r="G11" s="15"/>
    </row>
    <row r="12" spans="1:7">
      <c r="A12" s="19"/>
      <c r="B12" s="19"/>
      <c r="C12" s="19"/>
      <c r="D12" s="19"/>
      <c r="E12" s="15"/>
      <c r="F12" s="15"/>
      <c r="G12" s="15"/>
    </row>
    <row r="13" spans="1:7">
      <c r="A13" s="162" t="s">
        <v>15</v>
      </c>
      <c r="B13" s="152">
        <f>'Weekly Valuation'!D25/1000000000</f>
        <v>72.157008607625713</v>
      </c>
      <c r="C13" s="153">
        <f>'Weekly Valuation'!K25/1000000000</f>
        <v>73.550112013645503</v>
      </c>
      <c r="D13" s="19"/>
      <c r="E13" s="15"/>
      <c r="F13" s="15"/>
      <c r="G13" s="15"/>
    </row>
    <row r="14" spans="1:7">
      <c r="A14" s="154" t="s">
        <v>52</v>
      </c>
      <c r="B14" s="152">
        <f>'Weekly Valuation'!D70/1000000000</f>
        <v>4086.8641162664794</v>
      </c>
      <c r="C14" s="163">
        <f>'Weekly Valuation'!K70/1000000000</f>
        <v>4172.7591221779403</v>
      </c>
      <c r="D14" s="19"/>
      <c r="E14" s="15"/>
      <c r="F14" s="15"/>
      <c r="G14" s="15"/>
    </row>
    <row r="15" spans="1:7">
      <c r="A15" s="154" t="s">
        <v>272</v>
      </c>
      <c r="B15" s="152">
        <f>'Weekly Valuation'!D112/1000000000</f>
        <v>236.13817186633187</v>
      </c>
      <c r="C15" s="153">
        <f>'Weekly Valuation'!K112/1000000000</f>
        <v>239.78026597400003</v>
      </c>
      <c r="D15" s="19"/>
      <c r="E15" s="15"/>
      <c r="F15" s="15"/>
      <c r="G15" s="15"/>
    </row>
    <row r="16" spans="1:7">
      <c r="A16" s="154" t="s">
        <v>152</v>
      </c>
      <c r="B16" s="152">
        <f>'Weekly Valuation'!D154/1000000000</f>
        <v>1897.8873335364215</v>
      </c>
      <c r="C16" s="163">
        <f>'Weekly Valuation'!K154/1000000000</f>
        <v>1916.7479723695214</v>
      </c>
      <c r="D16" s="19"/>
      <c r="E16" s="15"/>
      <c r="F16" s="15"/>
      <c r="G16" s="15"/>
    </row>
    <row r="17" spans="1:7">
      <c r="A17" s="154" t="s">
        <v>273</v>
      </c>
      <c r="B17" s="152">
        <f>'Weekly Valuation'!D163/1000000000</f>
        <v>367.81847828237329</v>
      </c>
      <c r="C17" s="153">
        <f>'Weekly Valuation'!K163/1000000000</f>
        <v>367.96901960186682</v>
      </c>
      <c r="D17" s="19"/>
      <c r="E17" s="15"/>
      <c r="F17" s="15"/>
      <c r="G17" s="15"/>
    </row>
    <row r="18" spans="1:7">
      <c r="A18" s="154" t="s">
        <v>189</v>
      </c>
      <c r="B18" s="152">
        <f>'Weekly Valuation'!D194/1000000000</f>
        <v>77.203925561305738</v>
      </c>
      <c r="C18" s="164">
        <f>'Weekly Valuation'!K194/1000000000</f>
        <v>77.988718310700833</v>
      </c>
      <c r="D18" s="19"/>
      <c r="E18" s="15"/>
      <c r="F18" s="15"/>
      <c r="G18" s="15"/>
    </row>
    <row r="19" spans="1:7">
      <c r="A19" s="154" t="s">
        <v>219</v>
      </c>
      <c r="B19" s="152">
        <f>'Weekly Valuation'!D199/1000000000</f>
        <v>8.2208766232899997</v>
      </c>
      <c r="C19" s="153">
        <f>'Weekly Valuation'!K199/1000000000</f>
        <v>8.3003962871100008</v>
      </c>
      <c r="D19" s="19"/>
      <c r="E19" s="15"/>
      <c r="F19" s="15"/>
      <c r="G19" s="15"/>
    </row>
    <row r="20" spans="1:7">
      <c r="A20" s="154" t="s">
        <v>274</v>
      </c>
      <c r="B20" s="152">
        <f>'Weekly Valuation'!D225/1000000000</f>
        <v>65.919902571820003</v>
      </c>
      <c r="C20" s="153">
        <f>'Weekly Valuation'!K225/1000000000</f>
        <v>68.565919306979978</v>
      </c>
      <c r="D20" s="19"/>
      <c r="E20" s="15"/>
      <c r="F20" s="15"/>
      <c r="G20" s="15"/>
    </row>
    <row r="21" spans="1:7">
      <c r="A21" s="134"/>
      <c r="B21" s="19"/>
      <c r="C21" s="150"/>
      <c r="D21" s="19"/>
      <c r="E21" s="15"/>
      <c r="F21" s="15"/>
      <c r="G21" s="15"/>
    </row>
    <row r="22" spans="1:7">
      <c r="A22" s="134"/>
      <c r="B22" s="19"/>
      <c r="C22" s="135"/>
      <c r="D22" s="19"/>
      <c r="E22" s="19"/>
      <c r="F22" s="15"/>
      <c r="G22" s="15"/>
    </row>
    <row r="23" spans="1:7">
      <c r="A23" s="132"/>
      <c r="B23" s="142"/>
      <c r="C23" s="166"/>
      <c r="D23" s="15"/>
      <c r="E23" s="19"/>
      <c r="F23" s="15"/>
      <c r="G23" s="15"/>
    </row>
    <row r="24" spans="1:7">
      <c r="A24" s="132"/>
      <c r="B24" s="142"/>
      <c r="C24" s="142"/>
      <c r="D24" s="15"/>
      <c r="E24" s="15"/>
      <c r="F24" s="15"/>
      <c r="G24" s="15"/>
    </row>
    <row r="25" spans="1:7">
      <c r="A25" s="134"/>
      <c r="B25" s="135"/>
      <c r="C25" s="135"/>
      <c r="D25" s="19"/>
      <c r="E25" s="15"/>
      <c r="F25" s="15"/>
      <c r="G25" s="15"/>
    </row>
    <row r="26" spans="1:7">
      <c r="A26" s="134"/>
      <c r="B26" s="135"/>
      <c r="C26" s="135"/>
      <c r="D26" s="19"/>
      <c r="E26" s="19"/>
      <c r="F26" s="19"/>
      <c r="G26" s="15"/>
    </row>
    <row r="27" spans="1:7">
      <c r="A27" s="134"/>
      <c r="B27" s="135"/>
      <c r="C27" s="135"/>
      <c r="D27" s="19"/>
      <c r="E27" s="19"/>
      <c r="F27" s="19"/>
      <c r="G27" s="15"/>
    </row>
    <row r="28" spans="1:7">
      <c r="A28" s="19"/>
      <c r="B28" s="19"/>
      <c r="C28" s="19"/>
      <c r="D28" s="19"/>
      <c r="E28" s="15"/>
      <c r="F28" s="15"/>
      <c r="G28" s="15"/>
    </row>
    <row r="29" spans="1:7">
      <c r="A29" s="15"/>
      <c r="B29" s="15"/>
      <c r="C29" s="15"/>
      <c r="D29" s="15"/>
      <c r="E29" s="15"/>
      <c r="F29" s="15"/>
      <c r="G29" s="15"/>
    </row>
  </sheetData>
  <sheetProtection algorithmName="SHA-512" hashValue="Qy87aFLknH1BfSocK8z+/iJ4sct25Y5NWSijvZC6SWYYcbUp1tmXW1keOIcbkxmQvCs+7lERQ7zcCtKC4V/8iQ==" saltValue="k0hUSodT2y4v3n27JvyLpg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3"/>
  <sheetViews>
    <sheetView zoomScale="85" zoomScaleNormal="85" workbookViewId="0">
      <selection activeCell="G13" sqref="G13"/>
    </sheetView>
  </sheetViews>
  <sheetFormatPr defaultColWidth="9" defaultRowHeight="14.4"/>
  <cols>
    <col min="1" max="1" width="31.33203125" customWidth="1"/>
    <col min="2" max="2" width="17.44140625" customWidth="1"/>
    <col min="16" max="16" width="7.5546875" customWidth="1"/>
  </cols>
  <sheetData>
    <row r="1" spans="1:16" ht="15.6">
      <c r="A1" s="148" t="s">
        <v>271</v>
      </c>
      <c r="B1" s="149">
        <v>45940</v>
      </c>
      <c r="C1" s="19"/>
      <c r="D1" s="19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>
      <c r="A2" s="134" t="s">
        <v>219</v>
      </c>
      <c r="B2" s="135">
        <f>'Weekly Valuation'!K199</f>
        <v>8300396287.1100006</v>
      </c>
      <c r="C2" s="19"/>
      <c r="D2" s="19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>
      <c r="A3" s="134" t="s">
        <v>15</v>
      </c>
      <c r="B3" s="135">
        <f>'Weekly Valuation'!K25</f>
        <v>73550112013.645508</v>
      </c>
      <c r="C3" s="19"/>
      <c r="D3" s="19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>
      <c r="A4" s="134" t="s">
        <v>274</v>
      </c>
      <c r="B4" s="133">
        <f>'Weekly Valuation'!K225</f>
        <v>68565919306.97998</v>
      </c>
      <c r="C4" s="19"/>
      <c r="D4" s="19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>
      <c r="A5" s="134" t="s">
        <v>189</v>
      </c>
      <c r="B5" s="135">
        <f>'Weekly Valuation'!K194</f>
        <v>77988718310.700836</v>
      </c>
      <c r="C5" s="19"/>
      <c r="D5" s="19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>
      <c r="A6" s="134" t="s">
        <v>273</v>
      </c>
      <c r="B6" s="135">
        <f>'Weekly Valuation'!K163</f>
        <v>367969019601.86682</v>
      </c>
      <c r="C6" s="19"/>
      <c r="D6" s="19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>
      <c r="A7" s="134" t="s">
        <v>272</v>
      </c>
      <c r="B7" s="135">
        <f>'Weekly Valuation'!K112</f>
        <v>239780265974.00003</v>
      </c>
      <c r="C7" s="19"/>
      <c r="D7" s="19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>
      <c r="A8" s="134" t="s">
        <v>152</v>
      </c>
      <c r="B8" s="150">
        <f>'Weekly Valuation'!K154</f>
        <v>1916747972369.5215</v>
      </c>
      <c r="C8" s="19"/>
      <c r="D8" s="19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>
      <c r="A9" s="134" t="s">
        <v>52</v>
      </c>
      <c r="B9" s="150">
        <f>'Weekly Valuation'!K70</f>
        <v>4172759122177.9399</v>
      </c>
      <c r="C9" s="19"/>
      <c r="D9" s="19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>
      <c r="A10" s="19"/>
      <c r="B10" s="19"/>
      <c r="C10" s="19"/>
      <c r="D10" s="19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>
      <c r="A11" s="134"/>
      <c r="B11" s="151"/>
      <c r="C11" s="19"/>
      <c r="D11" s="19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>
      <c r="A12" s="134"/>
      <c r="B12" s="19"/>
      <c r="C12" s="19"/>
      <c r="D12" s="19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>
      <c r="A13" s="135"/>
      <c r="B13" s="135"/>
      <c r="C13" s="19"/>
      <c r="D13" s="19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>
      <c r="A14" s="135"/>
      <c r="B14" s="135"/>
      <c r="C14" s="19"/>
      <c r="D14" s="19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 ht="16.5" customHeight="1">
      <c r="A15" s="132"/>
      <c r="B15" s="166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>
      <c r="A16" s="142"/>
      <c r="B16" s="142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7">
      <c r="A17" s="142"/>
      <c r="B17" s="142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7">
      <c r="A18" s="130"/>
      <c r="B18" s="142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7">
      <c r="A19" s="130"/>
      <c r="B19" s="130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7">
      <c r="A20" s="130"/>
      <c r="B20" s="130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7">
      <c r="A21" s="132"/>
      <c r="B21" s="130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7">
      <c r="A22" s="15"/>
      <c r="B22" s="130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7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7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7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7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7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7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7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7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7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7" ht="16.5" customHeight="1">
      <c r="A32" s="187"/>
      <c r="B32" s="187"/>
      <c r="C32" s="187"/>
      <c r="D32" s="187"/>
      <c r="E32" s="187"/>
      <c r="F32" s="187"/>
      <c r="G32" s="187"/>
      <c r="H32" s="187"/>
      <c r="I32" s="187"/>
      <c r="J32" s="187"/>
      <c r="K32" s="187"/>
      <c r="L32" s="187"/>
      <c r="M32" s="187"/>
      <c r="N32" s="187"/>
      <c r="O32" s="187"/>
      <c r="P32" s="187"/>
      <c r="Q32" s="20"/>
    </row>
    <row r="33" spans="1:17" ht="15" customHeight="1">
      <c r="A33" s="187"/>
      <c r="B33" s="187"/>
      <c r="C33" s="187"/>
      <c r="D33" s="187"/>
      <c r="E33" s="187"/>
      <c r="F33" s="187"/>
      <c r="G33" s="187"/>
      <c r="H33" s="187"/>
      <c r="I33" s="187"/>
      <c r="J33" s="187"/>
      <c r="K33" s="187"/>
      <c r="L33" s="187"/>
      <c r="M33" s="187"/>
      <c r="N33" s="187"/>
      <c r="O33" s="187"/>
      <c r="P33" s="187"/>
      <c r="Q33" s="20"/>
    </row>
  </sheetData>
  <sheetProtection algorithmName="SHA-512" hashValue="MvBjDNAFlf0bEhzYoiDFKmXXqZVNjgNqUlOurNmEPgr1KocUg7QW38tn15s5cEpy6EBLCfUFfF+Kk/NXk/2M/g==" saltValue="aGj84MiIXWtPLaB/vU7QEw==" spinCount="100000" sheet="1" selectLockedCells="1" selectUnlockedCells="1"/>
  <sortState ref="A2:B9">
    <sortCondition ref="B2:B9"/>
  </sortState>
  <mergeCells count="1">
    <mergeCell ref="A32:P33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M17"/>
  <sheetViews>
    <sheetView zoomScale="110" zoomScaleNormal="110" workbookViewId="0">
      <selection activeCell="E7" sqref="E7"/>
    </sheetView>
  </sheetViews>
  <sheetFormatPr defaultColWidth="9" defaultRowHeight="14.4"/>
  <cols>
    <col min="1" max="2" width="10.5546875" customWidth="1"/>
    <col min="3" max="3" width="11.109375" customWidth="1"/>
    <col min="4" max="4" width="10.5546875" customWidth="1"/>
    <col min="5" max="5" width="10.88671875" customWidth="1"/>
    <col min="6" max="6" width="11.109375" customWidth="1"/>
    <col min="7" max="7" width="12.109375" customWidth="1"/>
    <col min="8" max="8" width="11.6640625" customWidth="1"/>
    <col min="9" max="9" width="11.44140625" customWidth="1"/>
  </cols>
  <sheetData>
    <row r="1" spans="1:13">
      <c r="A1" s="19"/>
      <c r="B1" s="19"/>
      <c r="C1" s="19"/>
      <c r="D1" s="19"/>
      <c r="E1" s="19"/>
      <c r="F1" s="19"/>
      <c r="G1" s="19"/>
      <c r="H1" s="19"/>
      <c r="I1" s="19"/>
      <c r="J1" s="19"/>
      <c r="K1" s="15"/>
      <c r="L1" s="15"/>
      <c r="M1" s="15"/>
    </row>
    <row r="2" spans="1:13">
      <c r="A2" s="143" t="s">
        <v>275</v>
      </c>
      <c r="B2" s="144">
        <v>45891</v>
      </c>
      <c r="C2" s="144">
        <v>45898</v>
      </c>
      <c r="D2" s="144">
        <v>45904</v>
      </c>
      <c r="E2" s="144">
        <v>45912</v>
      </c>
      <c r="F2" s="144">
        <v>45919</v>
      </c>
      <c r="G2" s="144">
        <v>45926</v>
      </c>
      <c r="H2" s="144">
        <v>45933</v>
      </c>
      <c r="I2" s="144">
        <v>45940</v>
      </c>
      <c r="J2" s="19"/>
      <c r="K2" s="15"/>
      <c r="L2" s="15"/>
      <c r="M2" s="15"/>
    </row>
    <row r="3" spans="1:13">
      <c r="A3" s="143" t="s">
        <v>276</v>
      </c>
      <c r="B3" s="145">
        <f t="shared" ref="B3:I3" si="0">B4</f>
        <v>6503.8359094696516</v>
      </c>
      <c r="C3" s="145">
        <f t="shared" si="0"/>
        <v>6560.9507360896305</v>
      </c>
      <c r="D3" s="145">
        <f t="shared" si="0"/>
        <v>6542.8543765579298</v>
      </c>
      <c r="E3" s="145">
        <f t="shared" si="0"/>
        <v>6621.1686110231039</v>
      </c>
      <c r="F3" s="145">
        <f t="shared" si="0"/>
        <v>6693.7872553133138</v>
      </c>
      <c r="G3" s="145">
        <f t="shared" si="0"/>
        <v>6745.4768805021786</v>
      </c>
      <c r="H3" s="145">
        <f t="shared" si="0"/>
        <v>6812.2098133156478</v>
      </c>
      <c r="I3" s="145">
        <f t="shared" si="0"/>
        <v>6925.6615260417657</v>
      </c>
      <c r="J3" s="19"/>
      <c r="K3" s="15"/>
      <c r="L3" s="15"/>
      <c r="M3" s="15"/>
    </row>
    <row r="4" spans="1:13">
      <c r="A4" s="19"/>
      <c r="B4" s="146">
        <f>'NAV Trend'!C10/1000000000</f>
        <v>6503.8359094696516</v>
      </c>
      <c r="C4" s="146">
        <f>'NAV Trend'!D10/1000000000</f>
        <v>6560.9507360896305</v>
      </c>
      <c r="D4" s="146">
        <f>'NAV Trend'!E10/1000000000</f>
        <v>6542.8543765579298</v>
      </c>
      <c r="E4" s="146">
        <f>'NAV Trend'!F10/1000000000</f>
        <v>6621.1686110231039</v>
      </c>
      <c r="F4" s="146">
        <f>'NAV Trend'!G10/1000000000</f>
        <v>6693.7872553133138</v>
      </c>
      <c r="G4" s="146">
        <f>'NAV Trend'!H10/1000000000</f>
        <v>6745.4768805021786</v>
      </c>
      <c r="H4" s="147">
        <f>'NAV Trend'!I10/1000000000</f>
        <v>6812.2098133156478</v>
      </c>
      <c r="I4" s="147">
        <f>'NAV Trend'!J10/1000000000</f>
        <v>6925.6615260417657</v>
      </c>
      <c r="J4" s="19"/>
      <c r="K4" s="15"/>
      <c r="L4" s="15"/>
      <c r="M4" s="15"/>
    </row>
    <row r="5" spans="1:13">
      <c r="A5" s="19"/>
      <c r="B5" s="19"/>
      <c r="C5" s="19"/>
      <c r="D5" s="19"/>
      <c r="E5" s="19"/>
      <c r="F5" s="19"/>
      <c r="G5" s="19"/>
      <c r="H5" s="19"/>
      <c r="I5" s="19"/>
      <c r="J5" s="19"/>
      <c r="K5" s="15"/>
      <c r="L5" s="15"/>
      <c r="M5" s="15"/>
    </row>
    <row r="6" spans="1:13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spans="1:13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1:13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13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</row>
    <row r="10" spans="1:13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</row>
    <row r="11" spans="1:13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pans="1:1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</row>
    <row r="13" spans="1:13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spans="1:13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</row>
    <row r="15" spans="1:13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spans="1:1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</row>
    <row r="17" spans="1:1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</row>
  </sheetData>
  <sheetProtection algorithmName="SHA-512" hashValue="I++vu3JYfRCCL3T9qpUoOAUXXV8soqOCD8HDSJ9gFX5LTJPsjJ2TD7R14fN/lQ3pQzJIWDH0w7oXfkdqSVB6Ag==" saltValue="5uT/+OjIhJCaIorUyjfrRA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N17"/>
  <sheetViews>
    <sheetView workbookViewId="0">
      <selection activeCell="F7" sqref="F7"/>
    </sheetView>
  </sheetViews>
  <sheetFormatPr defaultColWidth="9" defaultRowHeight="14.4"/>
  <cols>
    <col min="1" max="1" width="10.6640625" customWidth="1"/>
    <col min="2" max="2" width="11.109375" customWidth="1"/>
    <col min="3" max="3" width="11.44140625" customWidth="1"/>
    <col min="4" max="4" width="11.5546875" customWidth="1"/>
    <col min="5" max="5" width="11.109375" customWidth="1"/>
    <col min="6" max="7" width="11.33203125" customWidth="1"/>
    <col min="8" max="8" width="11.6640625" customWidth="1"/>
    <col min="9" max="9" width="11.109375" customWidth="1"/>
  </cols>
  <sheetData>
    <row r="1" spans="1:14">
      <c r="A1" s="19"/>
      <c r="B1" s="19"/>
      <c r="C1" s="19"/>
      <c r="D1" s="19"/>
      <c r="E1" s="19"/>
      <c r="F1" s="19"/>
      <c r="G1" s="19"/>
      <c r="H1" s="19"/>
      <c r="I1" s="19"/>
      <c r="J1" s="19"/>
      <c r="K1" s="165"/>
      <c r="L1" s="165"/>
      <c r="M1" s="15"/>
      <c r="N1" s="15"/>
    </row>
    <row r="2" spans="1:14">
      <c r="A2" s="143" t="s">
        <v>275</v>
      </c>
      <c r="B2" s="144">
        <v>45891</v>
      </c>
      <c r="C2" s="144">
        <v>45898</v>
      </c>
      <c r="D2" s="144">
        <v>45904</v>
      </c>
      <c r="E2" s="144">
        <v>45912</v>
      </c>
      <c r="F2" s="144">
        <v>45919</v>
      </c>
      <c r="G2" s="144">
        <v>45926</v>
      </c>
      <c r="H2" s="144">
        <v>45933</v>
      </c>
      <c r="I2" s="144">
        <v>45940</v>
      </c>
      <c r="J2" s="19"/>
      <c r="K2" s="165"/>
      <c r="L2" s="165"/>
      <c r="M2" s="15"/>
      <c r="N2" s="15"/>
    </row>
    <row r="3" spans="1:14">
      <c r="A3" s="143" t="s">
        <v>277</v>
      </c>
      <c r="B3" s="145">
        <f t="shared" ref="B3:I3" si="0">B4</f>
        <v>16.805945304309997</v>
      </c>
      <c r="C3" s="145">
        <f t="shared" si="0"/>
        <v>16.769372316030001</v>
      </c>
      <c r="D3" s="145">
        <f t="shared" si="0"/>
        <v>16.688373226208999</v>
      </c>
      <c r="E3" s="145">
        <f t="shared" si="0"/>
        <v>16.922657208430998</v>
      </c>
      <c r="F3" s="145">
        <f t="shared" si="0"/>
        <v>16.933585980109999</v>
      </c>
      <c r="G3" s="145">
        <f t="shared" si="0"/>
        <v>17.030106986159996</v>
      </c>
      <c r="H3" s="145">
        <f t="shared" si="0"/>
        <v>17.235315862969998</v>
      </c>
      <c r="I3" s="145">
        <f t="shared" si="0"/>
        <v>17.549594999559996</v>
      </c>
      <c r="J3" s="19"/>
      <c r="K3" s="165"/>
      <c r="L3" s="165"/>
      <c r="M3" s="15"/>
      <c r="N3" s="15"/>
    </row>
    <row r="4" spans="1:14">
      <c r="A4" s="19"/>
      <c r="B4" s="146">
        <f>'NAV Trend'!C16/1000000000</f>
        <v>16.805945304309997</v>
      </c>
      <c r="C4" s="146">
        <f>'NAV Trend'!D16/1000000000</f>
        <v>16.769372316030001</v>
      </c>
      <c r="D4" s="146">
        <f>'NAV Trend'!E16/1000000000</f>
        <v>16.688373226208999</v>
      </c>
      <c r="E4" s="146">
        <f>'NAV Trend'!F16/1000000000</f>
        <v>16.922657208430998</v>
      </c>
      <c r="F4" s="146">
        <f>'NAV Trend'!G16/1000000000</f>
        <v>16.933585980109999</v>
      </c>
      <c r="G4" s="146">
        <f>'NAV Trend'!H16/1000000000</f>
        <v>17.030106986159996</v>
      </c>
      <c r="H4" s="146">
        <f>'NAV Trend'!I16/1000000000</f>
        <v>17.235315862969998</v>
      </c>
      <c r="I4" s="147">
        <f>'NAV Trend'!J16/1000000000</f>
        <v>17.549594999559996</v>
      </c>
      <c r="J4" s="19"/>
      <c r="K4" s="165"/>
      <c r="L4" s="165"/>
      <c r="M4" s="15"/>
      <c r="N4" s="15"/>
    </row>
    <row r="5" spans="1:14">
      <c r="A5" s="19"/>
      <c r="B5" s="19"/>
      <c r="C5" s="19"/>
      <c r="D5" s="19"/>
      <c r="E5" s="19"/>
      <c r="F5" s="19"/>
      <c r="G5" s="19"/>
      <c r="H5" s="19"/>
      <c r="I5" s="19"/>
      <c r="J5" s="19"/>
      <c r="K5" s="165"/>
      <c r="L5" s="165"/>
      <c r="M5" s="15"/>
      <c r="N5" s="15"/>
    </row>
    <row r="6" spans="1:14">
      <c r="A6" s="19"/>
      <c r="B6" s="19"/>
      <c r="C6" s="19"/>
      <c r="D6" s="19"/>
      <c r="E6" s="19"/>
      <c r="F6" s="19"/>
      <c r="G6" s="19"/>
      <c r="H6" s="19"/>
      <c r="I6" s="19"/>
      <c r="J6" s="19"/>
      <c r="K6" s="165"/>
      <c r="L6" s="165"/>
      <c r="M6" s="15"/>
      <c r="N6" s="15"/>
    </row>
    <row r="7" spans="1:14">
      <c r="A7" s="15"/>
      <c r="B7" s="15"/>
      <c r="C7" s="15"/>
      <c r="D7" s="15"/>
      <c r="E7" s="15"/>
      <c r="F7" s="15"/>
      <c r="G7" s="15"/>
      <c r="H7" s="15"/>
      <c r="I7" s="15"/>
      <c r="J7" s="15"/>
      <c r="K7" s="165"/>
      <c r="L7" s="165"/>
      <c r="M7" s="15"/>
      <c r="N7" s="15"/>
    </row>
    <row r="8" spans="1:14">
      <c r="A8" s="15"/>
      <c r="B8" s="15"/>
      <c r="C8" s="15"/>
      <c r="D8" s="15"/>
      <c r="E8" s="15"/>
      <c r="F8" s="15"/>
      <c r="G8" s="15"/>
      <c r="H8" s="15"/>
      <c r="I8" s="15"/>
      <c r="J8" s="15"/>
      <c r="K8" s="165"/>
      <c r="L8" s="165"/>
      <c r="M8" s="15"/>
      <c r="N8" s="15"/>
    </row>
    <row r="9" spans="1:14">
      <c r="A9" s="165"/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5"/>
      <c r="N9" s="15"/>
    </row>
    <row r="10" spans="1:14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pans="1:14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</row>
    <row r="12" spans="1:14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 spans="1:14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4" spans="1:14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</row>
    <row r="15" spans="1:14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</row>
    <row r="16" spans="1:14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</row>
    <row r="17" spans="1:14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</row>
  </sheetData>
  <sheetProtection algorithmName="SHA-512" hashValue="YKfhiH9Bbu9S1xriYRNonYcBICU4Hs/hRJ0aSigQdwPOFkhUm/91FcFGeDxXPMzzomssYB6B9JLPM2/dtKwbvA==" saltValue="wQfrXJQ7I3zVDkD3ifgapw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2"/>
  <sheetViews>
    <sheetView topLeftCell="F1" zoomScale="150" zoomScaleNormal="150" workbookViewId="0">
      <selection activeCell="K1" sqref="K1"/>
    </sheetView>
  </sheetViews>
  <sheetFormatPr defaultColWidth="9" defaultRowHeight="14.4"/>
  <cols>
    <col min="1" max="1" width="36.33203125" customWidth="1"/>
    <col min="2" max="2" width="23.5546875" customWidth="1"/>
    <col min="3" max="3" width="22.5546875" customWidth="1"/>
    <col min="4" max="4" width="20.88671875" customWidth="1"/>
    <col min="5" max="5" width="22.5546875" customWidth="1"/>
    <col min="6" max="6" width="24.6640625" customWidth="1"/>
    <col min="7" max="7" width="22.44140625" customWidth="1"/>
    <col min="8" max="8" width="24.33203125" customWidth="1"/>
    <col min="9" max="9" width="22.5546875" customWidth="1"/>
    <col min="10" max="10" width="21.6640625" customWidth="1"/>
    <col min="11" max="12" width="20.6640625" customWidth="1"/>
    <col min="13" max="13" width="20.5546875" customWidth="1"/>
  </cols>
  <sheetData>
    <row r="1" spans="1:11" ht="15.6">
      <c r="A1" s="1" t="s">
        <v>271</v>
      </c>
      <c r="B1" s="2">
        <v>45884</v>
      </c>
      <c r="C1" s="2">
        <v>45891</v>
      </c>
      <c r="D1" s="2">
        <v>45898</v>
      </c>
      <c r="E1" s="2">
        <v>45904</v>
      </c>
      <c r="F1" s="2">
        <v>45912</v>
      </c>
      <c r="G1" s="2">
        <v>45919</v>
      </c>
      <c r="H1" s="2">
        <v>45926</v>
      </c>
      <c r="I1" s="2">
        <v>45933</v>
      </c>
      <c r="J1" s="2">
        <v>45940</v>
      </c>
    </row>
    <row r="2" spans="1:11">
      <c r="A2" s="3" t="s">
        <v>15</v>
      </c>
      <c r="B2" s="4">
        <v>69783062986.465698</v>
      </c>
      <c r="C2" s="4">
        <v>68712705350.806602</v>
      </c>
      <c r="D2" s="4">
        <v>68528972082.446609</v>
      </c>
      <c r="E2" s="4">
        <v>67808284732.281898</v>
      </c>
      <c r="F2" s="4">
        <v>69131472753.82251</v>
      </c>
      <c r="G2" s="4">
        <v>67012799943.281708</v>
      </c>
      <c r="H2" s="4">
        <v>70670721283.488907</v>
      </c>
      <c r="I2" s="4">
        <v>72157008607.625717</v>
      </c>
      <c r="J2" s="4">
        <v>73550112013.645508</v>
      </c>
    </row>
    <row r="3" spans="1:11">
      <c r="A3" s="3" t="s">
        <v>52</v>
      </c>
      <c r="B3" s="4">
        <v>3655006028344.0098</v>
      </c>
      <c r="C3" s="4">
        <v>3698986228978.6582</v>
      </c>
      <c r="D3" s="4">
        <v>3754571698722.0146</v>
      </c>
      <c r="E3" s="4">
        <v>3787579756295.2603</v>
      </c>
      <c r="F3" s="4">
        <v>3840917336766.8379</v>
      </c>
      <c r="G3" s="4">
        <v>3906285455615.124</v>
      </c>
      <c r="H3" s="4">
        <v>3980593293535.2559</v>
      </c>
      <c r="I3" s="4">
        <v>4086864116266.4795</v>
      </c>
      <c r="J3" s="4">
        <v>4172759122177.9399</v>
      </c>
    </row>
    <row r="4" spans="1:11">
      <c r="A4" s="3" t="s">
        <v>272</v>
      </c>
      <c r="B4" s="5">
        <v>231120196922.10995</v>
      </c>
      <c r="C4" s="5">
        <v>231150686743.54004</v>
      </c>
      <c r="D4" s="5">
        <v>230778446525.29001</v>
      </c>
      <c r="E4" s="5">
        <v>190623296428.20999</v>
      </c>
      <c r="F4" s="5">
        <v>230565504758.69138</v>
      </c>
      <c r="G4" s="5">
        <v>231416262791.29922</v>
      </c>
      <c r="H4" s="5">
        <v>229355365570.74182</v>
      </c>
      <c r="I4" s="5">
        <v>236138171866.33188</v>
      </c>
      <c r="J4" s="5">
        <v>239780265974.00003</v>
      </c>
    </row>
    <row r="5" spans="1:11">
      <c r="A5" s="3" t="s">
        <v>152</v>
      </c>
      <c r="B5" s="4">
        <v>1982590366346.2842</v>
      </c>
      <c r="C5" s="4">
        <v>1991922950833.4917</v>
      </c>
      <c r="D5" s="4">
        <v>1993255843040.2493</v>
      </c>
      <c r="E5" s="4">
        <v>1984005277310.9985</v>
      </c>
      <c r="F5" s="4">
        <v>1964882408137.4414</v>
      </c>
      <c r="G5" s="4">
        <v>1968484717559.7043</v>
      </c>
      <c r="H5" s="4">
        <v>1946024427071.9473</v>
      </c>
      <c r="I5" s="4">
        <v>1897887333536.4214</v>
      </c>
      <c r="J5" s="4">
        <v>1916747972369.5215</v>
      </c>
    </row>
    <row r="6" spans="1:11">
      <c r="A6" s="3" t="s">
        <v>273</v>
      </c>
      <c r="B6" s="6">
        <v>362218270830.89001</v>
      </c>
      <c r="C6" s="6">
        <v>362866619476.15002</v>
      </c>
      <c r="D6" s="6">
        <v>363359218001.73004</v>
      </c>
      <c r="E6" s="6">
        <v>364054624035.51996</v>
      </c>
      <c r="F6" s="6">
        <v>365114328439.96326</v>
      </c>
      <c r="G6" s="6">
        <v>366110435001.73016</v>
      </c>
      <c r="H6" s="6">
        <v>366811558700.98102</v>
      </c>
      <c r="I6" s="6">
        <v>367818478282.37329</v>
      </c>
      <c r="J6" s="6">
        <v>367969019601.86682</v>
      </c>
    </row>
    <row r="7" spans="1:11">
      <c r="A7" s="3" t="s">
        <v>189</v>
      </c>
      <c r="B7" s="7">
        <v>76228983622.506104</v>
      </c>
      <c r="C7" s="7">
        <v>75659187090.104218</v>
      </c>
      <c r="D7" s="7">
        <v>75600278286.828735</v>
      </c>
      <c r="E7" s="7">
        <v>75412808907.360184</v>
      </c>
      <c r="F7" s="7">
        <v>76147888988.447052</v>
      </c>
      <c r="G7" s="7">
        <v>79408928723.084183</v>
      </c>
      <c r="H7" s="7">
        <v>76321020907.454193</v>
      </c>
      <c r="I7" s="7">
        <v>77203925561.30574</v>
      </c>
      <c r="J7" s="7">
        <v>77988718310.700836</v>
      </c>
    </row>
    <row r="8" spans="1:11">
      <c r="A8" s="3" t="s">
        <v>219</v>
      </c>
      <c r="B8" s="6">
        <v>8463083509.1000004</v>
      </c>
      <c r="C8" s="6">
        <v>8340033217</v>
      </c>
      <c r="D8" s="6">
        <v>8199066547.75</v>
      </c>
      <c r="E8" s="6">
        <v>8021638129.3699999</v>
      </c>
      <c r="F8" s="6">
        <v>8167609322.46</v>
      </c>
      <c r="G8" s="6">
        <v>8077825131.0199995</v>
      </c>
      <c r="H8" s="6">
        <v>8144939845.2199993</v>
      </c>
      <c r="I8" s="6">
        <v>8220876623.29</v>
      </c>
      <c r="J8" s="6">
        <v>8300396287.1100006</v>
      </c>
    </row>
    <row r="9" spans="1:11">
      <c r="A9" s="3" t="s">
        <v>274</v>
      </c>
      <c r="B9" s="6">
        <v>65538144195.299995</v>
      </c>
      <c r="C9" s="6">
        <v>66197497779.900002</v>
      </c>
      <c r="D9" s="6">
        <v>66657212883.32</v>
      </c>
      <c r="E9" s="6">
        <v>65348690718.929993</v>
      </c>
      <c r="F9" s="6">
        <v>66242061855.440002</v>
      </c>
      <c r="G9" s="6">
        <v>66990830548.07</v>
      </c>
      <c r="H9" s="6">
        <v>67555553587.089996</v>
      </c>
      <c r="I9" s="6">
        <v>65919902571.820007</v>
      </c>
      <c r="J9" s="6">
        <v>68565919306.97998</v>
      </c>
    </row>
    <row r="10" spans="1:11" ht="15.6">
      <c r="A10" s="8" t="s">
        <v>278</v>
      </c>
      <c r="B10" s="9">
        <f t="shared" ref="B10:J10" si="0">SUM(B2:B9)</f>
        <v>6450948136756.6641</v>
      </c>
      <c r="C10" s="9">
        <f t="shared" si="0"/>
        <v>6503835909469.6514</v>
      </c>
      <c r="D10" s="9">
        <f t="shared" si="0"/>
        <v>6560950736089.6309</v>
      </c>
      <c r="E10" s="9">
        <f t="shared" si="0"/>
        <v>6542854376557.9297</v>
      </c>
      <c r="F10" s="9">
        <f t="shared" si="0"/>
        <v>6621168611023.1035</v>
      </c>
      <c r="G10" s="9">
        <f t="shared" si="0"/>
        <v>6693787255313.3135</v>
      </c>
      <c r="H10" s="9">
        <f t="shared" si="0"/>
        <v>6745476880502.1787</v>
      </c>
      <c r="I10" s="9">
        <f t="shared" si="0"/>
        <v>6812209813315.6475</v>
      </c>
      <c r="J10" s="9">
        <f t="shared" si="0"/>
        <v>6925661526041.7656</v>
      </c>
    </row>
    <row r="11" spans="1:11">
      <c r="A11" s="10"/>
      <c r="B11" s="11"/>
      <c r="C11" s="11"/>
      <c r="D11" s="11"/>
      <c r="E11" s="11"/>
      <c r="F11" s="11"/>
      <c r="G11" s="11"/>
      <c r="H11" s="11"/>
      <c r="I11" s="10"/>
      <c r="J11" s="10"/>
    </row>
    <row r="12" spans="1:11" ht="15.6">
      <c r="A12" s="12" t="s">
        <v>279</v>
      </c>
      <c r="B12" s="120" t="s">
        <v>280</v>
      </c>
      <c r="C12" s="13">
        <f>(B10+C10)/2</f>
        <v>6477392023113.1582</v>
      </c>
      <c r="D12" s="14">
        <f t="shared" ref="D12:J12" si="1">(C10+D10)/2</f>
        <v>6532393322779.6406</v>
      </c>
      <c r="E12" s="14">
        <f t="shared" si="1"/>
        <v>6551902556323.7803</v>
      </c>
      <c r="F12" s="14">
        <f t="shared" si="1"/>
        <v>6582011493790.5166</v>
      </c>
      <c r="G12" s="14">
        <f t="shared" si="1"/>
        <v>6657477933168.209</v>
      </c>
      <c r="H12" s="14">
        <f t="shared" si="1"/>
        <v>6719632067907.7461</v>
      </c>
      <c r="I12" s="14">
        <f t="shared" si="1"/>
        <v>6778843346908.9131</v>
      </c>
      <c r="J12" s="14">
        <f t="shared" si="1"/>
        <v>6868935669678.707</v>
      </c>
    </row>
    <row r="13" spans="1:11">
      <c r="C13" s="15"/>
      <c r="D13" s="15"/>
      <c r="E13" s="15"/>
      <c r="F13" s="15"/>
      <c r="G13" s="15"/>
      <c r="H13" s="15"/>
      <c r="I13" s="15"/>
      <c r="J13" s="15"/>
      <c r="K13" s="15"/>
    </row>
    <row r="14" spans="1:1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2">
        <v>45884</v>
      </c>
      <c r="C15" s="2">
        <v>45891</v>
      </c>
      <c r="D15" s="2">
        <v>45898</v>
      </c>
      <c r="E15" s="2">
        <v>45904</v>
      </c>
      <c r="F15" s="2">
        <v>45912</v>
      </c>
      <c r="G15" s="2">
        <v>45919</v>
      </c>
      <c r="H15" s="2">
        <v>45926</v>
      </c>
      <c r="I15" s="2">
        <v>45933</v>
      </c>
      <c r="J15" s="2">
        <v>45940</v>
      </c>
      <c r="K15" s="15"/>
    </row>
    <row r="16" spans="1:11">
      <c r="A16" s="16" t="s">
        <v>281</v>
      </c>
      <c r="B16" s="17">
        <v>17188495940.759998</v>
      </c>
      <c r="C16" s="17">
        <v>16805945304.309998</v>
      </c>
      <c r="D16" s="17">
        <v>16769372316.030001</v>
      </c>
      <c r="E16" s="17">
        <v>16688373226.209</v>
      </c>
      <c r="F16" s="17">
        <v>16922657208.430998</v>
      </c>
      <c r="G16" s="17">
        <v>16933585980.109999</v>
      </c>
      <c r="H16" s="17">
        <v>17030106986.159998</v>
      </c>
      <c r="I16" s="17">
        <v>17235315862.969997</v>
      </c>
      <c r="J16" s="17">
        <v>17549594999.559998</v>
      </c>
      <c r="K16" s="15"/>
    </row>
    <row r="17" spans="1:1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8" spans="1:11">
      <c r="A18" s="15"/>
      <c r="B18" s="15"/>
      <c r="C18" s="18"/>
      <c r="D18" s="18"/>
      <c r="E18" s="18"/>
      <c r="F18" s="18"/>
      <c r="G18" s="18"/>
      <c r="H18" s="18"/>
      <c r="I18" s="18"/>
      <c r="J18" s="18"/>
      <c r="K18" s="15"/>
    </row>
    <row r="19" spans="1:1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B21" s="15"/>
      <c r="C21" s="15"/>
      <c r="D21" s="15"/>
      <c r="E21" s="15"/>
      <c r="F21" s="15"/>
      <c r="G21" s="15"/>
      <c r="H21" s="15"/>
      <c r="I21" s="15"/>
      <c r="J21" s="126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5"/>
      <c r="K22" s="19"/>
    </row>
  </sheetData>
  <sheetProtection algorithmName="SHA-512" hashValue="0zw7qD3sth+8mWMZaiUHLEUDIddAWMywHYqIqY4e7uWCuBV0zUxV5+rGJ+0o3WMQOVmZ21dkTS9NVcW0SzuPcA==" saltValue="U3TBq2UxpiQ04R2rXz/7cQ==" spinCount="100000" sheet="1" objects="1" scenarios="1"/>
  <pageMargins left="0.7" right="0.7" top="0.75" bottom="0.75" header="0.3" footer="0.3"/>
  <pageSetup paperSize="9" orientation="portrait" horizontalDpi="300" verticalDpi="300" r:id="rId1"/>
  <ignoredErrors>
    <ignoredError sqref="B10:J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  <vt:lpstr>FX_RATE</vt:lpstr>
      <vt:lpstr>'Weekly Valuation'!NFEM_RATE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2023-10-09T09:40:00Z</dcterms:created>
  <dcterms:modified xsi:type="dcterms:W3CDTF">2025-10-19T12:31:20Z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A438AA3AB3D54FD3925988ED903466DD_13</vt:lpwstr>
  </property>
  <property fmtid="{D5CDD505-2E9C-101B-9397-08002B2CF9AE}" pid="3" name="KSOProductBuildVer">
    <vt:lpwstr>1033-12.2.0.13266</vt:lpwstr>
  </property>
</Properties>
</file>