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Valuation'!$W$136</definedName>
    <definedName name="NFEM_RATE" localSheetId="0">'Weekly Valuation'!$W$136</definedName>
  </definedNames>
  <calcPr calcId="162913"/>
</workbook>
</file>

<file path=xl/calcChain.xml><?xml version="1.0" encoding="utf-8"?>
<calcChain xmlns="http://schemas.openxmlformats.org/spreadsheetml/2006/main">
  <c r="K144" i="1" l="1"/>
  <c r="K138" i="1"/>
  <c r="N148" i="1" l="1"/>
  <c r="M148" i="1"/>
  <c r="K148" i="1"/>
  <c r="N145" i="1"/>
  <c r="M145" i="1"/>
  <c r="K145" i="1"/>
  <c r="M122" i="1" l="1"/>
  <c r="K122" i="1"/>
  <c r="N154" i="1"/>
  <c r="M154" i="1"/>
  <c r="K154" i="1"/>
  <c r="N132" i="1" l="1"/>
  <c r="M132" i="1"/>
  <c r="K132" i="1"/>
  <c r="N124" i="1" l="1"/>
  <c r="M124" i="1"/>
  <c r="K124" i="1"/>
  <c r="N150" i="1" l="1"/>
  <c r="M150" i="1"/>
  <c r="K150" i="1"/>
  <c r="N121" i="1" l="1"/>
  <c r="M121" i="1"/>
  <c r="K121" i="1"/>
  <c r="N136" i="1" l="1"/>
  <c r="M136" i="1"/>
  <c r="K136" i="1"/>
  <c r="N137" i="1"/>
  <c r="S137" i="1" s="1"/>
  <c r="M137" i="1"/>
  <c r="K137" i="1"/>
  <c r="R137" i="1" s="1"/>
  <c r="N123" i="1"/>
  <c r="S123" i="1" s="1"/>
  <c r="M123" i="1"/>
  <c r="K123" i="1"/>
  <c r="R123" i="1" s="1"/>
  <c r="K142" i="1"/>
  <c r="N131" i="1"/>
  <c r="S131" i="1" s="1"/>
  <c r="M131" i="1"/>
  <c r="K131" i="1"/>
  <c r="K118" i="1"/>
  <c r="K128" i="1"/>
  <c r="K130" i="1"/>
  <c r="N127" i="1"/>
  <c r="M127" i="1"/>
  <c r="K127" i="1"/>
  <c r="N126" i="1"/>
  <c r="S126" i="1" s="1"/>
  <c r="M126" i="1"/>
  <c r="K126" i="1"/>
  <c r="N234" i="1"/>
  <c r="S234" i="1" s="1"/>
  <c r="M234" i="1"/>
  <c r="K234" i="1"/>
  <c r="J10" i="4"/>
  <c r="I4" i="5" s="1"/>
  <c r="I3" i="5" s="1"/>
  <c r="I10" i="4"/>
  <c r="H10" i="4"/>
  <c r="G10" i="4"/>
  <c r="F10" i="4"/>
  <c r="E10" i="4"/>
  <c r="F12" i="4" s="1"/>
  <c r="D10" i="4"/>
  <c r="C10" i="4"/>
  <c r="D12" i="4" s="1"/>
  <c r="B10" i="4"/>
  <c r="I4" i="6"/>
  <c r="I3" i="6" s="1"/>
  <c r="H4" i="6"/>
  <c r="H3" i="6" s="1"/>
  <c r="G4" i="6"/>
  <c r="F4" i="6"/>
  <c r="E4" i="6"/>
  <c r="D4" i="6"/>
  <c r="C4" i="6"/>
  <c r="C3" i="6" s="1"/>
  <c r="B4" i="6"/>
  <c r="B3" i="6" s="1"/>
  <c r="G3" i="6"/>
  <c r="F3" i="6"/>
  <c r="E3" i="6"/>
  <c r="D3" i="6"/>
  <c r="H4" i="5"/>
  <c r="G4" i="5"/>
  <c r="G3" i="5" s="1"/>
  <c r="F4" i="5"/>
  <c r="F3" i="5" s="1"/>
  <c r="E4" i="5"/>
  <c r="E3" i="5" s="1"/>
  <c r="C4" i="5"/>
  <c r="C3" i="5" s="1"/>
  <c r="B4" i="5"/>
  <c r="B3" i="5" s="1"/>
  <c r="H3" i="5"/>
  <c r="V257" i="1"/>
  <c r="U257" i="1"/>
  <c r="S257" i="1"/>
  <c r="O257" i="1"/>
  <c r="T257" i="1" s="1"/>
  <c r="K257" i="1"/>
  <c r="R257" i="1" s="1"/>
  <c r="H257" i="1"/>
  <c r="D257" i="1"/>
  <c r="V256" i="1"/>
  <c r="U256" i="1"/>
  <c r="T256" i="1"/>
  <c r="S256" i="1"/>
  <c r="R256" i="1"/>
  <c r="L256" i="1"/>
  <c r="E256" i="1"/>
  <c r="V255" i="1"/>
  <c r="U255" i="1"/>
  <c r="T255" i="1"/>
  <c r="S255" i="1"/>
  <c r="R255" i="1"/>
  <c r="E255" i="1"/>
  <c r="V254" i="1"/>
  <c r="U254" i="1"/>
  <c r="T254" i="1"/>
  <c r="S254" i="1"/>
  <c r="R254" i="1"/>
  <c r="E254" i="1"/>
  <c r="V253" i="1"/>
  <c r="U253" i="1"/>
  <c r="T253" i="1"/>
  <c r="S253" i="1"/>
  <c r="R253" i="1"/>
  <c r="E253" i="1"/>
  <c r="V252" i="1"/>
  <c r="U252" i="1"/>
  <c r="T252" i="1"/>
  <c r="S252" i="1"/>
  <c r="R252" i="1"/>
  <c r="E252" i="1"/>
  <c r="V251" i="1"/>
  <c r="U251" i="1"/>
  <c r="T251" i="1"/>
  <c r="S251" i="1"/>
  <c r="R251" i="1"/>
  <c r="E251" i="1"/>
  <c r="V250" i="1"/>
  <c r="U250" i="1"/>
  <c r="T250" i="1"/>
  <c r="S250" i="1"/>
  <c r="R250" i="1"/>
  <c r="E250" i="1"/>
  <c r="V249" i="1"/>
  <c r="U249" i="1"/>
  <c r="T249" i="1"/>
  <c r="S249" i="1"/>
  <c r="R249" i="1"/>
  <c r="E249" i="1"/>
  <c r="V248" i="1"/>
  <c r="U248" i="1"/>
  <c r="T248" i="1"/>
  <c r="S248" i="1"/>
  <c r="R248" i="1"/>
  <c r="E248" i="1"/>
  <c r="V247" i="1"/>
  <c r="U247" i="1"/>
  <c r="T247" i="1"/>
  <c r="S247" i="1"/>
  <c r="R247" i="1"/>
  <c r="E247" i="1"/>
  <c r="V246" i="1"/>
  <c r="U246" i="1"/>
  <c r="T246" i="1"/>
  <c r="S246" i="1"/>
  <c r="R246" i="1"/>
  <c r="E246" i="1"/>
  <c r="V245" i="1"/>
  <c r="U245" i="1"/>
  <c r="T245" i="1"/>
  <c r="S245" i="1"/>
  <c r="R245" i="1"/>
  <c r="E245" i="1"/>
  <c r="O242" i="1"/>
  <c r="K242" i="1"/>
  <c r="R242" i="1" s="1"/>
  <c r="H242" i="1"/>
  <c r="D242" i="1"/>
  <c r="E241" i="1" s="1"/>
  <c r="V241" i="1"/>
  <c r="U241" i="1"/>
  <c r="T241" i="1"/>
  <c r="S241" i="1"/>
  <c r="R241" i="1"/>
  <c r="L241" i="1"/>
  <c r="V240" i="1"/>
  <c r="U240" i="1"/>
  <c r="T240" i="1"/>
  <c r="S240" i="1"/>
  <c r="R240" i="1"/>
  <c r="E240" i="1"/>
  <c r="O237" i="1"/>
  <c r="H237" i="1"/>
  <c r="D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R234" i="1"/>
  <c r="V233" i="1"/>
  <c r="U233" i="1"/>
  <c r="T233" i="1"/>
  <c r="S233" i="1"/>
  <c r="R233" i="1"/>
  <c r="V232" i="1"/>
  <c r="U232" i="1"/>
  <c r="T232" i="1"/>
  <c r="N232" i="1"/>
  <c r="S232" i="1" s="1"/>
  <c r="M232" i="1"/>
  <c r="K232" i="1"/>
  <c r="K237" i="1" s="1"/>
  <c r="V228" i="1"/>
  <c r="U228" i="1"/>
  <c r="S228" i="1"/>
  <c r="O228" i="1"/>
  <c r="K228" i="1"/>
  <c r="B4" i="3" s="1"/>
  <c r="H228" i="1"/>
  <c r="T228" i="1" s="1"/>
  <c r="D228" i="1"/>
  <c r="B20" i="2" s="1"/>
  <c r="B10" i="2" s="1"/>
  <c r="V227" i="1"/>
  <c r="U227" i="1"/>
  <c r="T227" i="1"/>
  <c r="S227" i="1"/>
  <c r="R227" i="1"/>
  <c r="V226" i="1"/>
  <c r="U226" i="1"/>
  <c r="T226" i="1"/>
  <c r="S226" i="1"/>
  <c r="R226" i="1"/>
  <c r="E226" i="1"/>
  <c r="V225" i="1"/>
  <c r="U225" i="1"/>
  <c r="T225" i="1"/>
  <c r="S225" i="1"/>
  <c r="R225" i="1"/>
  <c r="V224" i="1"/>
  <c r="U224" i="1"/>
  <c r="T224" i="1"/>
  <c r="S224" i="1"/>
  <c r="R224" i="1"/>
  <c r="E224" i="1"/>
  <c r="V221" i="1"/>
  <c r="U221" i="1"/>
  <c r="T221" i="1"/>
  <c r="S221" i="1"/>
  <c r="R221" i="1"/>
  <c r="V220" i="1"/>
  <c r="U220" i="1"/>
  <c r="T220" i="1"/>
  <c r="S220" i="1"/>
  <c r="R220" i="1"/>
  <c r="E220" i="1"/>
  <c r="V219" i="1"/>
  <c r="U219" i="1"/>
  <c r="T219" i="1"/>
  <c r="S219" i="1"/>
  <c r="R219" i="1"/>
  <c r="V218" i="1"/>
  <c r="U218" i="1"/>
  <c r="T218" i="1"/>
  <c r="S218" i="1"/>
  <c r="R218" i="1"/>
  <c r="E218" i="1"/>
  <c r="V217" i="1"/>
  <c r="U217" i="1"/>
  <c r="T217" i="1"/>
  <c r="S217" i="1"/>
  <c r="R217" i="1"/>
  <c r="V216" i="1"/>
  <c r="U216" i="1"/>
  <c r="T216" i="1"/>
  <c r="S216" i="1"/>
  <c r="R216" i="1"/>
  <c r="E216" i="1"/>
  <c r="V215" i="1"/>
  <c r="U215" i="1"/>
  <c r="T215" i="1"/>
  <c r="S215" i="1"/>
  <c r="R215" i="1"/>
  <c r="V214" i="1"/>
  <c r="U214" i="1"/>
  <c r="T214" i="1"/>
  <c r="S214" i="1"/>
  <c r="R214" i="1"/>
  <c r="E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E210" i="1"/>
  <c r="V209" i="1"/>
  <c r="U209" i="1"/>
  <c r="T209" i="1"/>
  <c r="S209" i="1"/>
  <c r="R209" i="1"/>
  <c r="V208" i="1"/>
  <c r="U208" i="1"/>
  <c r="T208" i="1"/>
  <c r="S208" i="1"/>
  <c r="R208" i="1"/>
  <c r="E208" i="1"/>
  <c r="V205" i="1"/>
  <c r="U205" i="1"/>
  <c r="T205" i="1"/>
  <c r="S205" i="1"/>
  <c r="R205" i="1"/>
  <c r="V204" i="1"/>
  <c r="U204" i="1"/>
  <c r="T204" i="1"/>
  <c r="S204" i="1"/>
  <c r="R204" i="1"/>
  <c r="E204" i="1"/>
  <c r="V200" i="1"/>
  <c r="U200" i="1"/>
  <c r="S200" i="1"/>
  <c r="O200" i="1"/>
  <c r="T200" i="1" s="1"/>
  <c r="K200" i="1"/>
  <c r="B2" i="3" s="1"/>
  <c r="H200" i="1"/>
  <c r="D200" i="1"/>
  <c r="B19" i="2" s="1"/>
  <c r="B9" i="2" s="1"/>
  <c r="V199" i="1"/>
  <c r="U199" i="1"/>
  <c r="T199" i="1"/>
  <c r="S199" i="1"/>
  <c r="R199" i="1"/>
  <c r="E199" i="1"/>
  <c r="V198" i="1"/>
  <c r="U198" i="1"/>
  <c r="T198" i="1"/>
  <c r="S198" i="1"/>
  <c r="R198" i="1"/>
  <c r="L198" i="1"/>
  <c r="E198" i="1"/>
  <c r="V195" i="1"/>
  <c r="U195" i="1"/>
  <c r="S195" i="1"/>
  <c r="O195" i="1"/>
  <c r="K195" i="1"/>
  <c r="B5" i="3" s="1"/>
  <c r="H195" i="1"/>
  <c r="T195" i="1" s="1"/>
  <c r="D195" i="1"/>
  <c r="B18" i="2" s="1"/>
  <c r="B8" i="2" s="1"/>
  <c r="V194" i="1"/>
  <c r="U194" i="1"/>
  <c r="T194" i="1"/>
  <c r="S194" i="1"/>
  <c r="R194" i="1"/>
  <c r="V193" i="1"/>
  <c r="U193" i="1"/>
  <c r="T193" i="1"/>
  <c r="S193" i="1"/>
  <c r="R193" i="1"/>
  <c r="E193" i="1"/>
  <c r="V192" i="1"/>
  <c r="U192" i="1"/>
  <c r="T192" i="1"/>
  <c r="S192" i="1"/>
  <c r="R192" i="1"/>
  <c r="V191" i="1"/>
  <c r="U191" i="1"/>
  <c r="T191" i="1"/>
  <c r="S191" i="1"/>
  <c r="R191" i="1"/>
  <c r="E191" i="1"/>
  <c r="V190" i="1"/>
  <c r="U190" i="1"/>
  <c r="T190" i="1"/>
  <c r="S190" i="1"/>
  <c r="R190" i="1"/>
  <c r="V189" i="1"/>
  <c r="U189" i="1"/>
  <c r="T189" i="1"/>
  <c r="S189" i="1"/>
  <c r="R189" i="1"/>
  <c r="E189" i="1"/>
  <c r="V188" i="1"/>
  <c r="U188" i="1"/>
  <c r="T188" i="1"/>
  <c r="S188" i="1"/>
  <c r="R188" i="1"/>
  <c r="V187" i="1"/>
  <c r="U187" i="1"/>
  <c r="T187" i="1"/>
  <c r="S187" i="1"/>
  <c r="R187" i="1"/>
  <c r="E187" i="1"/>
  <c r="V186" i="1"/>
  <c r="U186" i="1"/>
  <c r="T186" i="1"/>
  <c r="S186" i="1"/>
  <c r="R186" i="1"/>
  <c r="V185" i="1"/>
  <c r="U185" i="1"/>
  <c r="T185" i="1"/>
  <c r="S185" i="1"/>
  <c r="R185" i="1"/>
  <c r="E185" i="1"/>
  <c r="V184" i="1"/>
  <c r="U184" i="1"/>
  <c r="T184" i="1"/>
  <c r="S184" i="1"/>
  <c r="R184" i="1"/>
  <c r="V183" i="1"/>
  <c r="U183" i="1"/>
  <c r="T183" i="1"/>
  <c r="S183" i="1"/>
  <c r="R183" i="1"/>
  <c r="E183" i="1"/>
  <c r="V182" i="1"/>
  <c r="U182" i="1"/>
  <c r="T182" i="1"/>
  <c r="S182" i="1"/>
  <c r="R182" i="1"/>
  <c r="V181" i="1"/>
  <c r="U181" i="1"/>
  <c r="T181" i="1"/>
  <c r="S181" i="1"/>
  <c r="R181" i="1"/>
  <c r="E181" i="1"/>
  <c r="V180" i="1"/>
  <c r="U180" i="1"/>
  <c r="T180" i="1"/>
  <c r="S180" i="1"/>
  <c r="R180" i="1"/>
  <c r="V179" i="1"/>
  <c r="U179" i="1"/>
  <c r="T179" i="1"/>
  <c r="S179" i="1"/>
  <c r="R179" i="1"/>
  <c r="E179" i="1"/>
  <c r="V178" i="1"/>
  <c r="U178" i="1"/>
  <c r="T178" i="1"/>
  <c r="S178" i="1"/>
  <c r="R178" i="1"/>
  <c r="V177" i="1"/>
  <c r="U177" i="1"/>
  <c r="T177" i="1"/>
  <c r="S177" i="1"/>
  <c r="R177" i="1"/>
  <c r="E177" i="1"/>
  <c r="V176" i="1"/>
  <c r="U176" i="1"/>
  <c r="T176" i="1"/>
  <c r="S176" i="1"/>
  <c r="R176" i="1"/>
  <c r="V175" i="1"/>
  <c r="U175" i="1"/>
  <c r="T175" i="1"/>
  <c r="S175" i="1"/>
  <c r="R175" i="1"/>
  <c r="E175" i="1"/>
  <c r="V174" i="1"/>
  <c r="U174" i="1"/>
  <c r="T174" i="1"/>
  <c r="S174" i="1"/>
  <c r="R174" i="1"/>
  <c r="V173" i="1"/>
  <c r="U173" i="1"/>
  <c r="T173" i="1"/>
  <c r="S173" i="1"/>
  <c r="R173" i="1"/>
  <c r="E173" i="1"/>
  <c r="V172" i="1"/>
  <c r="U172" i="1"/>
  <c r="T172" i="1"/>
  <c r="S172" i="1"/>
  <c r="R172" i="1"/>
  <c r="V171" i="1"/>
  <c r="U171" i="1"/>
  <c r="T171" i="1"/>
  <c r="S171" i="1"/>
  <c r="R171" i="1"/>
  <c r="E171" i="1"/>
  <c r="V170" i="1"/>
  <c r="U170" i="1"/>
  <c r="T170" i="1"/>
  <c r="S170" i="1"/>
  <c r="R170" i="1"/>
  <c r="E170" i="1"/>
  <c r="V169" i="1"/>
  <c r="U169" i="1"/>
  <c r="T169" i="1"/>
  <c r="S169" i="1"/>
  <c r="R169" i="1"/>
  <c r="E169" i="1"/>
  <c r="V168" i="1"/>
  <c r="U168" i="1"/>
  <c r="T168" i="1"/>
  <c r="S168" i="1"/>
  <c r="R168" i="1"/>
  <c r="E168" i="1"/>
  <c r="V167" i="1"/>
  <c r="U167" i="1"/>
  <c r="T167" i="1"/>
  <c r="S167" i="1"/>
  <c r="R167" i="1"/>
  <c r="E167" i="1"/>
  <c r="V164" i="1"/>
  <c r="U164" i="1"/>
  <c r="S164" i="1"/>
  <c r="O164" i="1"/>
  <c r="T164" i="1" s="1"/>
  <c r="K164" i="1"/>
  <c r="L160" i="1" s="1"/>
  <c r="H164" i="1"/>
  <c r="D164" i="1"/>
  <c r="B17" i="2" s="1"/>
  <c r="B7" i="2" s="1"/>
  <c r="V163" i="1"/>
  <c r="U163" i="1"/>
  <c r="T163" i="1"/>
  <c r="S163" i="1"/>
  <c r="R163" i="1"/>
  <c r="E163" i="1"/>
  <c r="V162" i="1"/>
  <c r="U162" i="1"/>
  <c r="T162" i="1"/>
  <c r="S162" i="1"/>
  <c r="R162" i="1"/>
  <c r="L162" i="1"/>
  <c r="E162" i="1"/>
  <c r="V161" i="1"/>
  <c r="U161" i="1"/>
  <c r="T161" i="1"/>
  <c r="S161" i="1"/>
  <c r="R161" i="1"/>
  <c r="E161" i="1"/>
  <c r="V160" i="1"/>
  <c r="U160" i="1"/>
  <c r="T160" i="1"/>
  <c r="S160" i="1"/>
  <c r="R160" i="1"/>
  <c r="E160" i="1"/>
  <c r="V159" i="1"/>
  <c r="U159" i="1"/>
  <c r="T159" i="1"/>
  <c r="S159" i="1"/>
  <c r="R159" i="1"/>
  <c r="V158" i="1"/>
  <c r="U158" i="1"/>
  <c r="T158" i="1"/>
  <c r="S158" i="1"/>
  <c r="R158" i="1"/>
  <c r="E158" i="1"/>
  <c r="V155" i="1"/>
  <c r="U155" i="1"/>
  <c r="S155" i="1"/>
  <c r="O155" i="1"/>
  <c r="T155" i="1" s="1"/>
  <c r="H155" i="1"/>
  <c r="D155" i="1"/>
  <c r="B16" i="2" s="1"/>
  <c r="B6" i="2" s="1"/>
  <c r="V154" i="1"/>
  <c r="U154" i="1"/>
  <c r="T154" i="1"/>
  <c r="R154" i="1"/>
  <c r="S154" i="1"/>
  <c r="E154" i="1"/>
  <c r="V153" i="1"/>
  <c r="U153" i="1"/>
  <c r="T153" i="1"/>
  <c r="N153" i="1"/>
  <c r="S153" i="1" s="1"/>
  <c r="M153" i="1"/>
  <c r="K153" i="1"/>
  <c r="R153" i="1" s="1"/>
  <c r="E153" i="1"/>
  <c r="V152" i="1"/>
  <c r="U152" i="1"/>
  <c r="T152" i="1"/>
  <c r="N152" i="1"/>
  <c r="S152" i="1" s="1"/>
  <c r="M152" i="1"/>
  <c r="K152" i="1"/>
  <c r="E152" i="1"/>
  <c r="V151" i="1"/>
  <c r="U151" i="1"/>
  <c r="T151" i="1"/>
  <c r="N151" i="1"/>
  <c r="S151" i="1" s="1"/>
  <c r="M151" i="1"/>
  <c r="K151" i="1"/>
  <c r="R151" i="1" s="1"/>
  <c r="E151" i="1"/>
  <c r="V150" i="1"/>
  <c r="U150" i="1"/>
  <c r="T150" i="1"/>
  <c r="S150" i="1"/>
  <c r="R150" i="1"/>
  <c r="E150" i="1"/>
  <c r="V149" i="1"/>
  <c r="U149" i="1"/>
  <c r="T149" i="1"/>
  <c r="S149" i="1"/>
  <c r="R149" i="1"/>
  <c r="E149" i="1"/>
  <c r="V148" i="1"/>
  <c r="U148" i="1"/>
  <c r="T148" i="1"/>
  <c r="S148" i="1"/>
  <c r="R148" i="1"/>
  <c r="E148" i="1"/>
  <c r="V147" i="1"/>
  <c r="U147" i="1"/>
  <c r="T147" i="1"/>
  <c r="N147" i="1"/>
  <c r="S147" i="1" s="1"/>
  <c r="M147" i="1"/>
  <c r="K147" i="1"/>
  <c r="R147" i="1" s="1"/>
  <c r="E147" i="1"/>
  <c r="V146" i="1"/>
  <c r="U146" i="1"/>
  <c r="T146" i="1"/>
  <c r="R146" i="1"/>
  <c r="N146" i="1"/>
  <c r="S146" i="1" s="1"/>
  <c r="M146" i="1"/>
  <c r="E146" i="1"/>
  <c r="V145" i="1"/>
  <c r="U145" i="1"/>
  <c r="T145" i="1"/>
  <c r="S145" i="1"/>
  <c r="R145" i="1"/>
  <c r="E145" i="1"/>
  <c r="V144" i="1"/>
  <c r="U144" i="1"/>
  <c r="T144" i="1"/>
  <c r="N144" i="1"/>
  <c r="S144" i="1" s="1"/>
  <c r="M144" i="1"/>
  <c r="R144" i="1"/>
  <c r="E144" i="1"/>
  <c r="V143" i="1"/>
  <c r="U143" i="1"/>
  <c r="T143" i="1"/>
  <c r="R143" i="1"/>
  <c r="N143" i="1"/>
  <c r="S143" i="1" s="1"/>
  <c r="M143" i="1"/>
  <c r="E143" i="1"/>
  <c r="V142" i="1"/>
  <c r="U142" i="1"/>
  <c r="T142" i="1"/>
  <c r="N142" i="1"/>
  <c r="S142" i="1" s="1"/>
  <c r="M142" i="1"/>
  <c r="R142" i="1"/>
  <c r="E142" i="1"/>
  <c r="V141" i="1"/>
  <c r="U141" i="1"/>
  <c r="T141" i="1"/>
  <c r="S141" i="1"/>
  <c r="R141" i="1"/>
  <c r="E141" i="1"/>
  <c r="V140" i="1"/>
  <c r="U140" i="1"/>
  <c r="T140" i="1"/>
  <c r="N140" i="1"/>
  <c r="S140" i="1" s="1"/>
  <c r="M140" i="1"/>
  <c r="K140" i="1"/>
  <c r="R140" i="1" s="1"/>
  <c r="V139" i="1"/>
  <c r="U139" i="1"/>
  <c r="T139" i="1"/>
  <c r="S139" i="1"/>
  <c r="R139" i="1"/>
  <c r="E139" i="1"/>
  <c r="V138" i="1"/>
  <c r="U138" i="1"/>
  <c r="T138" i="1"/>
  <c r="N138" i="1"/>
  <c r="S138" i="1" s="1"/>
  <c r="M138" i="1"/>
  <c r="E138" i="1"/>
  <c r="V137" i="1"/>
  <c r="U137" i="1"/>
  <c r="T137" i="1"/>
  <c r="E137" i="1"/>
  <c r="V136" i="1"/>
  <c r="U136" i="1"/>
  <c r="T136" i="1"/>
  <c r="S136" i="1"/>
  <c r="R136" i="1"/>
  <c r="E136" i="1"/>
  <c r="V133" i="1"/>
  <c r="U133" i="1"/>
  <c r="T133" i="1"/>
  <c r="N133" i="1"/>
  <c r="S133" i="1" s="1"/>
  <c r="M133" i="1"/>
  <c r="K133" i="1"/>
  <c r="R133" i="1" s="1"/>
  <c r="E133" i="1"/>
  <c r="V132" i="1"/>
  <c r="U132" i="1"/>
  <c r="T132" i="1"/>
  <c r="S132" i="1"/>
  <c r="R132" i="1"/>
  <c r="E132" i="1"/>
  <c r="V131" i="1"/>
  <c r="U131" i="1"/>
  <c r="T131" i="1"/>
  <c r="R131" i="1"/>
  <c r="E131" i="1"/>
  <c r="V130" i="1"/>
  <c r="U130" i="1"/>
  <c r="T130" i="1"/>
  <c r="N130" i="1"/>
  <c r="S130" i="1" s="1"/>
  <c r="M130" i="1"/>
  <c r="R130" i="1"/>
  <c r="E130" i="1"/>
  <c r="V129" i="1"/>
  <c r="U129" i="1"/>
  <c r="T129" i="1"/>
  <c r="N129" i="1"/>
  <c r="S129" i="1" s="1"/>
  <c r="M129" i="1"/>
  <c r="K129" i="1"/>
  <c r="R129" i="1" s="1"/>
  <c r="E129" i="1"/>
  <c r="V128" i="1"/>
  <c r="U128" i="1"/>
  <c r="T128" i="1"/>
  <c r="N128" i="1"/>
  <c r="S128" i="1" s="1"/>
  <c r="M128" i="1"/>
  <c r="E128" i="1"/>
  <c r="V127" i="1"/>
  <c r="U127" i="1"/>
  <c r="T127" i="1"/>
  <c r="S127" i="1"/>
  <c r="E127" i="1"/>
  <c r="V126" i="1"/>
  <c r="U126" i="1"/>
  <c r="T126" i="1"/>
  <c r="E126" i="1"/>
  <c r="V125" i="1"/>
  <c r="U125" i="1"/>
  <c r="T125" i="1"/>
  <c r="S125" i="1"/>
  <c r="R125" i="1"/>
  <c r="E125" i="1"/>
  <c r="V124" i="1"/>
  <c r="U124" i="1"/>
  <c r="T124" i="1"/>
  <c r="S124" i="1"/>
  <c r="R124" i="1"/>
  <c r="E124" i="1"/>
  <c r="V123" i="1"/>
  <c r="U123" i="1"/>
  <c r="T123" i="1"/>
  <c r="V122" i="1"/>
  <c r="U122" i="1"/>
  <c r="T122" i="1"/>
  <c r="N122" i="1"/>
  <c r="S122" i="1" s="1"/>
  <c r="R122" i="1"/>
  <c r="E122" i="1"/>
  <c r="V121" i="1"/>
  <c r="U121" i="1"/>
  <c r="T121" i="1"/>
  <c r="S121" i="1"/>
  <c r="R121" i="1"/>
  <c r="E121" i="1"/>
  <c r="V120" i="1"/>
  <c r="U120" i="1"/>
  <c r="T120" i="1"/>
  <c r="N120" i="1"/>
  <c r="S120" i="1" s="1"/>
  <c r="M120" i="1"/>
  <c r="K120" i="1"/>
  <c r="R120" i="1" s="1"/>
  <c r="E120" i="1"/>
  <c r="V119" i="1"/>
  <c r="U119" i="1"/>
  <c r="T119" i="1"/>
  <c r="N119" i="1"/>
  <c r="S119" i="1" s="1"/>
  <c r="M119" i="1"/>
  <c r="K119" i="1"/>
  <c r="E119" i="1"/>
  <c r="V118" i="1"/>
  <c r="U118" i="1"/>
  <c r="T118" i="1"/>
  <c r="N118" i="1"/>
  <c r="S118" i="1" s="1"/>
  <c r="M118" i="1"/>
  <c r="E118" i="1"/>
  <c r="V117" i="1"/>
  <c r="U117" i="1"/>
  <c r="T117" i="1"/>
  <c r="N117" i="1"/>
  <c r="S117" i="1" s="1"/>
  <c r="M117" i="1"/>
  <c r="K117" i="1"/>
  <c r="E117" i="1"/>
  <c r="V113" i="1"/>
  <c r="U113" i="1"/>
  <c r="S113" i="1"/>
  <c r="O113" i="1"/>
  <c r="T113" i="1" s="1"/>
  <c r="K113" i="1"/>
  <c r="R113" i="1" s="1"/>
  <c r="H113" i="1"/>
  <c r="D113" i="1"/>
  <c r="B15" i="2" s="1"/>
  <c r="B5" i="2" s="1"/>
  <c r="V112" i="1"/>
  <c r="U112" i="1"/>
  <c r="T112" i="1"/>
  <c r="S112" i="1"/>
  <c r="R112" i="1"/>
  <c r="L112" i="1"/>
  <c r="E112" i="1"/>
  <c r="V111" i="1"/>
  <c r="U111" i="1"/>
  <c r="T111" i="1"/>
  <c r="S111" i="1"/>
  <c r="R111" i="1"/>
  <c r="E111" i="1"/>
  <c r="V110" i="1"/>
  <c r="U110" i="1"/>
  <c r="T110" i="1"/>
  <c r="S110" i="1"/>
  <c r="R110" i="1"/>
  <c r="E110" i="1"/>
  <c r="V109" i="1"/>
  <c r="U109" i="1"/>
  <c r="T109" i="1"/>
  <c r="S109" i="1"/>
  <c r="R109" i="1"/>
  <c r="E109" i="1"/>
  <c r="V108" i="1"/>
  <c r="U108" i="1"/>
  <c r="T108" i="1"/>
  <c r="S108" i="1"/>
  <c r="R108" i="1"/>
  <c r="E108" i="1"/>
  <c r="V107" i="1"/>
  <c r="U107" i="1"/>
  <c r="T107" i="1"/>
  <c r="S107" i="1"/>
  <c r="R107" i="1"/>
  <c r="E107" i="1"/>
  <c r="V106" i="1"/>
  <c r="U106" i="1"/>
  <c r="T106" i="1"/>
  <c r="S106" i="1"/>
  <c r="R106" i="1"/>
  <c r="E106" i="1"/>
  <c r="V105" i="1"/>
  <c r="U105" i="1"/>
  <c r="T105" i="1"/>
  <c r="S105" i="1"/>
  <c r="R105" i="1"/>
  <c r="E105" i="1"/>
  <c r="V104" i="1"/>
  <c r="U104" i="1"/>
  <c r="T104" i="1"/>
  <c r="S104" i="1"/>
  <c r="R104" i="1"/>
  <c r="E104" i="1"/>
  <c r="V103" i="1"/>
  <c r="U103" i="1"/>
  <c r="T103" i="1"/>
  <c r="S103" i="1"/>
  <c r="R103" i="1"/>
  <c r="E103" i="1"/>
  <c r="V102" i="1"/>
  <c r="U102" i="1"/>
  <c r="T102" i="1"/>
  <c r="S102" i="1"/>
  <c r="R102" i="1"/>
  <c r="E102" i="1"/>
  <c r="V101" i="1"/>
  <c r="U101" i="1"/>
  <c r="T101" i="1"/>
  <c r="S101" i="1"/>
  <c r="R101" i="1"/>
  <c r="E101" i="1"/>
  <c r="V100" i="1"/>
  <c r="U100" i="1"/>
  <c r="T100" i="1"/>
  <c r="S100" i="1"/>
  <c r="R100" i="1"/>
  <c r="E100" i="1"/>
  <c r="V99" i="1"/>
  <c r="U99" i="1"/>
  <c r="T99" i="1"/>
  <c r="S99" i="1"/>
  <c r="R99" i="1"/>
  <c r="E99" i="1"/>
  <c r="V98" i="1"/>
  <c r="U98" i="1"/>
  <c r="T98" i="1"/>
  <c r="S98" i="1"/>
  <c r="R98" i="1"/>
  <c r="V97" i="1"/>
  <c r="U97" i="1"/>
  <c r="T97" i="1"/>
  <c r="S97" i="1"/>
  <c r="R97" i="1"/>
  <c r="E97" i="1"/>
  <c r="V96" i="1"/>
  <c r="U96" i="1"/>
  <c r="T96" i="1"/>
  <c r="S96" i="1"/>
  <c r="R96" i="1"/>
  <c r="E96" i="1"/>
  <c r="V95" i="1"/>
  <c r="U95" i="1"/>
  <c r="T95" i="1"/>
  <c r="S95" i="1"/>
  <c r="R95" i="1"/>
  <c r="E95" i="1"/>
  <c r="V94" i="1"/>
  <c r="U94" i="1"/>
  <c r="T94" i="1"/>
  <c r="S94" i="1"/>
  <c r="R94" i="1"/>
  <c r="E94" i="1"/>
  <c r="V93" i="1"/>
  <c r="U93" i="1"/>
  <c r="T93" i="1"/>
  <c r="S93" i="1"/>
  <c r="R93" i="1"/>
  <c r="E93" i="1"/>
  <c r="V92" i="1"/>
  <c r="U92" i="1"/>
  <c r="T92" i="1"/>
  <c r="S92" i="1"/>
  <c r="R92" i="1"/>
  <c r="E92" i="1"/>
  <c r="V91" i="1"/>
  <c r="U91" i="1"/>
  <c r="T91" i="1"/>
  <c r="S91" i="1"/>
  <c r="R91" i="1"/>
  <c r="E91" i="1"/>
  <c r="V90" i="1"/>
  <c r="U90" i="1"/>
  <c r="T90" i="1"/>
  <c r="S90" i="1"/>
  <c r="R90" i="1"/>
  <c r="E90" i="1"/>
  <c r="V89" i="1"/>
  <c r="U89" i="1"/>
  <c r="T89" i="1"/>
  <c r="S89" i="1"/>
  <c r="R89" i="1"/>
  <c r="E89" i="1"/>
  <c r="V88" i="1"/>
  <c r="U88" i="1"/>
  <c r="T88" i="1"/>
  <c r="S88" i="1"/>
  <c r="R88" i="1"/>
  <c r="E88" i="1"/>
  <c r="V87" i="1"/>
  <c r="U87" i="1"/>
  <c r="T87" i="1"/>
  <c r="S87" i="1"/>
  <c r="R87" i="1"/>
  <c r="E87" i="1"/>
  <c r="V86" i="1"/>
  <c r="U86" i="1"/>
  <c r="T86" i="1"/>
  <c r="S86" i="1"/>
  <c r="R86" i="1"/>
  <c r="E86" i="1"/>
  <c r="V85" i="1"/>
  <c r="U85" i="1"/>
  <c r="T85" i="1"/>
  <c r="S85" i="1"/>
  <c r="R85" i="1"/>
  <c r="E85" i="1"/>
  <c r="V84" i="1"/>
  <c r="U84" i="1"/>
  <c r="T84" i="1"/>
  <c r="S84" i="1"/>
  <c r="R84" i="1"/>
  <c r="L84" i="1"/>
  <c r="E84" i="1"/>
  <c r="V83" i="1"/>
  <c r="U83" i="1"/>
  <c r="T83" i="1"/>
  <c r="S83" i="1"/>
  <c r="R83" i="1"/>
  <c r="E83" i="1"/>
  <c r="V82" i="1"/>
  <c r="U82" i="1"/>
  <c r="T82" i="1"/>
  <c r="S82" i="1"/>
  <c r="R82" i="1"/>
  <c r="E82" i="1"/>
  <c r="V81" i="1"/>
  <c r="U81" i="1"/>
  <c r="T81" i="1"/>
  <c r="S81" i="1"/>
  <c r="R81" i="1"/>
  <c r="E81" i="1"/>
  <c r="V80" i="1"/>
  <c r="U80" i="1"/>
  <c r="T80" i="1"/>
  <c r="S80" i="1"/>
  <c r="R80" i="1"/>
  <c r="E80" i="1"/>
  <c r="V79" i="1"/>
  <c r="U79" i="1"/>
  <c r="T79" i="1"/>
  <c r="S79" i="1"/>
  <c r="R79" i="1"/>
  <c r="E79" i="1"/>
  <c r="V78" i="1"/>
  <c r="U78" i="1"/>
  <c r="T78" i="1"/>
  <c r="S78" i="1"/>
  <c r="R78" i="1"/>
  <c r="V77" i="1"/>
  <c r="U77" i="1"/>
  <c r="T77" i="1"/>
  <c r="S77" i="1"/>
  <c r="R77" i="1"/>
  <c r="E77" i="1"/>
  <c r="V76" i="1"/>
  <c r="U76" i="1"/>
  <c r="T76" i="1"/>
  <c r="S76" i="1"/>
  <c r="R76" i="1"/>
  <c r="E76" i="1"/>
  <c r="V75" i="1"/>
  <c r="U75" i="1"/>
  <c r="T75" i="1"/>
  <c r="S75" i="1"/>
  <c r="R75" i="1"/>
  <c r="E75" i="1"/>
  <c r="V74" i="1"/>
  <c r="U74" i="1"/>
  <c r="T74" i="1"/>
  <c r="S74" i="1"/>
  <c r="R74" i="1"/>
  <c r="E74" i="1"/>
  <c r="V71" i="1"/>
  <c r="U71" i="1"/>
  <c r="S71" i="1"/>
  <c r="O71" i="1"/>
  <c r="T71" i="1" s="1"/>
  <c r="K71" i="1"/>
  <c r="H71" i="1"/>
  <c r="D71" i="1"/>
  <c r="B14" i="2" s="1"/>
  <c r="B4" i="2" s="1"/>
  <c r="V70" i="1"/>
  <c r="U70" i="1"/>
  <c r="T70" i="1"/>
  <c r="S70" i="1"/>
  <c r="R70" i="1"/>
  <c r="L70" i="1"/>
  <c r="V69" i="1"/>
  <c r="U69" i="1"/>
  <c r="T69" i="1"/>
  <c r="S69" i="1"/>
  <c r="R69" i="1"/>
  <c r="E69" i="1"/>
  <c r="V68" i="1"/>
  <c r="U68" i="1"/>
  <c r="T68" i="1"/>
  <c r="S68" i="1"/>
  <c r="R68" i="1"/>
  <c r="L68" i="1"/>
  <c r="V67" i="1"/>
  <c r="U67" i="1"/>
  <c r="T67" i="1"/>
  <c r="S67" i="1"/>
  <c r="R67" i="1"/>
  <c r="E67" i="1"/>
  <c r="V66" i="1"/>
  <c r="U66" i="1"/>
  <c r="T66" i="1"/>
  <c r="S66" i="1"/>
  <c r="R66" i="1"/>
  <c r="L66" i="1"/>
  <c r="V65" i="1"/>
  <c r="U65" i="1"/>
  <c r="T65" i="1"/>
  <c r="S65" i="1"/>
  <c r="R65" i="1"/>
  <c r="E65" i="1"/>
  <c r="V64" i="1"/>
  <c r="U64" i="1"/>
  <c r="T64" i="1"/>
  <c r="S64" i="1"/>
  <c r="R64" i="1"/>
  <c r="L64" i="1"/>
  <c r="V63" i="1"/>
  <c r="U63" i="1"/>
  <c r="T63" i="1"/>
  <c r="S63" i="1"/>
  <c r="R63" i="1"/>
  <c r="E63" i="1"/>
  <c r="V62" i="1"/>
  <c r="U62" i="1"/>
  <c r="T62" i="1"/>
  <c r="S62" i="1"/>
  <c r="R62" i="1"/>
  <c r="L62" i="1"/>
  <c r="V61" i="1"/>
  <c r="U61" i="1"/>
  <c r="T61" i="1"/>
  <c r="S61" i="1"/>
  <c r="R61" i="1"/>
  <c r="E61" i="1"/>
  <c r="V60" i="1"/>
  <c r="U60" i="1"/>
  <c r="T60" i="1"/>
  <c r="S60" i="1"/>
  <c r="R60" i="1"/>
  <c r="L60" i="1"/>
  <c r="V59" i="1"/>
  <c r="U59" i="1"/>
  <c r="T59" i="1"/>
  <c r="S59" i="1"/>
  <c r="R59" i="1"/>
  <c r="E59" i="1"/>
  <c r="V58" i="1"/>
  <c r="U58" i="1"/>
  <c r="T58" i="1"/>
  <c r="S58" i="1"/>
  <c r="R58" i="1"/>
  <c r="L58" i="1"/>
  <c r="V57" i="1"/>
  <c r="U57" i="1"/>
  <c r="T57" i="1"/>
  <c r="S57" i="1"/>
  <c r="R57" i="1"/>
  <c r="E57" i="1"/>
  <c r="V56" i="1"/>
  <c r="U56" i="1"/>
  <c r="T56" i="1"/>
  <c r="S56" i="1"/>
  <c r="R56" i="1"/>
  <c r="L56" i="1"/>
  <c r="V55" i="1"/>
  <c r="U55" i="1"/>
  <c r="T55" i="1"/>
  <c r="S55" i="1"/>
  <c r="R55" i="1"/>
  <c r="E55" i="1"/>
  <c r="V54" i="1"/>
  <c r="U54" i="1"/>
  <c r="T54" i="1"/>
  <c r="S54" i="1"/>
  <c r="R54" i="1"/>
  <c r="L54" i="1"/>
  <c r="V53" i="1"/>
  <c r="U53" i="1"/>
  <c r="T53" i="1"/>
  <c r="S53" i="1"/>
  <c r="R53" i="1"/>
  <c r="E53" i="1"/>
  <c r="V52" i="1"/>
  <c r="U52" i="1"/>
  <c r="T52" i="1"/>
  <c r="S52" i="1"/>
  <c r="R52" i="1"/>
  <c r="L52" i="1"/>
  <c r="V51" i="1"/>
  <c r="U51" i="1"/>
  <c r="T51" i="1"/>
  <c r="S51" i="1"/>
  <c r="R51" i="1"/>
  <c r="E51" i="1"/>
  <c r="V50" i="1"/>
  <c r="U50" i="1"/>
  <c r="T50" i="1"/>
  <c r="S50" i="1"/>
  <c r="R50" i="1"/>
  <c r="E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22" i="1" s="1"/>
  <c r="H25" i="1"/>
  <c r="H229" i="1" s="1"/>
  <c r="H258" i="1" s="1"/>
  <c r="D25" i="1"/>
  <c r="E34" i="1" s="1"/>
  <c r="V24" i="1"/>
  <c r="U24" i="1"/>
  <c r="T24" i="1"/>
  <c r="S24" i="1"/>
  <c r="R24" i="1"/>
  <c r="E24" i="1"/>
  <c r="V23" i="1"/>
  <c r="U23" i="1"/>
  <c r="T23" i="1"/>
  <c r="S23" i="1"/>
  <c r="R23" i="1"/>
  <c r="E23" i="1"/>
  <c r="V22" i="1"/>
  <c r="U22" i="1"/>
  <c r="T22" i="1"/>
  <c r="S22" i="1"/>
  <c r="R22" i="1"/>
  <c r="E22" i="1"/>
  <c r="V21" i="1"/>
  <c r="U21" i="1"/>
  <c r="T21" i="1"/>
  <c r="S21" i="1"/>
  <c r="R21" i="1"/>
  <c r="E21" i="1"/>
  <c r="V20" i="1"/>
  <c r="U20" i="1"/>
  <c r="T20" i="1"/>
  <c r="S20" i="1"/>
  <c r="R20" i="1"/>
  <c r="E20" i="1"/>
  <c r="V19" i="1"/>
  <c r="U19" i="1"/>
  <c r="T19" i="1"/>
  <c r="S19" i="1"/>
  <c r="R19" i="1"/>
  <c r="E19" i="1"/>
  <c r="V18" i="1"/>
  <c r="U18" i="1"/>
  <c r="T18" i="1"/>
  <c r="S18" i="1"/>
  <c r="R18" i="1"/>
  <c r="E18" i="1"/>
  <c r="V17" i="1"/>
  <c r="U17" i="1"/>
  <c r="T17" i="1"/>
  <c r="S17" i="1"/>
  <c r="R17" i="1"/>
  <c r="E17" i="1"/>
  <c r="V16" i="1"/>
  <c r="U16" i="1"/>
  <c r="T16" i="1"/>
  <c r="S16" i="1"/>
  <c r="R16" i="1"/>
  <c r="E16" i="1"/>
  <c r="V15" i="1"/>
  <c r="U15" i="1"/>
  <c r="T15" i="1"/>
  <c r="S15" i="1"/>
  <c r="R15" i="1"/>
  <c r="E15" i="1"/>
  <c r="V14" i="1"/>
  <c r="U14" i="1"/>
  <c r="T14" i="1"/>
  <c r="S14" i="1"/>
  <c r="R14" i="1"/>
  <c r="E14" i="1"/>
  <c r="V13" i="1"/>
  <c r="U13" i="1"/>
  <c r="T13" i="1"/>
  <c r="S13" i="1"/>
  <c r="R13" i="1"/>
  <c r="E13" i="1"/>
  <c r="V12" i="1"/>
  <c r="U12" i="1"/>
  <c r="T12" i="1"/>
  <c r="S12" i="1"/>
  <c r="R12" i="1"/>
  <c r="E12" i="1"/>
  <c r="V11" i="1"/>
  <c r="U11" i="1"/>
  <c r="T11" i="1"/>
  <c r="S11" i="1"/>
  <c r="R11" i="1"/>
  <c r="E11" i="1"/>
  <c r="V10" i="1"/>
  <c r="U10" i="1"/>
  <c r="T10" i="1"/>
  <c r="S10" i="1"/>
  <c r="R10" i="1"/>
  <c r="E10" i="1"/>
  <c r="V9" i="1"/>
  <c r="U9" i="1"/>
  <c r="T9" i="1"/>
  <c r="S9" i="1"/>
  <c r="R9" i="1"/>
  <c r="E9" i="1"/>
  <c r="V8" i="1"/>
  <c r="U8" i="1"/>
  <c r="T8" i="1"/>
  <c r="S8" i="1"/>
  <c r="R8" i="1"/>
  <c r="E8" i="1"/>
  <c r="V7" i="1"/>
  <c r="U7" i="1"/>
  <c r="T7" i="1"/>
  <c r="S7" i="1"/>
  <c r="R7" i="1"/>
  <c r="E7" i="1"/>
  <c r="V6" i="1"/>
  <c r="U6" i="1"/>
  <c r="T6" i="1"/>
  <c r="S6" i="1"/>
  <c r="R6" i="1"/>
  <c r="E6" i="1"/>
  <c r="K155" i="1" l="1"/>
  <c r="B8" i="3" s="1"/>
  <c r="J12" i="4"/>
  <c r="D4" i="5"/>
  <c r="D3" i="5" s="1"/>
  <c r="H12" i="4"/>
  <c r="L98" i="1"/>
  <c r="L36" i="1"/>
  <c r="L204" i="1"/>
  <c r="L205" i="1"/>
  <c r="L210" i="1"/>
  <c r="L211" i="1"/>
  <c r="L212" i="1"/>
  <c r="L213" i="1"/>
  <c r="L216" i="1"/>
  <c r="L217" i="1"/>
  <c r="L220" i="1"/>
  <c r="L221" i="1"/>
  <c r="L226" i="1"/>
  <c r="L227" i="1"/>
  <c r="L92" i="1"/>
  <c r="L104" i="1"/>
  <c r="L74" i="1"/>
  <c r="L80" i="1"/>
  <c r="L88" i="1"/>
  <c r="L96" i="1"/>
  <c r="L100" i="1"/>
  <c r="L108" i="1"/>
  <c r="L76" i="1"/>
  <c r="L78" i="1"/>
  <c r="L82" i="1"/>
  <c r="L86" i="1"/>
  <c r="L90" i="1"/>
  <c r="L94" i="1"/>
  <c r="L102" i="1"/>
  <c r="L106" i="1"/>
  <c r="L110" i="1"/>
  <c r="L170" i="1"/>
  <c r="L173" i="1"/>
  <c r="L174" i="1"/>
  <c r="L177" i="1"/>
  <c r="L178" i="1"/>
  <c r="L181" i="1"/>
  <c r="L182" i="1"/>
  <c r="L185" i="1"/>
  <c r="L186" i="1"/>
  <c r="L189" i="1"/>
  <c r="L190" i="1"/>
  <c r="L193" i="1"/>
  <c r="L194" i="1"/>
  <c r="L168" i="1"/>
  <c r="L248" i="1"/>
  <c r="L252" i="1"/>
  <c r="L246" i="1"/>
  <c r="L250" i="1"/>
  <c r="L254" i="1"/>
  <c r="L245" i="1"/>
  <c r="L247" i="1"/>
  <c r="L249" i="1"/>
  <c r="L251" i="1"/>
  <c r="L253" i="1"/>
  <c r="L255" i="1"/>
  <c r="L50" i="1"/>
  <c r="L167" i="1"/>
  <c r="L169" i="1"/>
  <c r="L171" i="1"/>
  <c r="L172" i="1"/>
  <c r="L175" i="1"/>
  <c r="L176" i="1"/>
  <c r="L179" i="1"/>
  <c r="L180" i="1"/>
  <c r="L183" i="1"/>
  <c r="L184" i="1"/>
  <c r="L187" i="1"/>
  <c r="L188" i="1"/>
  <c r="L191" i="1"/>
  <c r="L192" i="1"/>
  <c r="E28" i="1"/>
  <c r="L29" i="1"/>
  <c r="E30" i="1"/>
  <c r="L31" i="1"/>
  <c r="E32" i="1"/>
  <c r="L33" i="1"/>
  <c r="L23" i="1"/>
  <c r="L10" i="1"/>
  <c r="L6" i="1"/>
  <c r="L14" i="1"/>
  <c r="L8" i="1"/>
  <c r="L12" i="1"/>
  <c r="L16" i="1"/>
  <c r="L7" i="1"/>
  <c r="L9" i="1"/>
  <c r="L11" i="1"/>
  <c r="L13" i="1"/>
  <c r="L15" i="1"/>
  <c r="L19" i="1"/>
  <c r="L17" i="1"/>
  <c r="L21" i="1"/>
  <c r="L75" i="1"/>
  <c r="L77" i="1"/>
  <c r="E78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35" i="1"/>
  <c r="E36" i="1"/>
  <c r="L37" i="1"/>
  <c r="E38" i="1"/>
  <c r="L39" i="1"/>
  <c r="L40" i="1"/>
  <c r="E41" i="1"/>
  <c r="L42" i="1"/>
  <c r="E43" i="1"/>
  <c r="L44" i="1"/>
  <c r="E45" i="1"/>
  <c r="L46" i="1"/>
  <c r="E47" i="1"/>
  <c r="L48" i="1"/>
  <c r="E49" i="1"/>
  <c r="O229" i="1"/>
  <c r="O258" i="1" s="1"/>
  <c r="L208" i="1"/>
  <c r="L209" i="1"/>
  <c r="L214" i="1"/>
  <c r="L215" i="1"/>
  <c r="L218" i="1"/>
  <c r="L219" i="1"/>
  <c r="L18" i="1"/>
  <c r="L20" i="1"/>
  <c r="L28" i="1"/>
  <c r="E29" i="1"/>
  <c r="L30" i="1"/>
  <c r="E31" i="1"/>
  <c r="L32" i="1"/>
  <c r="E33" i="1"/>
  <c r="E35" i="1"/>
  <c r="E37" i="1"/>
  <c r="L38" i="1"/>
  <c r="E39" i="1"/>
  <c r="L41" i="1"/>
  <c r="E42" i="1"/>
  <c r="L43" i="1"/>
  <c r="E44" i="1"/>
  <c r="L45" i="1"/>
  <c r="E46" i="1"/>
  <c r="L47" i="1"/>
  <c r="E48" i="1"/>
  <c r="L49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E68" i="1"/>
  <c r="L69" i="1"/>
  <c r="E70" i="1"/>
  <c r="R155" i="1"/>
  <c r="L151" i="1"/>
  <c r="L150" i="1"/>
  <c r="L149" i="1"/>
  <c r="L130" i="1"/>
  <c r="L129" i="1"/>
  <c r="L125" i="1"/>
  <c r="L122" i="1"/>
  <c r="L152" i="1"/>
  <c r="B3" i="3"/>
  <c r="C13" i="2"/>
  <c r="C3" i="2" s="1"/>
  <c r="K229" i="1"/>
  <c r="L155" i="1" s="1"/>
  <c r="R71" i="1"/>
  <c r="R117" i="1"/>
  <c r="R118" i="1"/>
  <c r="R119" i="1"/>
  <c r="R126" i="1"/>
  <c r="R127" i="1"/>
  <c r="R128" i="1"/>
  <c r="L142" i="1"/>
  <c r="L147" i="1"/>
  <c r="L148" i="1"/>
  <c r="R152" i="1"/>
  <c r="B6" i="3"/>
  <c r="C17" i="2"/>
  <c r="C7" i="2" s="1"/>
  <c r="R164" i="1"/>
  <c r="L163" i="1"/>
  <c r="L161" i="1"/>
  <c r="L159" i="1"/>
  <c r="L158" i="1"/>
  <c r="L235" i="1"/>
  <c r="L232" i="1"/>
  <c r="R237" i="1"/>
  <c r="L236" i="1"/>
  <c r="L233" i="1"/>
  <c r="L24" i="1"/>
  <c r="B13" i="2"/>
  <c r="B3" i="2" s="1"/>
  <c r="D229" i="1"/>
  <c r="R25" i="1"/>
  <c r="T25" i="1"/>
  <c r="L34" i="1"/>
  <c r="B9" i="3"/>
  <c r="C14" i="2"/>
  <c r="C4" i="2" s="1"/>
  <c r="E98" i="1"/>
  <c r="E113" i="1"/>
  <c r="B7" i="3"/>
  <c r="C15" i="2"/>
  <c r="C5" i="2" s="1"/>
  <c r="L139" i="1"/>
  <c r="E140" i="1"/>
  <c r="L140" i="1"/>
  <c r="E172" i="1"/>
  <c r="E174" i="1"/>
  <c r="E176" i="1"/>
  <c r="E178" i="1"/>
  <c r="E180" i="1"/>
  <c r="E182" i="1"/>
  <c r="E184" i="1"/>
  <c r="E186" i="1"/>
  <c r="E188" i="1"/>
  <c r="E190" i="1"/>
  <c r="E192" i="1"/>
  <c r="E194" i="1"/>
  <c r="E195" i="1"/>
  <c r="L199" i="1"/>
  <c r="R200" i="1"/>
  <c r="E205" i="1"/>
  <c r="E209" i="1"/>
  <c r="E212" i="1"/>
  <c r="E215" i="1"/>
  <c r="E217" i="1"/>
  <c r="E219" i="1"/>
  <c r="E221" i="1"/>
  <c r="L224" i="1"/>
  <c r="E225" i="1"/>
  <c r="E227" i="1"/>
  <c r="E228" i="1"/>
  <c r="R232" i="1"/>
  <c r="E234" i="1"/>
  <c r="L234" i="1"/>
  <c r="E235" i="1"/>
  <c r="L240" i="1"/>
  <c r="C18" i="2"/>
  <c r="C8" i="2" s="1"/>
  <c r="C19" i="2"/>
  <c r="C9" i="2" s="1"/>
  <c r="C20" i="2"/>
  <c r="C10" i="2" s="1"/>
  <c r="C12" i="4"/>
  <c r="E12" i="4"/>
  <c r="G12" i="4"/>
  <c r="I12" i="4"/>
  <c r="R195" i="1"/>
  <c r="L225" i="1"/>
  <c r="R228" i="1"/>
  <c r="E232" i="1"/>
  <c r="E233" i="1"/>
  <c r="E236" i="1"/>
  <c r="L128" i="1" l="1"/>
  <c r="L131" i="1"/>
  <c r="C16" i="2"/>
  <c r="C6" i="2" s="1"/>
  <c r="L126" i="1"/>
  <c r="L132" i="1"/>
  <c r="L154" i="1"/>
  <c r="L118" i="1"/>
  <c r="L136" i="1"/>
  <c r="L153" i="1"/>
  <c r="L124" i="1"/>
  <c r="L119" i="1"/>
  <c r="L137" i="1"/>
  <c r="L141" i="1"/>
  <c r="L138" i="1"/>
  <c r="L146" i="1"/>
  <c r="L143" i="1"/>
  <c r="L120" i="1"/>
  <c r="L144" i="1"/>
  <c r="L117" i="1"/>
  <c r="L121" i="1"/>
  <c r="L145" i="1"/>
  <c r="L123" i="1"/>
  <c r="L127" i="1"/>
  <c r="L133" i="1"/>
  <c r="L200" i="1"/>
  <c r="L25" i="1"/>
  <c r="L164" i="1"/>
  <c r="L113" i="1"/>
  <c r="L71" i="1"/>
  <c r="D258" i="1"/>
  <c r="E200" i="1"/>
  <c r="E155" i="1"/>
  <c r="E164" i="1"/>
  <c r="E25" i="1"/>
  <c r="E71" i="1"/>
  <c r="K258" i="1"/>
  <c r="L228" i="1"/>
  <c r="L195" i="1"/>
  <c r="R229" i="1"/>
</calcChain>
</file>

<file path=xl/sharedStrings.xml><?xml version="1.0" encoding="utf-8"?>
<sst xmlns="http://schemas.openxmlformats.org/spreadsheetml/2006/main" count="527" uniqueCount="334">
  <si>
    <t>NAV, Unit Price and Yield as at Week Ended October 31, 2025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</si>
  <si>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</si>
  <si>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</si>
  <si>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</si>
  <si>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</si>
  <si>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</si>
  <si>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</si>
  <si>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</si>
  <si>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</si>
  <si>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</si>
  <si>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</si>
  <si>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</si>
  <si>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</si>
  <si>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</si>
  <si>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</si>
  <si>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</si>
  <si>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</si>
  <si>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</si>
  <si>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</si>
  <si>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</si>
  <si>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</si>
  <si>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</si>
  <si>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</si>
  <si>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</si>
  <si>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</si>
  <si>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</si>
  <si>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</si>
  <si>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</si>
  <si>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</si>
  <si>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</si>
  <si>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</si>
  <si>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</si>
  <si>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</si>
  <si>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</si>
  <si>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</si>
  <si>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</si>
  <si>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</si>
  <si>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</si>
  <si>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</si>
  <si>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</si>
  <si>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</si>
  <si>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</si>
  <si>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</si>
  <si>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</si>
  <si>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</si>
  <si>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</si>
  <si>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</si>
  <si>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</si>
  <si>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</si>
  <si>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</si>
  <si>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</si>
  <si>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</si>
  <si>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</si>
  <si>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</si>
  <si>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</si>
  <si>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</si>
  <si>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</si>
  <si>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</si>
  <si>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</si>
  <si>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</si>
  <si>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</si>
  <si>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</si>
  <si>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</si>
  <si>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</si>
  <si>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</si>
  <si>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</si>
  <si>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</si>
  <si>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</si>
  <si>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</si>
  <si>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</si>
  <si>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</si>
  <si>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</si>
  <si>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</si>
  <si>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</si>
  <si>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</si>
  <si>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</si>
  <si>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</si>
  <si>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</si>
  <si>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</si>
  <si>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</si>
  <si>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</si>
  <si>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</si>
  <si>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</si>
  <si>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</si>
  <si>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</si>
  <si>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</si>
  <si>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</si>
  <si>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</si>
  <si>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</si>
  <si>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</si>
  <si>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</si>
  <si>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</si>
  <si>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</si>
  <si>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</si>
  <si>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</si>
  <si>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</si>
  <si>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</si>
  <si>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</si>
  <si>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</si>
  <si>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</si>
  <si>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</si>
  <si>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</si>
  <si>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</si>
  <si>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</si>
  <si>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</si>
  <si>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</si>
  <si>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</si>
  <si>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</si>
  <si>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</si>
  <si>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</si>
  <si>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</si>
  <si>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</si>
  <si>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</si>
  <si>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</si>
  <si>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</si>
  <si>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</si>
  <si>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</si>
  <si>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</si>
  <si>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</si>
  <si>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</si>
  <si>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</si>
  <si>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</si>
  <si>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</si>
  <si>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</si>
  <si>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</si>
  <si>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</si>
  <si>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</si>
  <si>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</si>
  <si>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</si>
  <si>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</si>
  <si>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</si>
  <si>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</si>
  <si>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</si>
  <si>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</si>
  <si>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</si>
  <si>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</si>
  <si>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</si>
  <si>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</si>
  <si>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</si>
  <si>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</si>
  <si>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</si>
  <si>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</si>
  <si>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</si>
  <si>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</si>
  <si>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</si>
  <si>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</si>
  <si>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</si>
  <si>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</si>
  <si>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</si>
  <si>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</si>
  <si>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</si>
  <si>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</si>
  <si>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</si>
  <si>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</si>
  <si>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</si>
  <si>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</si>
  <si>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</si>
  <si>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</si>
  <si>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</si>
  <si>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</si>
  <si>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</si>
  <si>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</si>
  <si>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</si>
  <si>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</si>
  <si>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</si>
  <si>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</si>
  <si>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</si>
  <si>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</si>
  <si>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</si>
  <si>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</si>
  <si>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</si>
  <si>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</si>
  <si>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</si>
  <si>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</si>
  <si>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</si>
  <si>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</si>
  <si>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</si>
  <si>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</si>
  <si>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</si>
  <si>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</si>
  <si>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</si>
  <si>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</si>
  <si>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</si>
  <si>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</si>
  <si>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</si>
  <si>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</si>
  <si>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</si>
  <si>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</si>
  <si>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</si>
  <si>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</si>
  <si>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</si>
  <si>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</si>
  <si>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</si>
  <si>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</si>
  <si>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</si>
  <si>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</si>
  <si>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</si>
  <si>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</si>
  <si>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</si>
  <si>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</si>
  <si>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</si>
  <si>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</si>
  <si>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</si>
  <si>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</si>
  <si>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</si>
  <si>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</si>
  <si>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</si>
  <si>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</si>
  <si>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</si>
  <si>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</si>
  <si>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</si>
  <si>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</si>
  <si>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</si>
  <si>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</si>
  <si>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</si>
  <si>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</si>
  <si>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</si>
  <si>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</si>
  <si>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</si>
  <si>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</si>
  <si>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</si>
  <si>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</si>
  <si>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</si>
  <si>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</si>
  <si>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</si>
  <si>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</si>
  <si>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</si>
  <si>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</si>
  <si>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</si>
  <si>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</si>
  <si>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</si>
  <si>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</si>
  <si>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</si>
  <si>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</si>
  <si>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</si>
  <si>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</si>
  <si>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</si>
  <si>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</si>
  <si>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</si>
  <si>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</si>
  <si>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</si>
  <si>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</si>
  <si>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</si>
  <si>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</si>
  <si>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</si>
  <si>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</si>
  <si>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</si>
  <si>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</si>
  <si>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</si>
  <si>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</si>
  <si>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</si>
  <si>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</si>
  <si>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</si>
  <si>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</si>
  <si>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</si>
  <si>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</si>
  <si>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</si>
  <si>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</si>
  <si>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</si>
  <si>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</si>
  <si>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</si>
  <si>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</si>
  <si>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</si>
  <si>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</si>
  <si>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</si>
  <si>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</si>
  <si>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</si>
  <si>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</si>
  <si>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</si>
  <si>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</si>
  <si>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</si>
  <si>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</si>
  <si>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</si>
  <si>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</si>
  <si>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</si>
  <si>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</si>
  <si>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</si>
  <si>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</si>
  <si>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</si>
  <si>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</si>
  <si>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</si>
  <si>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</si>
  <si>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</si>
  <si>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</si>
  <si>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</si>
  <si>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</si>
  <si>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</si>
  <si>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</si>
  <si>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</si>
  <si>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</si>
  <si>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</si>
  <si>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</si>
  <si>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</si>
  <si>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</si>
  <si>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</si>
  <si>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</si>
  <si>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</si>
  <si>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</si>
  <si>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</si>
  <si>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</si>
  <si>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</si>
  <si>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</si>
  <si>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</si>
  <si>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</si>
  <si>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</si>
  <si>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</si>
  <si>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</si>
  <si>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</si>
  <si>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</si>
  <si>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</si>
  <si>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</si>
  <si>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</si>
  <si>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</si>
  <si>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</si>
  <si>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</si>
  <si>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</si>
  <si>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</si>
  <si>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</si>
  <si>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Week Ended October 31, 2025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</si>
  <si>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</si>
  <si>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</si>
  <si>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</si>
  <si>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</si>
  <si>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</si>
  <si>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</si>
  <si>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</si>
  <si>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</si>
  <si>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</si>
  <si>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</si>
  <si>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</si>
  <si>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WEEKLY VALUATION REPORT OF COLLECTIVE INVESTMENT SCHEMES AS AT WEEK ENDED FRIDAY, NOVEMBER 7, 2025</t>
  </si>
  <si>
    <t>NAV, Unit Price and Yield as at Week Ended November 7, 2025</t>
  </si>
  <si>
    <t>Week Ended November 7, 2025</t>
  </si>
  <si>
    <t>NFEM RATE NG₦/US$ as at 7th November, 2025 = N1436.5778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</si>
</sst>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1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8"/>
      <name val="Arial Narrow"/>
      <family val="2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5" fillId="21" borderId="0" applyNumberFormat="0" applyBorder="0" applyAlignment="0" applyProtection="0"/>
    <xf numFmtId="0" fontId="46" fillId="0" borderId="0"/>
    <xf numFmtId="0" fontId="43" fillId="0" borderId="0"/>
    <xf numFmtId="0" fontId="43" fillId="0" borderId="0"/>
    <xf numFmtId="0" fontId="4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96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43" fontId="6" fillId="0" borderId="0" xfId="0" applyNumberFormat="1" applyFont="1"/>
    <xf numFmtId="0" fontId="8" fillId="0" borderId="0" xfId="0" applyFont="1"/>
    <xf numFmtId="0" fontId="9" fillId="0" borderId="0" xfId="0" applyFont="1"/>
    <xf numFmtId="16" fontId="10" fillId="2" borderId="0" xfId="0" applyNumberFormat="1" applyFont="1" applyFill="1"/>
    <xf numFmtId="164" fontId="11" fillId="0" borderId="0" xfId="1" applyFont="1"/>
    <xf numFmtId="43" fontId="11" fillId="0" borderId="0" xfId="0" applyNumberFormat="1" applyFont="1"/>
    <xf numFmtId="4" fontId="11" fillId="0" borderId="0" xfId="0" applyNumberFormat="1" applyFont="1"/>
    <xf numFmtId="0" fontId="12" fillId="2" borderId="0" xfId="0" applyFont="1" applyFill="1" applyAlignment="1">
      <alignment horizontal="right"/>
    </xf>
    <xf numFmtId="16" fontId="13" fillId="2" borderId="0" xfId="0" applyNumberFormat="1" applyFont="1" applyFill="1"/>
    <xf numFmtId="0" fontId="8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4" fontId="14" fillId="2" borderId="0" xfId="0" applyNumberFormat="1" applyFont="1" applyFill="1" applyAlignment="1">
      <alignment horizontal="right"/>
    </xf>
    <xf numFmtId="164" fontId="8" fillId="2" borderId="0" xfId="1" applyFont="1" applyFill="1" applyBorder="1"/>
    <xf numFmtId="0" fontId="13" fillId="0" borderId="0" xfId="0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0" fontId="7" fillId="0" borderId="0" xfId="0" applyFont="1" applyAlignment="1">
      <alignment horizontal="right"/>
    </xf>
    <xf numFmtId="0" fontId="4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7" fillId="0" borderId="0" xfId="0" applyFont="1"/>
    <xf numFmtId="0" fontId="16" fillId="0" borderId="0" xfId="0" applyFont="1" applyAlignment="1">
      <alignment horizontal="right" wrapText="1"/>
    </xf>
    <xf numFmtId="4" fontId="18" fillId="2" borderId="0" xfId="0" applyNumberFormat="1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164" fontId="20" fillId="0" borderId="0" xfId="1" applyFont="1" applyBorder="1"/>
    <xf numFmtId="4" fontId="20" fillId="2" borderId="0" xfId="0" applyNumberFormat="1" applyFont="1" applyFill="1"/>
    <xf numFmtId="0" fontId="19" fillId="0" borderId="0" xfId="0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64" fontId="20" fillId="2" borderId="0" xfId="1" applyFont="1" applyFill="1" applyBorder="1" applyAlignment="1">
      <alignment horizontal="right" vertical="top" wrapText="1"/>
    </xf>
    <xf numFmtId="0" fontId="4" fillId="6" borderId="1" xfId="0" applyFont="1" applyFill="1" applyBorder="1"/>
    <xf numFmtId="0" fontId="22" fillId="7" borderId="1" xfId="0" applyFont="1" applyFill="1" applyBorder="1"/>
    <xf numFmtId="0" fontId="23" fillId="7" borderId="1" xfId="0" applyFont="1" applyFill="1" applyBorder="1"/>
    <xf numFmtId="0" fontId="24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27" fillId="0" borderId="1" xfId="0" applyFont="1" applyBorder="1" applyAlignment="1">
      <alignment horizontal="center" vertical="center"/>
    </xf>
    <xf numFmtId="4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4" fontId="27" fillId="2" borderId="1" xfId="0" applyNumberFormat="1" applyFont="1" applyFill="1" applyBorder="1"/>
    <xf numFmtId="10" fontId="27" fillId="7" borderId="1" xfId="2" applyNumberFormat="1" applyFont="1" applyFill="1" applyBorder="1" applyAlignment="1">
      <alignment horizontal="center"/>
    </xf>
    <xf numFmtId="164" fontId="27" fillId="9" borderId="1" xfId="1" applyFont="1" applyFill="1" applyBorder="1" applyAlignment="1">
      <alignment horizontal="center"/>
    </xf>
    <xf numFmtId="0" fontId="28" fillId="0" borderId="0" xfId="0" applyFont="1"/>
    <xf numFmtId="164" fontId="25" fillId="9" borderId="1" xfId="1" applyFont="1" applyFill="1" applyBorder="1" applyAlignment="1">
      <alignment horizontal="center"/>
    </xf>
    <xf numFmtId="164" fontId="27" fillId="2" borderId="1" xfId="1" applyFont="1" applyFill="1" applyBorder="1"/>
    <xf numFmtId="164" fontId="27" fillId="2" borderId="1" xfId="10" applyFont="1" applyFill="1" applyBorder="1"/>
    <xf numFmtId="4" fontId="28" fillId="0" borderId="0" xfId="0" applyNumberFormat="1" applyFont="1"/>
    <xf numFmtId="4" fontId="27" fillId="2" borderId="1" xfId="0" applyNumberFormat="1" applyFont="1" applyFill="1" applyBorder="1" applyAlignment="1">
      <alignment horizontal="right"/>
    </xf>
    <xf numFmtId="0" fontId="25" fillId="0" borderId="1" xfId="0" applyFont="1" applyBorder="1"/>
    <xf numFmtId="0" fontId="25" fillId="2" borderId="1" xfId="0" applyFont="1" applyFill="1" applyBorder="1"/>
    <xf numFmtId="0" fontId="24" fillId="2" borderId="1" xfId="0" applyFont="1" applyFill="1" applyBorder="1" applyAlignment="1">
      <alignment horizontal="right"/>
    </xf>
    <xf numFmtId="164" fontId="24" fillId="2" borderId="1" xfId="1" applyFont="1" applyFill="1" applyBorder="1" applyAlignment="1">
      <alignment horizontal="right" vertical="top" wrapText="1"/>
    </xf>
    <xf numFmtId="10" fontId="30" fillId="7" borderId="1" xfId="2" applyNumberFormat="1" applyFont="1" applyFill="1" applyBorder="1" applyAlignment="1">
      <alignment horizontal="center" vertical="top" wrapText="1"/>
    </xf>
    <xf numFmtId="10" fontId="27" fillId="2" borderId="1" xfId="2" applyNumberFormat="1" applyFont="1" applyFill="1" applyBorder="1" applyAlignment="1">
      <alignment horizontal="center" vertical="top" wrapText="1"/>
    </xf>
    <xf numFmtId="4" fontId="27" fillId="2" borderId="1" xfId="1" applyNumberFormat="1" applyFont="1" applyFill="1" applyBorder="1" applyAlignment="1">
      <alignment vertical="top" wrapText="1"/>
    </xf>
    <xf numFmtId="164" fontId="24" fillId="9" borderId="1" xfId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164" fontId="27" fillId="2" borderId="1" xfId="10" applyFont="1" applyFill="1" applyBorder="1" applyAlignment="1">
      <alignment horizontal="right"/>
    </xf>
    <xf numFmtId="4" fontId="27" fillId="2" borderId="1" xfId="1" applyNumberFormat="1" applyFont="1" applyFill="1" applyBorder="1" applyAlignment="1">
      <alignment horizontal="right"/>
    </xf>
    <xf numFmtId="164" fontId="27" fillId="9" borderId="1" xfId="1" applyFont="1" applyFill="1" applyBorder="1" applyAlignment="1">
      <alignment horizontal="center" wrapText="1"/>
    </xf>
    <xf numFmtId="164" fontId="27" fillId="2" borderId="1" xfId="1" applyFont="1" applyFill="1" applyBorder="1" applyAlignment="1">
      <alignment horizontal="right"/>
    </xf>
    <xf numFmtId="164" fontId="27" fillId="2" borderId="1" xfId="10" applyFont="1" applyFill="1" applyBorder="1" applyAlignment="1">
      <alignment horizontal="right" wrapText="1"/>
    </xf>
    <xf numFmtId="164" fontId="22" fillId="3" borderId="1" xfId="1" applyFont="1" applyFill="1" applyBorder="1" applyAlignment="1">
      <alignment horizontal="center" vertical="top"/>
    </xf>
    <xf numFmtId="10" fontId="27" fillId="9" borderId="1" xfId="2" applyNumberFormat="1" applyFont="1" applyFill="1" applyBorder="1" applyAlignment="1">
      <alignment horizontal="center"/>
    </xf>
    <xf numFmtId="10" fontId="25" fillId="9" borderId="1" xfId="2" applyNumberFormat="1" applyFont="1" applyFill="1" applyBorder="1" applyAlignment="1">
      <alignment horizontal="center"/>
    </xf>
    <xf numFmtId="10" fontId="27" fillId="9" borderId="1" xfId="2" applyNumberFormat="1" applyFont="1" applyFill="1" applyBorder="1" applyAlignment="1">
      <alignment horizontal="center" vertical="top" wrapText="1"/>
    </xf>
    <xf numFmtId="10" fontId="27" fillId="9" borderId="1" xfId="2" applyNumberFormat="1" applyFont="1" applyFill="1" applyBorder="1" applyAlignment="1">
      <alignment horizontal="center" wrapText="1"/>
    </xf>
    <xf numFmtId="10" fontId="27" fillId="7" borderId="1" xfId="2" applyNumberFormat="1" applyFont="1" applyFill="1" applyBorder="1" applyAlignment="1">
      <alignment horizontal="center" wrapText="1"/>
    </xf>
    <xf numFmtId="10" fontId="27" fillId="3" borderId="1" xfId="2" applyNumberFormat="1" applyFont="1" applyFill="1" applyBorder="1" applyAlignment="1">
      <alignment horizontal="center" vertical="top" wrapText="1"/>
    </xf>
    <xf numFmtId="10" fontId="25" fillId="3" borderId="1" xfId="2" applyNumberFormat="1" applyFont="1" applyFill="1" applyBorder="1" applyAlignment="1">
      <alignment horizontal="center" vertical="top" wrapText="1"/>
    </xf>
    <xf numFmtId="10" fontId="25" fillId="3" borderId="1" xfId="1" applyNumberFormat="1" applyFont="1" applyFill="1" applyBorder="1" applyAlignment="1">
      <alignment horizontal="center" vertical="top" wrapText="1"/>
    </xf>
    <xf numFmtId="10" fontId="31" fillId="10" borderId="0" xfId="0" applyNumberFormat="1" applyFont="1" applyFill="1" applyAlignment="1">
      <alignment horizontal="right" vertical="center" wrapText="1"/>
    </xf>
    <xf numFmtId="4" fontId="27" fillId="2" borderId="1" xfId="44" applyNumberFormat="1" applyFont="1" applyFill="1" applyBorder="1" applyAlignment="1">
      <alignment wrapText="1"/>
    </xf>
    <xf numFmtId="164" fontId="24" fillId="2" borderId="1" xfId="1" applyFont="1" applyFill="1" applyBorder="1" applyAlignment="1">
      <alignment horizontal="right"/>
    </xf>
    <xf numFmtId="2" fontId="27" fillId="2" borderId="1" xfId="0" applyNumberFormat="1" applyFont="1" applyFill="1" applyBorder="1"/>
    <xf numFmtId="164" fontId="27" fillId="2" borderId="1" xfId="10" applyFont="1" applyFill="1" applyBorder="1" applyAlignment="1">
      <alignment wrapText="1"/>
    </xf>
    <xf numFmtId="164" fontId="27" fillId="11" borderId="1" xfId="1" applyFont="1" applyFill="1" applyBorder="1" applyAlignment="1">
      <alignment horizontal="center"/>
    </xf>
    <xf numFmtId="10" fontId="27" fillId="9" borderId="1" xfId="1" applyNumberFormat="1" applyFont="1" applyFill="1" applyBorder="1" applyAlignment="1">
      <alignment horizontal="center"/>
    </xf>
    <xf numFmtId="10" fontId="27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8" fillId="0" borderId="0" xfId="1" applyFont="1"/>
    <xf numFmtId="2" fontId="0" fillId="0" borderId="0" xfId="0" applyNumberFormat="1"/>
    <xf numFmtId="165" fontId="0" fillId="0" borderId="0" xfId="0" applyNumberFormat="1"/>
    <xf numFmtId="4" fontId="33" fillId="10" borderId="0" xfId="0" applyNumberFormat="1" applyFont="1" applyFill="1" applyAlignment="1">
      <alignment horizontal="right" vertical="center" wrapText="1"/>
    </xf>
    <xf numFmtId="0" fontId="27" fillId="0" borderId="1" xfId="0" applyFont="1" applyBorder="1"/>
    <xf numFmtId="0" fontId="24" fillId="0" borderId="1" xfId="0" applyFont="1" applyBorder="1" applyAlignment="1">
      <alignment horizontal="right"/>
    </xf>
    <xf numFmtId="4" fontId="35" fillId="0" borderId="1" xfId="0" applyNumberFormat="1" applyFont="1" applyBorder="1"/>
    <xf numFmtId="0" fontId="29" fillId="2" borderId="1" xfId="0" applyFont="1" applyFill="1" applyBorder="1"/>
    <xf numFmtId="4" fontId="27" fillId="2" borderId="1" xfId="1" applyNumberFormat="1" applyFont="1" applyFill="1" applyBorder="1" applyAlignment="1">
      <alignment horizontal="right" vertical="top" wrapText="1"/>
    </xf>
    <xf numFmtId="0" fontId="27" fillId="2" borderId="1" xfId="0" applyFont="1" applyFill="1" applyBorder="1" applyAlignment="1">
      <alignment horizontal="center"/>
    </xf>
    <xf numFmtId="4" fontId="27" fillId="9" borderId="1" xfId="1" applyNumberFormat="1" applyFont="1" applyFill="1" applyBorder="1" applyAlignment="1">
      <alignment horizontal="center"/>
    </xf>
    <xf numFmtId="4" fontId="27" fillId="9" borderId="1" xfId="1" applyNumberFormat="1" applyFont="1" applyFill="1" applyBorder="1" applyAlignment="1">
      <alignment horizontal="center" vertical="top" wrapText="1"/>
    </xf>
    <xf numFmtId="166" fontId="20" fillId="0" borderId="0" xfId="1" applyNumberFormat="1" applyFont="1"/>
    <xf numFmtId="4" fontId="36" fillId="0" borderId="0" xfId="0" applyNumberFormat="1" applyFont="1"/>
    <xf numFmtId="164" fontId="24" fillId="2" borderId="1" xfId="1" applyFont="1" applyFill="1" applyBorder="1"/>
    <xf numFmtId="43" fontId="27" fillId="2" borderId="1" xfId="0" applyNumberFormat="1" applyFont="1" applyFill="1" applyBorder="1"/>
    <xf numFmtId="4" fontId="27" fillId="2" borderId="1" xfId="0" applyNumberFormat="1" applyFont="1" applyFill="1" applyBorder="1" applyAlignment="1">
      <alignment horizontal="right" wrapText="1"/>
    </xf>
    <xf numFmtId="4" fontId="27" fillId="2" borderId="1" xfId="10" applyNumberFormat="1" applyFont="1" applyFill="1" applyBorder="1" applyAlignment="1">
      <alignment horizontal="right"/>
    </xf>
    <xf numFmtId="4" fontId="27" fillId="2" borderId="1" xfId="10" applyNumberFormat="1" applyFont="1" applyFill="1" applyBorder="1" applyAlignment="1">
      <alignment horizontal="right" wrapText="1"/>
    </xf>
    <xf numFmtId="4" fontId="24" fillId="9" borderId="1" xfId="1" applyNumberFormat="1" applyFont="1" applyFill="1" applyBorder="1" applyAlignment="1">
      <alignment horizontal="right" vertical="top" wrapText="1"/>
    </xf>
    <xf numFmtId="0" fontId="27" fillId="14" borderId="1" xfId="0" applyFont="1" applyFill="1" applyBorder="1" applyAlignment="1">
      <alignment horizontal="right" vertical="center"/>
    </xf>
    <xf numFmtId="0" fontId="24" fillId="14" borderId="1" xfId="0" applyFont="1" applyFill="1" applyBorder="1" applyAlignment="1">
      <alignment horizontal="right" vertical="center"/>
    </xf>
    <xf numFmtId="164" fontId="24" fillId="14" borderId="1" xfId="1" applyFont="1" applyFill="1" applyBorder="1" applyAlignment="1">
      <alignment horizontal="right" vertical="center" wrapText="1"/>
    </xf>
    <xf numFmtId="10" fontId="27" fillId="14" borderId="1" xfId="1" applyNumberFormat="1" applyFont="1" applyFill="1" applyBorder="1" applyAlignment="1">
      <alignment horizontal="right" vertical="center" wrapText="1"/>
    </xf>
    <xf numFmtId="4" fontId="27" fillId="14" borderId="1" xfId="1" applyNumberFormat="1" applyFont="1" applyFill="1" applyBorder="1" applyAlignment="1">
      <alignment horizontal="right" vertical="center" wrapText="1"/>
    </xf>
    <xf numFmtId="164" fontId="24" fillId="14" borderId="1" xfId="1" applyFont="1" applyFill="1" applyBorder="1" applyAlignment="1">
      <alignment horizontal="right" vertical="top" wrapText="1"/>
    </xf>
    <xf numFmtId="4" fontId="27" fillId="2" borderId="1" xfId="10" applyNumberFormat="1" applyFont="1" applyFill="1" applyBorder="1" applyAlignment="1">
      <alignment horizontal="right" vertical="top" wrapText="1"/>
    </xf>
    <xf numFmtId="164" fontId="37" fillId="14" borderId="1" xfId="1" applyFont="1" applyFill="1" applyBorder="1" applyAlignment="1">
      <alignment horizontal="right" vertical="top" wrapText="1"/>
    </xf>
    <xf numFmtId="4" fontId="27" fillId="14" borderId="1" xfId="1" applyNumberFormat="1" applyFont="1" applyFill="1" applyBorder="1" applyAlignment="1">
      <alignment horizontal="right" vertical="top" wrapText="1"/>
    </xf>
    <xf numFmtId="164" fontId="27" fillId="2" borderId="1" xfId="10" applyFont="1" applyFill="1" applyBorder="1" applyAlignment="1">
      <alignment horizontal="right" vertical="top" wrapText="1"/>
    </xf>
    <xf numFmtId="10" fontId="27" fillId="7" borderId="1" xfId="2" applyNumberFormat="1" applyFont="1" applyFill="1" applyBorder="1" applyAlignment="1">
      <alignment horizontal="center" vertical="top" wrapText="1"/>
    </xf>
    <xf numFmtId="164" fontId="27" fillId="9" borderId="1" xfId="1" applyFont="1" applyFill="1" applyBorder="1" applyAlignment="1">
      <alignment horizontal="center" vertical="top" wrapText="1"/>
    </xf>
    <xf numFmtId="164" fontId="27" fillId="2" borderId="1" xfId="1" applyFont="1" applyFill="1" applyBorder="1" applyAlignment="1">
      <alignment horizontal="right" vertical="top" wrapText="1"/>
    </xf>
    <xf numFmtId="43" fontId="27" fillId="9" borderId="1" xfId="0" applyNumberFormat="1" applyFont="1" applyFill="1" applyBorder="1" applyAlignment="1">
      <alignment horizontal="center"/>
    </xf>
    <xf numFmtId="9" fontId="27" fillId="14" borderId="1" xfId="2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top" wrapText="1"/>
    </xf>
    <xf numFmtId="10" fontId="27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5" fillId="14" borderId="1" xfId="2" applyNumberFormat="1" applyFont="1" applyFill="1" applyBorder="1" applyAlignment="1">
      <alignment horizontal="center" vertical="top" wrapText="1"/>
    </xf>
    <xf numFmtId="167" fontId="25" fillId="14" borderId="1" xfId="2" applyNumberFormat="1" applyFont="1" applyFill="1" applyBorder="1" applyAlignment="1">
      <alignment horizontal="center" vertical="top" wrapText="1"/>
    </xf>
    <xf numFmtId="10" fontId="25" fillId="14" borderId="1" xfId="1" applyNumberFormat="1" applyFont="1" applyFill="1" applyBorder="1" applyAlignment="1">
      <alignment horizontal="center" vertical="top" wrapText="1"/>
    </xf>
    <xf numFmtId="0" fontId="27" fillId="14" borderId="1" xfId="0" applyFont="1" applyFill="1" applyBorder="1" applyAlignment="1">
      <alignment horizontal="right"/>
    </xf>
    <xf numFmtId="0" fontId="24" fillId="14" borderId="1" xfId="0" applyFont="1" applyFill="1" applyBorder="1" applyAlignment="1">
      <alignment horizontal="right"/>
    </xf>
    <xf numFmtId="0" fontId="27" fillId="15" borderId="1" xfId="0" applyFont="1" applyFill="1" applyBorder="1" applyAlignment="1">
      <alignment horizontal="right" vertical="top" wrapText="1"/>
    </xf>
    <xf numFmtId="0" fontId="34" fillId="15" borderId="1" xfId="0" applyFont="1" applyFill="1" applyBorder="1" applyAlignment="1">
      <alignment horizontal="right" vertical="top" wrapText="1"/>
    </xf>
    <xf numFmtId="164" fontId="34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8" fillId="5" borderId="1" xfId="0" applyFont="1" applyFill="1" applyBorder="1" applyAlignment="1">
      <alignment horizontal="right" vertical="center"/>
    </xf>
    <xf numFmtId="0" fontId="38" fillId="5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39" fillId="0" borderId="0" xfId="0" applyFont="1"/>
    <xf numFmtId="0" fontId="40" fillId="0" borderId="0" xfId="0" applyFont="1"/>
    <xf numFmtId="43" fontId="0" fillId="0" borderId="0" xfId="0" applyNumberFormat="1"/>
    <xf numFmtId="0" fontId="41" fillId="0" borderId="0" xfId="0" applyFont="1"/>
    <xf numFmtId="0" fontId="29" fillId="2" borderId="0" xfId="0" applyFont="1" applyFill="1" applyAlignment="1">
      <alignment wrapText="1"/>
    </xf>
    <xf numFmtId="43" fontId="41" fillId="0" borderId="0" xfId="16" applyFont="1" applyBorder="1"/>
    <xf numFmtId="2" fontId="41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7" fillId="15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4" fontId="49" fillId="2" borderId="1" xfId="0" applyNumberFormat="1" applyFont="1" applyFill="1" applyBorder="1" applyAlignment="1">
      <alignment wrapText="1"/>
    </xf>
    <xf numFmtId="0" fontId="49" fillId="2" borderId="1" xfId="0" applyFont="1" applyFill="1" applyBorder="1" applyAlignment="1">
      <alignment wrapText="1"/>
    </xf>
    <xf numFmtId="0" fontId="49" fillId="0" borderId="1" xfId="0" applyFont="1" applyBorder="1" applyAlignment="1">
      <alignment horizontal="center" vertical="center"/>
    </xf>
    <xf numFmtId="49" fontId="49" fillId="2" borderId="1" xfId="0" applyNumberFormat="1" applyFont="1" applyFill="1" applyBorder="1" applyAlignment="1">
      <alignment wrapText="1"/>
    </xf>
    <xf numFmtId="0" fontId="49" fillId="2" borderId="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left" wrapText="1"/>
    </xf>
    <xf numFmtId="0" fontId="49" fillId="2" borderId="1" xfId="0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wrapText="1"/>
    </xf>
    <xf numFmtId="0" fontId="50" fillId="0" borderId="0" xfId="0" applyFont="1"/>
    <xf numFmtId="164" fontId="3" fillId="2" borderId="0" xfId="1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34" fillId="13" borderId="1" xfId="0" applyFont="1" applyFill="1" applyBorder="1" applyAlignment="1">
      <alignment horizontal="center" wrapText="1"/>
    </xf>
    <xf numFmtId="0" fontId="34" fillId="8" borderId="1" xfId="0" applyFont="1" applyFill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31,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79.941489021128604</c:v>
                </c:pt>
                <c:pt idx="1">
                  <c:v>4345.9781962389225</c:v>
                </c:pt>
                <c:pt idx="2">
                  <c:v>242.06802016447492</c:v>
                </c:pt>
                <c:pt idx="3">
                  <c:v>1904.1258300625452</c:v>
                </c:pt>
                <c:pt idx="4">
                  <c:v>370.26732285234544</c:v>
                </c:pt>
                <c:pt idx="5" formatCode="_-* #,##0.00_-;\-* #,##0.00_-;_-* &quot;-&quot;??_-;_-@_-">
                  <c:v>80.975307014121839</c:v>
                </c:pt>
                <c:pt idx="6">
                  <c:v>8.5935672065700004</c:v>
                </c:pt>
                <c:pt idx="7">
                  <c:v>72.771852471391895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7,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77.622970040713497</c:v>
                </c:pt>
                <c:pt idx="1">
                  <c:v>4392.3786564765815</c:v>
                </c:pt>
                <c:pt idx="2">
                  <c:v>243.26846350748514</c:v>
                </c:pt>
                <c:pt idx="3">
                  <c:v>1915.3574379924437</c:v>
                </c:pt>
                <c:pt idx="4">
                  <c:v>371.32163729857228</c:v>
                </c:pt>
                <c:pt idx="5" formatCode="_-* #,##0.00_-;\-* #,##0.00_-;_-* &quot;-&quot;??_-;_-@_-">
                  <c:v>79.917304669356696</c:v>
                </c:pt>
                <c:pt idx="6">
                  <c:v>8.3286805587600004</c:v>
                </c:pt>
                <c:pt idx="7">
                  <c:v>73.208194782318941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297448"/>
        <c:axId val="330191552"/>
      </c:barChart>
      <c:catAx>
        <c:axId val="25429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0191552"/>
        <c:crosses val="autoZero"/>
        <c:auto val="1"/>
        <c:lblAlgn val="ctr"/>
        <c:lblOffset val="100"/>
        <c:noMultiLvlLbl val="0"/>
      </c:catAx>
      <c:valAx>
        <c:axId val="33019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4297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7TH NOVEMBER,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1629045880711"/>
          <c:y val="1.43638007281235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7-Nov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8328680558.7600002</c:v>
                </c:pt>
                <c:pt idx="1">
                  <c:v>77622970040.713501</c:v>
                </c:pt>
                <c:pt idx="2" formatCode="_-* #,##0.00_-;\-* #,##0.00_-;_-* &quot;-&quot;??_-;_-@_-">
                  <c:v>73208194782.318939</c:v>
                </c:pt>
                <c:pt idx="3">
                  <c:v>79917304669.356689</c:v>
                </c:pt>
                <c:pt idx="4">
                  <c:v>371321637298.57227</c:v>
                </c:pt>
                <c:pt idx="5">
                  <c:v>243268463507.48514</c:v>
                </c:pt>
                <c:pt idx="6">
                  <c:v>1915357437992.4436</c:v>
                </c:pt>
                <c:pt idx="7">
                  <c:v>4392378656476.5811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45919</c:v>
                </c:pt>
                <c:pt idx="1">
                  <c:v>45926</c:v>
                </c:pt>
                <c:pt idx="2">
                  <c:v>45933</c:v>
                </c:pt>
                <c:pt idx="3">
                  <c:v>45940</c:v>
                </c:pt>
                <c:pt idx="4">
                  <c:v>45947</c:v>
                </c:pt>
                <c:pt idx="5">
                  <c:v>45954</c:v>
                </c:pt>
                <c:pt idx="6">
                  <c:v>45961</c:v>
                </c:pt>
                <c:pt idx="7">
                  <c:v>45968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6693.7872553133047</c:v>
                </c:pt>
                <c:pt idx="1">
                  <c:v>6745.4768805021858</c:v>
                </c:pt>
                <c:pt idx="2">
                  <c:v>6812.2098133156469</c:v>
                </c:pt>
                <c:pt idx="3">
                  <c:v>6925.6615260417648</c:v>
                </c:pt>
                <c:pt idx="4">
                  <c:v>7020.2119881351573</c:v>
                </c:pt>
                <c:pt idx="5">
                  <c:v>7084.74766079442</c:v>
                </c:pt>
                <c:pt idx="6">
                  <c:v>7104.7215850315024</c:v>
                </c:pt>
                <c:pt idx="7">
                  <c:v>7161.4033453262318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0192728"/>
        <c:axId val="330193904"/>
      </c:lineChart>
      <c:dateAx>
        <c:axId val="3301927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93904"/>
        <c:crosses val="autoZero"/>
        <c:auto val="1"/>
        <c:lblOffset val="100"/>
        <c:baseTimeUnit val="days"/>
      </c:dateAx>
      <c:valAx>
        <c:axId val="330193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9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45919</c:v>
                </c:pt>
                <c:pt idx="1">
                  <c:v>45926</c:v>
                </c:pt>
                <c:pt idx="2">
                  <c:v>45933</c:v>
                </c:pt>
                <c:pt idx="3">
                  <c:v>45940</c:v>
                </c:pt>
                <c:pt idx="4">
                  <c:v>45947</c:v>
                </c:pt>
                <c:pt idx="5">
                  <c:v>45954</c:v>
                </c:pt>
                <c:pt idx="6">
                  <c:v>45961</c:v>
                </c:pt>
                <c:pt idx="7">
                  <c:v>45968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16.933585980109999</c:v>
                </c:pt>
                <c:pt idx="1">
                  <c:v>17.03010698616</c:v>
                </c:pt>
                <c:pt idx="2">
                  <c:v>17.235315862970001</c:v>
                </c:pt>
                <c:pt idx="3">
                  <c:v>17.54959499956</c:v>
                </c:pt>
                <c:pt idx="4">
                  <c:v>17.680301749159998</c:v>
                </c:pt>
                <c:pt idx="5">
                  <c:v>18.29339423531</c:v>
                </c:pt>
                <c:pt idx="6">
                  <c:v>17.97007204989</c:v>
                </c:pt>
                <c:pt idx="7">
                  <c:v>17.390304867240001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0192336"/>
        <c:axId val="330188416"/>
      </c:lineChart>
      <c:dateAx>
        <c:axId val="3301923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88416"/>
        <c:crosses val="autoZero"/>
        <c:auto val="1"/>
        <c:lblOffset val="100"/>
        <c:baseTimeUnit val="days"/>
      </c:dateAx>
      <c:valAx>
        <c:axId val="33018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9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6"/>
  <sheetViews>
    <sheetView tabSelected="1" zoomScale="120" zoomScaleNormal="120" workbookViewId="0">
      <pane ySplit="3" topLeftCell="A4" activePane="bottomLeft" state="frozen"/>
      <selection pane="bottomLeft"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3" t="s">
        <v>330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spans="1:25" ht="14.4" customHeight="1">
      <c r="A2" s="52"/>
      <c r="B2" s="53"/>
      <c r="C2" s="54"/>
      <c r="D2" s="194" t="s">
        <v>0</v>
      </c>
      <c r="E2" s="194"/>
      <c r="F2" s="194"/>
      <c r="G2" s="194"/>
      <c r="H2" s="194"/>
      <c r="I2" s="194"/>
      <c r="J2" s="194"/>
      <c r="K2" s="194" t="s">
        <v>331</v>
      </c>
      <c r="L2" s="194"/>
      <c r="M2" s="194"/>
      <c r="N2" s="194"/>
      <c r="O2" s="194"/>
      <c r="P2" s="194"/>
      <c r="Q2" s="194"/>
      <c r="R2" s="194" t="s">
        <v>1</v>
      </c>
      <c r="S2" s="194"/>
      <c r="T2" s="194"/>
      <c r="U2" s="194" t="s">
        <v>2</v>
      </c>
      <c r="V2" s="194"/>
    </row>
    <row r="3" spans="1:25" ht="20.399999999999999">
      <c r="A3" s="55" t="s">
        <v>3</v>
      </c>
      <c r="B3" s="56" t="s">
        <v>4</v>
      </c>
      <c r="C3" s="57" t="s">
        <v>5</v>
      </c>
      <c r="D3" s="58" t="s">
        <v>6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59" t="s">
        <v>12</v>
      </c>
      <c r="K3" s="88" t="s">
        <v>6</v>
      </c>
      <c r="L3" s="59" t="s">
        <v>7</v>
      </c>
      <c r="M3" s="59" t="s">
        <v>13</v>
      </c>
      <c r="N3" s="59" t="s">
        <v>9</v>
      </c>
      <c r="O3" s="59" t="s">
        <v>10</v>
      </c>
      <c r="P3" s="59" t="s">
        <v>11</v>
      </c>
      <c r="Q3" s="59" t="s">
        <v>12</v>
      </c>
      <c r="R3" s="58" t="s">
        <v>14</v>
      </c>
      <c r="S3" s="59" t="s">
        <v>15</v>
      </c>
      <c r="T3" s="59" t="s">
        <v>16</v>
      </c>
      <c r="U3" s="59" t="s">
        <v>17</v>
      </c>
      <c r="V3" s="59" t="s">
        <v>18</v>
      </c>
    </row>
    <row r="4" spans="1:25" ht="5.25" customHeight="1">
      <c r="A4" s="60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</row>
    <row r="5" spans="1:25" ht="15" customHeight="1">
      <c r="A5" s="191" t="s">
        <v>19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1:25">
      <c r="A6" s="61">
        <v>1</v>
      </c>
      <c r="B6" s="62" t="s">
        <v>20</v>
      </c>
      <c r="C6" s="63" t="s">
        <v>21</v>
      </c>
      <c r="D6" s="64">
        <v>4458183268.25</v>
      </c>
      <c r="E6" s="65">
        <f t="shared" ref="E6:E22" si="0">(D6/$D$25)</f>
        <v>5.57680789142131E-2</v>
      </c>
      <c r="F6" s="64">
        <v>610.24760000000003</v>
      </c>
      <c r="G6" s="64">
        <v>614.15369999999996</v>
      </c>
      <c r="H6" s="66">
        <v>1695</v>
      </c>
      <c r="I6" s="89">
        <v>-1.1900000000000001E-2</v>
      </c>
      <c r="J6" s="89">
        <v>0.53520000000000001</v>
      </c>
      <c r="K6" s="64">
        <v>4312628868.8999996</v>
      </c>
      <c r="L6" s="65">
        <f t="shared" ref="L6:L21" si="1">(K6/$K$25)</f>
        <v>5.5558668608506112E-2</v>
      </c>
      <c r="M6" s="64">
        <v>589.79790000000003</v>
      </c>
      <c r="N6" s="64">
        <v>593.93780000000004</v>
      </c>
      <c r="O6" s="66">
        <v>1695</v>
      </c>
      <c r="P6" s="89">
        <v>-3.3500000000000002E-2</v>
      </c>
      <c r="Q6" s="89">
        <v>0.48370000000000002</v>
      </c>
      <c r="R6" s="94">
        <f>((K6-D6)/D6)</f>
        <v>-3.2648814683460918E-2</v>
      </c>
      <c r="S6" s="94">
        <f>((N6-G6)/G6)</f>
        <v>-3.2916678675061178E-2</v>
      </c>
      <c r="T6" s="94">
        <f>((O6-H6)/H6)</f>
        <v>0</v>
      </c>
      <c r="U6" s="95">
        <f>P6-I6</f>
        <v>-2.1600000000000001E-2</v>
      </c>
      <c r="V6" s="96">
        <f>Q6-J6</f>
        <v>-5.149999999999999E-2</v>
      </c>
    </row>
    <row r="7" spans="1:25">
      <c r="A7" s="61">
        <v>2</v>
      </c>
      <c r="B7" s="62" t="s">
        <v>22</v>
      </c>
      <c r="C7" s="63" t="s">
        <v>23</v>
      </c>
      <c r="D7" s="64">
        <v>1192325816.95</v>
      </c>
      <c r="E7" s="65">
        <f t="shared" si="0"/>
        <v>1.491498133884981E-2</v>
      </c>
      <c r="F7" s="64">
        <v>410.9325</v>
      </c>
      <c r="G7" s="64">
        <v>415.81509999999997</v>
      </c>
      <c r="H7" s="66">
        <v>611</v>
      </c>
      <c r="I7" s="89">
        <v>-2.1440000000000001E-3</v>
      </c>
      <c r="J7" s="89">
        <v>0.5958</v>
      </c>
      <c r="K7" s="64">
        <v>1165738778.51</v>
      </c>
      <c r="L7" s="65">
        <f t="shared" si="1"/>
        <v>1.5017961537655236E-2</v>
      </c>
      <c r="M7" s="64">
        <v>401.06169999999997</v>
      </c>
      <c r="N7" s="64">
        <v>405.77050000000003</v>
      </c>
      <c r="O7" s="66">
        <v>613</v>
      </c>
      <c r="P7" s="89">
        <v>-4.633E-3</v>
      </c>
      <c r="Q7" s="89">
        <v>0.5575</v>
      </c>
      <c r="R7" s="94">
        <f t="shared" ref="R7:R25" si="2">((K7-D7)/D7)</f>
        <v>-2.2298467467567196E-2</v>
      </c>
      <c r="S7" s="94">
        <f t="shared" ref="S7:S25" si="3">((N7-G7)/G7)</f>
        <v>-2.4156409904305894E-2</v>
      </c>
      <c r="T7" s="94">
        <f t="shared" ref="T7:T25" si="4">((O7-H7)/H7)</f>
        <v>3.2733224222585926E-3</v>
      </c>
      <c r="U7" s="95">
        <f t="shared" ref="U7:U25" si="5">P7-I7</f>
        <v>-2.4889999999999999E-3</v>
      </c>
      <c r="V7" s="96">
        <f t="shared" ref="V7:V25" si="6">Q7-J7</f>
        <v>-3.8300000000000001E-2</v>
      </c>
    </row>
    <row r="8" spans="1:25">
      <c r="A8" s="61">
        <v>3</v>
      </c>
      <c r="B8" s="62" t="s">
        <v>24</v>
      </c>
      <c r="C8" s="63" t="s">
        <v>25</v>
      </c>
      <c r="D8" s="64">
        <v>6960222307.1700001</v>
      </c>
      <c r="E8" s="65">
        <f t="shared" si="0"/>
        <v>8.7066458135779873E-2</v>
      </c>
      <c r="F8" s="64">
        <v>52.276000000000003</v>
      </c>
      <c r="G8" s="67">
        <v>53.852200000000003</v>
      </c>
      <c r="H8" s="68">
        <v>8011</v>
      </c>
      <c r="I8" s="90">
        <v>-3.7000000000000002E-3</v>
      </c>
      <c r="J8" s="90">
        <v>0.5696</v>
      </c>
      <c r="K8" s="64">
        <v>6836359599.3100004</v>
      </c>
      <c r="L8" s="65">
        <f t="shared" si="1"/>
        <v>8.8071347897720323E-2</v>
      </c>
      <c r="M8" s="64">
        <v>51.090600000000002</v>
      </c>
      <c r="N8" s="67">
        <v>52.631</v>
      </c>
      <c r="O8" s="68">
        <v>8118</v>
      </c>
      <c r="P8" s="90">
        <v>-1.1823999999999999</v>
      </c>
      <c r="Q8" s="90">
        <v>0.51759999999999995</v>
      </c>
      <c r="R8" s="94">
        <f t="shared" si="2"/>
        <v>-1.7795797661865453E-2</v>
      </c>
      <c r="S8" s="94">
        <f t="shared" si="3"/>
        <v>-2.2676882281503878E-2</v>
      </c>
      <c r="T8" s="94">
        <f t="shared" si="4"/>
        <v>1.3356634627387343E-2</v>
      </c>
      <c r="U8" s="95">
        <f t="shared" si="5"/>
        <v>-1.1786999999999999</v>
      </c>
      <c r="V8" s="96">
        <f t="shared" si="6"/>
        <v>-5.2000000000000046E-2</v>
      </c>
      <c r="X8" s="97"/>
      <c r="Y8" s="97"/>
    </row>
    <row r="9" spans="1:25">
      <c r="A9" s="177">
        <v>4</v>
      </c>
      <c r="B9" s="175" t="s">
        <v>26</v>
      </c>
      <c r="C9" s="176" t="s">
        <v>27</v>
      </c>
      <c r="D9" s="64">
        <v>1250738458.72</v>
      </c>
      <c r="E9" s="65">
        <f t="shared" si="0"/>
        <v>1.5645673780099702E-2</v>
      </c>
      <c r="F9" s="64">
        <v>256.82490000000001</v>
      </c>
      <c r="G9" s="64">
        <v>256.82490000000001</v>
      </c>
      <c r="H9" s="66">
        <v>2260</v>
      </c>
      <c r="I9" s="89">
        <v>-5.4999999999999997E-3</v>
      </c>
      <c r="J9" s="89">
        <v>0.32729999999999998</v>
      </c>
      <c r="K9" s="64">
        <v>1154935791.72</v>
      </c>
      <c r="L9" s="65">
        <f t="shared" si="1"/>
        <v>1.4878788986227047E-2</v>
      </c>
      <c r="M9" s="64">
        <v>246.60749999999999</v>
      </c>
      <c r="N9" s="64">
        <v>246.60749999999999</v>
      </c>
      <c r="O9" s="66">
        <v>2268</v>
      </c>
      <c r="P9" s="89">
        <v>-3.9800000000000002E-2</v>
      </c>
      <c r="Q9" s="89">
        <v>0.28060000000000002</v>
      </c>
      <c r="R9" s="94">
        <f t="shared" si="2"/>
        <v>-7.6596882691241472E-2</v>
      </c>
      <c r="S9" s="94">
        <f t="shared" si="3"/>
        <v>-3.9783525662815504E-2</v>
      </c>
      <c r="T9" s="94">
        <f t="shared" si="4"/>
        <v>3.5398230088495575E-3</v>
      </c>
      <c r="U9" s="95">
        <f t="shared" si="5"/>
        <v>-3.4300000000000004E-2</v>
      </c>
      <c r="V9" s="96">
        <f t="shared" si="6"/>
        <v>-4.6699999999999964E-2</v>
      </c>
    </row>
    <row r="10" spans="1:25">
      <c r="A10" s="61">
        <v>5</v>
      </c>
      <c r="B10" s="62" t="s">
        <v>28</v>
      </c>
      <c r="C10" s="63" t="s">
        <v>29</v>
      </c>
      <c r="D10" s="64">
        <v>1985672401.03</v>
      </c>
      <c r="E10" s="65">
        <f t="shared" si="0"/>
        <v>2.4839071993082155E-2</v>
      </c>
      <c r="F10" s="64">
        <v>1.6716</v>
      </c>
      <c r="G10" s="64">
        <v>1.6904999999999999</v>
      </c>
      <c r="H10" s="66">
        <v>896</v>
      </c>
      <c r="I10" s="89">
        <v>-1.1900000000000001E-2</v>
      </c>
      <c r="J10" s="89">
        <v>0.41510000000000002</v>
      </c>
      <c r="K10" s="64">
        <v>1911074117.27</v>
      </c>
      <c r="L10" s="65">
        <f t="shared" si="1"/>
        <v>2.4619956132413322E-2</v>
      </c>
      <c r="M10" s="64">
        <v>1.6144000000000001</v>
      </c>
      <c r="N10" s="64">
        <v>1.6325000000000001</v>
      </c>
      <c r="O10" s="66">
        <v>912</v>
      </c>
      <c r="P10" s="89">
        <v>-3.4299999999999997E-2</v>
      </c>
      <c r="Q10" s="89">
        <v>0.36890000000000001</v>
      </c>
      <c r="R10" s="94">
        <f t="shared" si="2"/>
        <v>-3.7568273458051124E-2</v>
      </c>
      <c r="S10" s="94">
        <f t="shared" si="3"/>
        <v>-3.430937592428266E-2</v>
      </c>
      <c r="T10" s="94">
        <f t="shared" si="4"/>
        <v>1.7857142857142856E-2</v>
      </c>
      <c r="U10" s="95">
        <f t="shared" si="5"/>
        <v>-2.2399999999999996E-2</v>
      </c>
      <c r="V10" s="96">
        <f t="shared" si="6"/>
        <v>-4.6200000000000019E-2</v>
      </c>
    </row>
    <row r="11" spans="1:25">
      <c r="A11" s="177">
        <v>6</v>
      </c>
      <c r="B11" s="175" t="s">
        <v>30</v>
      </c>
      <c r="C11" s="176" t="s">
        <v>31</v>
      </c>
      <c r="D11" s="69">
        <v>210126566.53</v>
      </c>
      <c r="E11" s="65">
        <f t="shared" si="0"/>
        <v>2.6285045362923298E-3</v>
      </c>
      <c r="F11" s="64">
        <v>215.626</v>
      </c>
      <c r="G11" s="64">
        <v>217.49250000000001</v>
      </c>
      <c r="H11" s="68">
        <v>102</v>
      </c>
      <c r="I11" s="90">
        <v>1.46E-4</v>
      </c>
      <c r="J11" s="90">
        <v>0.2863</v>
      </c>
      <c r="K11" s="69">
        <v>206021693.16999999</v>
      </c>
      <c r="L11" s="65">
        <f t="shared" si="1"/>
        <v>2.6541330879498804E-3</v>
      </c>
      <c r="M11" s="64">
        <v>211.2413</v>
      </c>
      <c r="N11" s="64">
        <v>213.0592</v>
      </c>
      <c r="O11" s="68">
        <v>104</v>
      </c>
      <c r="P11" s="90">
        <v>-4.1149999999999997E-3</v>
      </c>
      <c r="Q11" s="90">
        <v>0.2792</v>
      </c>
      <c r="R11" s="94">
        <f t="shared" si="2"/>
        <v>-1.9535242153276022E-2</v>
      </c>
      <c r="S11" s="94">
        <f t="shared" si="3"/>
        <v>-2.0383691391657195E-2</v>
      </c>
      <c r="T11" s="94">
        <f t="shared" si="4"/>
        <v>1.9607843137254902E-2</v>
      </c>
      <c r="U11" s="95">
        <f t="shared" si="5"/>
        <v>-4.261E-3</v>
      </c>
      <c r="V11" s="96">
        <f t="shared" si="6"/>
        <v>-7.0999999999999952E-3</v>
      </c>
    </row>
    <row r="12" spans="1:25">
      <c r="A12" s="177">
        <v>7</v>
      </c>
      <c r="B12" s="175" t="s">
        <v>32</v>
      </c>
      <c r="C12" s="176" t="s">
        <v>33</v>
      </c>
      <c r="D12" s="64">
        <v>2798133911.96</v>
      </c>
      <c r="E12" s="65">
        <f t="shared" si="0"/>
        <v>3.5002274116015662E-2</v>
      </c>
      <c r="F12" s="64">
        <v>499.2</v>
      </c>
      <c r="G12" s="64">
        <v>506.26</v>
      </c>
      <c r="H12" s="68">
        <v>1839</v>
      </c>
      <c r="I12" s="90">
        <v>-9.4999999999999998E-3</v>
      </c>
      <c r="J12" s="90">
        <v>0.54159999999999997</v>
      </c>
      <c r="K12" s="64">
        <v>2732029537.73</v>
      </c>
      <c r="L12" s="65">
        <f t="shared" si="1"/>
        <v>3.5196147948178762E-2</v>
      </c>
      <c r="M12" s="64">
        <v>486.21</v>
      </c>
      <c r="N12" s="64">
        <v>493.01</v>
      </c>
      <c r="O12" s="68">
        <v>1838</v>
      </c>
      <c r="P12" s="90">
        <v>-2.6100000000000002E-2</v>
      </c>
      <c r="Q12" s="90">
        <v>0.50149999999999995</v>
      </c>
      <c r="R12" s="94">
        <f t="shared" si="2"/>
        <v>-2.3624449833316269E-2</v>
      </c>
      <c r="S12" s="94">
        <f t="shared" si="3"/>
        <v>-2.6172322522024258E-2</v>
      </c>
      <c r="T12" s="94">
        <f t="shared" si="4"/>
        <v>-5.4377379010331697E-4</v>
      </c>
      <c r="U12" s="95">
        <f t="shared" si="5"/>
        <v>-1.6600000000000004E-2</v>
      </c>
      <c r="V12" s="96">
        <f t="shared" si="6"/>
        <v>-4.0100000000000025E-2</v>
      </c>
    </row>
    <row r="13" spans="1:25">
      <c r="A13" s="61">
        <v>8</v>
      </c>
      <c r="B13" s="62" t="s">
        <v>34</v>
      </c>
      <c r="C13" s="63" t="s">
        <v>35</v>
      </c>
      <c r="D13" s="70">
        <v>473477331.33999997</v>
      </c>
      <c r="E13" s="65">
        <f t="shared" si="0"/>
        <v>5.9227985009743757E-3</v>
      </c>
      <c r="F13" s="64">
        <v>235.66</v>
      </c>
      <c r="G13" s="64">
        <v>247.36</v>
      </c>
      <c r="H13" s="66">
        <v>2469</v>
      </c>
      <c r="I13" s="89">
        <v>-6.4000000000000001E-2</v>
      </c>
      <c r="J13" s="89">
        <v>0.1128</v>
      </c>
      <c r="K13" s="70">
        <v>494128884.77999997</v>
      </c>
      <c r="L13" s="65">
        <f t="shared" si="1"/>
        <v>6.3657559678639937E-3</v>
      </c>
      <c r="M13" s="64">
        <v>245.94</v>
      </c>
      <c r="N13" s="64">
        <v>256.67</v>
      </c>
      <c r="O13" s="66">
        <v>2469</v>
      </c>
      <c r="P13" s="89">
        <v>4.36E-2</v>
      </c>
      <c r="Q13" s="89">
        <v>0.1613</v>
      </c>
      <c r="R13" s="94">
        <f t="shared" si="2"/>
        <v>4.3616773334329485E-2</v>
      </c>
      <c r="S13" s="94">
        <f t="shared" si="3"/>
        <v>3.7637451487710229E-2</v>
      </c>
      <c r="T13" s="94">
        <f t="shared" si="4"/>
        <v>0</v>
      </c>
      <c r="U13" s="95">
        <f t="shared" si="5"/>
        <v>0.1076</v>
      </c>
      <c r="V13" s="96">
        <f t="shared" si="6"/>
        <v>4.8500000000000001E-2</v>
      </c>
    </row>
    <row r="14" spans="1:25">
      <c r="A14" s="61">
        <v>9</v>
      </c>
      <c r="B14" s="62" t="s">
        <v>36</v>
      </c>
      <c r="C14" s="63" t="s">
        <v>37</v>
      </c>
      <c r="D14" s="69">
        <v>91081248.308599994</v>
      </c>
      <c r="E14" s="65">
        <f t="shared" si="0"/>
        <v>1.1393489091068487E-3</v>
      </c>
      <c r="F14" s="64">
        <v>324.83</v>
      </c>
      <c r="G14" s="64">
        <v>333.5</v>
      </c>
      <c r="H14" s="66">
        <v>23</v>
      </c>
      <c r="I14" s="89">
        <v>-1.7399999999999999E-2</v>
      </c>
      <c r="J14" s="89">
        <v>0.46639999999999998</v>
      </c>
      <c r="K14" s="69">
        <v>88343433.173500001</v>
      </c>
      <c r="L14" s="65">
        <f t="shared" si="1"/>
        <v>1.1381094169311426E-3</v>
      </c>
      <c r="M14" s="64">
        <v>315.14999999999998</v>
      </c>
      <c r="N14" s="64">
        <v>323.41000000000003</v>
      </c>
      <c r="O14" s="66">
        <v>23</v>
      </c>
      <c r="P14" s="89">
        <v>-3.0099999999999998E-2</v>
      </c>
      <c r="Q14" s="89">
        <v>0.42230000000000001</v>
      </c>
      <c r="R14" s="94">
        <f t="shared" si="2"/>
        <v>-3.0059042733184462E-2</v>
      </c>
      <c r="S14" s="94">
        <f t="shared" si="3"/>
        <v>-3.0254872563718067E-2</v>
      </c>
      <c r="T14" s="94">
        <f t="shared" si="4"/>
        <v>0</v>
      </c>
      <c r="U14" s="95">
        <f t="shared" si="5"/>
        <v>-1.2699999999999999E-2</v>
      </c>
      <c r="V14" s="96">
        <f t="shared" si="6"/>
        <v>-4.4099999999999973E-2</v>
      </c>
    </row>
    <row r="15" spans="1:25" ht="14.25" customHeight="1">
      <c r="A15" s="177">
        <v>10</v>
      </c>
      <c r="B15" s="175" t="s">
        <v>38</v>
      </c>
      <c r="C15" s="176" t="s">
        <v>39</v>
      </c>
      <c r="D15" s="70">
        <v>2788484852.52</v>
      </c>
      <c r="E15" s="65">
        <f t="shared" si="0"/>
        <v>3.4881572593462716E-2</v>
      </c>
      <c r="F15" s="64">
        <v>3.9676140000000002</v>
      </c>
      <c r="G15" s="64">
        <v>3.993538</v>
      </c>
      <c r="H15" s="66">
        <v>2291</v>
      </c>
      <c r="I15" s="89">
        <v>5.1000000000000004E-3</v>
      </c>
      <c r="J15" s="89">
        <v>0.89419999999999999</v>
      </c>
      <c r="K15" s="70">
        <v>2703398400.0100002</v>
      </c>
      <c r="L15" s="65">
        <f t="shared" si="1"/>
        <v>3.4827299169202866E-2</v>
      </c>
      <c r="M15" s="64">
        <v>3.8248540000000002</v>
      </c>
      <c r="N15" s="64">
        <v>3.852338</v>
      </c>
      <c r="O15" s="66">
        <v>2455</v>
      </c>
      <c r="P15" s="89">
        <v>-3.5999999999999997E-2</v>
      </c>
      <c r="Q15" s="89">
        <v>0.82599999999999996</v>
      </c>
      <c r="R15" s="94">
        <f t="shared" si="2"/>
        <v>-3.0513507158952544E-2</v>
      </c>
      <c r="S15" s="94">
        <f t="shared" si="3"/>
        <v>-3.5357119426433402E-2</v>
      </c>
      <c r="T15" s="94">
        <f t="shared" si="4"/>
        <v>7.1584460934089919E-2</v>
      </c>
      <c r="U15" s="95">
        <f t="shared" si="5"/>
        <v>-4.1099999999999998E-2</v>
      </c>
      <c r="V15" s="96">
        <f t="shared" si="6"/>
        <v>-6.8200000000000038E-2</v>
      </c>
    </row>
    <row r="16" spans="1:25" ht="14.25" customHeight="1">
      <c r="A16" s="181">
        <v>11</v>
      </c>
      <c r="B16" s="175" t="s">
        <v>40</v>
      </c>
      <c r="C16" s="176" t="s">
        <v>41</v>
      </c>
      <c r="D16" s="70">
        <v>114532116.03</v>
      </c>
      <c r="E16" s="65">
        <f t="shared" si="0"/>
        <v>1.432699308362008E-3</v>
      </c>
      <c r="F16" s="64">
        <v>25.91</v>
      </c>
      <c r="G16" s="64">
        <v>26.29</v>
      </c>
      <c r="H16" s="66">
        <v>72</v>
      </c>
      <c r="I16" s="89">
        <v>-1.14E-2</v>
      </c>
      <c r="J16" s="89">
        <v>1.59</v>
      </c>
      <c r="K16" s="70">
        <v>114781975.42</v>
      </c>
      <c r="L16" s="65">
        <f t="shared" si="1"/>
        <v>1.4787114607930679E-3</v>
      </c>
      <c r="M16" s="64">
        <v>25.74</v>
      </c>
      <c r="N16" s="64">
        <v>26.14</v>
      </c>
      <c r="O16" s="66">
        <v>72</v>
      </c>
      <c r="P16" s="89">
        <v>-6.4000000000000003E-3</v>
      </c>
      <c r="Q16" s="89">
        <v>1.57</v>
      </c>
      <c r="R16" s="94">
        <f t="shared" ref="R16" si="7">((K16-D16)/D16)</f>
        <v>2.1815661725358643E-3</v>
      </c>
      <c r="S16" s="94">
        <f t="shared" ref="S16" si="8">((N16-G16)/G16)</f>
        <v>-5.7055914796500032E-3</v>
      </c>
      <c r="T16" s="94">
        <f t="shared" ref="T16" si="9">((O16-H16)/H16)</f>
        <v>0</v>
      </c>
      <c r="U16" s="95">
        <f t="shared" ref="U16" si="10">P16-I16</f>
        <v>5.0000000000000001E-3</v>
      </c>
      <c r="V16" s="96">
        <f t="shared" ref="V16" si="11">Q16-J16</f>
        <v>-2.0000000000000018E-2</v>
      </c>
    </row>
    <row r="17" spans="1:22">
      <c r="A17" s="177">
        <v>12</v>
      </c>
      <c r="B17" s="175" t="s">
        <v>42</v>
      </c>
      <c r="C17" s="176" t="s">
        <v>43</v>
      </c>
      <c r="D17" s="71">
        <v>2651100554.9099998</v>
      </c>
      <c r="E17" s="65">
        <f t="shared" si="0"/>
        <v>3.3163011940011672E-2</v>
      </c>
      <c r="F17" s="64">
        <v>5.36</v>
      </c>
      <c r="G17" s="64">
        <v>5.36</v>
      </c>
      <c r="H17" s="66">
        <v>3687</v>
      </c>
      <c r="I17" s="89">
        <v>-1.7500000000000002E-2</v>
      </c>
      <c r="J17" s="89">
        <v>0.4728</v>
      </c>
      <c r="K17" s="71">
        <v>2594583364.75</v>
      </c>
      <c r="L17" s="65">
        <f t="shared" si="1"/>
        <v>3.3425458512977957E-2</v>
      </c>
      <c r="M17" s="64">
        <v>5.28</v>
      </c>
      <c r="N17" s="64">
        <v>5.39</v>
      </c>
      <c r="O17" s="66">
        <v>3694</v>
      </c>
      <c r="P17" s="89">
        <v>-2.5399999999999999E-2</v>
      </c>
      <c r="Q17" s="89">
        <v>0.45029999999999998</v>
      </c>
      <c r="R17" s="94">
        <f t="shared" si="2"/>
        <v>-2.1318387963567269E-2</v>
      </c>
      <c r="S17" s="94">
        <f t="shared" si="3"/>
        <v>5.5970149253730143E-3</v>
      </c>
      <c r="T17" s="94">
        <f t="shared" si="4"/>
        <v>1.898562516951451E-3</v>
      </c>
      <c r="U17" s="95">
        <f t="shared" si="5"/>
        <v>-7.8999999999999973E-3</v>
      </c>
      <c r="V17" s="96">
        <f t="shared" si="6"/>
        <v>-2.250000000000002E-2</v>
      </c>
    </row>
    <row r="18" spans="1:22">
      <c r="A18" s="61">
        <v>13</v>
      </c>
      <c r="B18" s="62" t="s">
        <v>44</v>
      </c>
      <c r="C18" s="63" t="s">
        <v>45</v>
      </c>
      <c r="D18" s="64">
        <v>4035793642.8099999</v>
      </c>
      <c r="E18" s="65">
        <f t="shared" si="0"/>
        <v>5.048434414004143E-2</v>
      </c>
      <c r="F18" s="64">
        <v>33.340000000000003</v>
      </c>
      <c r="G18" s="64">
        <v>33.340000000000003</v>
      </c>
      <c r="H18" s="66">
        <v>997</v>
      </c>
      <c r="I18" s="89">
        <v>-1.89E-2</v>
      </c>
      <c r="J18" s="89">
        <v>0.41760000000000003</v>
      </c>
      <c r="K18" s="64">
        <v>3915879879.8699999</v>
      </c>
      <c r="L18" s="65">
        <f t="shared" si="1"/>
        <v>5.0447436858137587E-2</v>
      </c>
      <c r="M18" s="64">
        <v>32.200000000000003</v>
      </c>
      <c r="N18" s="64">
        <v>32.270000000000003</v>
      </c>
      <c r="O18" s="66">
        <v>1018</v>
      </c>
      <c r="P18" s="89">
        <v>-3.4099999999999998E-2</v>
      </c>
      <c r="Q18" s="89">
        <v>0.37080000000000002</v>
      </c>
      <c r="R18" s="94">
        <f t="shared" si="2"/>
        <v>-2.9712560540262847E-2</v>
      </c>
      <c r="S18" s="94">
        <f t="shared" si="3"/>
        <v>-3.2093581283743254E-2</v>
      </c>
      <c r="T18" s="94">
        <f t="shared" si="4"/>
        <v>2.106318956870612E-2</v>
      </c>
      <c r="U18" s="95">
        <f t="shared" si="5"/>
        <v>-1.5199999999999998E-2</v>
      </c>
      <c r="V18" s="96">
        <f t="shared" si="6"/>
        <v>-4.6800000000000008E-2</v>
      </c>
    </row>
    <row r="19" spans="1:22">
      <c r="A19" s="61">
        <v>14</v>
      </c>
      <c r="B19" s="62" t="s">
        <v>46</v>
      </c>
      <c r="C19" s="63" t="s">
        <v>47</v>
      </c>
      <c r="D19" s="64">
        <v>188732972.03</v>
      </c>
      <c r="E19" s="65">
        <f t="shared" si="0"/>
        <v>2.3608888743630696E-3</v>
      </c>
      <c r="F19" s="64">
        <v>2.0299999999999998</v>
      </c>
      <c r="G19" s="64">
        <v>2.1</v>
      </c>
      <c r="H19" s="66">
        <v>26</v>
      </c>
      <c r="I19" s="89">
        <v>-1.61E-2</v>
      </c>
      <c r="J19" s="89">
        <v>0.4541</v>
      </c>
      <c r="K19" s="64">
        <v>184501911.72</v>
      </c>
      <c r="L19" s="65">
        <f t="shared" si="1"/>
        <v>2.3768983797351241E-3</v>
      </c>
      <c r="M19" s="64">
        <v>1.98</v>
      </c>
      <c r="N19" s="64">
        <v>2.06</v>
      </c>
      <c r="O19" s="66">
        <v>26</v>
      </c>
      <c r="P19" s="89">
        <v>4.0500000000000001E-2</v>
      </c>
      <c r="Q19" s="89">
        <v>0.4224</v>
      </c>
      <c r="R19" s="94">
        <f t="shared" si="2"/>
        <v>-2.2418236010862243E-2</v>
      </c>
      <c r="S19" s="94">
        <f t="shared" si="3"/>
        <v>-1.9047619047619063E-2</v>
      </c>
      <c r="T19" s="94">
        <f t="shared" si="4"/>
        <v>0</v>
      </c>
      <c r="U19" s="95">
        <f t="shared" si="5"/>
        <v>5.6599999999999998E-2</v>
      </c>
      <c r="V19" s="96">
        <f t="shared" si="6"/>
        <v>-3.1700000000000006E-2</v>
      </c>
    </row>
    <row r="20" spans="1:22">
      <c r="A20" s="177">
        <v>15</v>
      </c>
      <c r="B20" s="175" t="s">
        <v>48</v>
      </c>
      <c r="C20" s="176" t="s">
        <v>49</v>
      </c>
      <c r="D20" s="70">
        <v>8379034093.4700003</v>
      </c>
      <c r="E20" s="65">
        <f t="shared" si="0"/>
        <v>0.10481458621887084</v>
      </c>
      <c r="F20" s="64">
        <v>50.44</v>
      </c>
      <c r="G20" s="64">
        <v>50.54</v>
      </c>
      <c r="H20" s="66">
        <v>8944</v>
      </c>
      <c r="I20" s="89">
        <v>-2.6700000000000002E-2</v>
      </c>
      <c r="J20" s="89">
        <v>0.66520000000000001</v>
      </c>
      <c r="K20" s="70">
        <v>8379034093.4700003</v>
      </c>
      <c r="L20" s="65">
        <f t="shared" si="1"/>
        <v>0.10794529105334631</v>
      </c>
      <c r="M20" s="64">
        <v>48.68</v>
      </c>
      <c r="N20" s="64">
        <v>48.8</v>
      </c>
      <c r="O20" s="66">
        <v>8944</v>
      </c>
      <c r="P20" s="89">
        <v>-4.0599999999999997E-2</v>
      </c>
      <c r="Q20" s="89">
        <v>0.59860000000000002</v>
      </c>
      <c r="R20" s="94">
        <f t="shared" si="2"/>
        <v>0</v>
      </c>
      <c r="S20" s="94">
        <f t="shared" si="3"/>
        <v>-3.4428175702413973E-2</v>
      </c>
      <c r="T20" s="94">
        <f t="shared" si="4"/>
        <v>0</v>
      </c>
      <c r="U20" s="95">
        <f t="shared" si="5"/>
        <v>-1.3899999999999996E-2</v>
      </c>
      <c r="V20" s="96">
        <f t="shared" si="6"/>
        <v>-6.6599999999999993E-2</v>
      </c>
    </row>
    <row r="21" spans="1:22" ht="12.75" customHeight="1">
      <c r="A21" s="177">
        <v>16</v>
      </c>
      <c r="B21" s="175" t="s">
        <v>50</v>
      </c>
      <c r="C21" s="176" t="s">
        <v>51</v>
      </c>
      <c r="D21" s="64">
        <v>1550792209.96</v>
      </c>
      <c r="E21" s="65">
        <f t="shared" si="0"/>
        <v>1.9399090871951664E-2</v>
      </c>
      <c r="F21" s="64">
        <v>12495.79</v>
      </c>
      <c r="G21" s="64">
        <v>12665.97</v>
      </c>
      <c r="H21" s="66">
        <v>28</v>
      </c>
      <c r="I21" s="89">
        <v>-1.8800000000000001E-2</v>
      </c>
      <c r="J21" s="89">
        <v>0.56159999999999999</v>
      </c>
      <c r="K21" s="64">
        <v>1480037465.1900001</v>
      </c>
      <c r="L21" s="65">
        <f t="shared" si="1"/>
        <v>1.9067003805880084E-2</v>
      </c>
      <c r="M21" s="64">
        <v>11996.9</v>
      </c>
      <c r="N21" s="64">
        <v>12159.15</v>
      </c>
      <c r="O21" s="66">
        <v>29</v>
      </c>
      <c r="P21" s="89">
        <v>-0.04</v>
      </c>
      <c r="Q21" s="89">
        <v>0.49909999999999999</v>
      </c>
      <c r="R21" s="94">
        <f t="shared" si="2"/>
        <v>-4.5624903398131578E-2</v>
      </c>
      <c r="S21" s="94">
        <f t="shared" si="3"/>
        <v>-4.0014306049990622E-2</v>
      </c>
      <c r="T21" s="94">
        <f t="shared" si="4"/>
        <v>3.5714285714285712E-2</v>
      </c>
      <c r="U21" s="95">
        <f t="shared" si="5"/>
        <v>-2.12E-2</v>
      </c>
      <c r="V21" s="96">
        <f t="shared" si="6"/>
        <v>-6.25E-2</v>
      </c>
    </row>
    <row r="22" spans="1:22">
      <c r="A22" s="177">
        <v>17</v>
      </c>
      <c r="B22" s="175" t="s">
        <v>52</v>
      </c>
      <c r="C22" s="176" t="s">
        <v>51</v>
      </c>
      <c r="D22" s="64">
        <v>24781239958.59</v>
      </c>
      <c r="E22" s="65">
        <f t="shared" si="0"/>
        <v>0.30999222383811614</v>
      </c>
      <c r="F22" s="64">
        <v>41873.879999999997</v>
      </c>
      <c r="G22" s="64">
        <v>42447.32</v>
      </c>
      <c r="H22" s="66">
        <v>19518</v>
      </c>
      <c r="I22" s="89">
        <v>-1.32E-2</v>
      </c>
      <c r="J22" s="89">
        <v>0.65159999999999996</v>
      </c>
      <c r="K22" s="64">
        <v>24069754551.57</v>
      </c>
      <c r="L22" s="65">
        <f t="shared" ref="L22:L24" si="12">(K22/$K$25)</f>
        <v>0.31008546231798828</v>
      </c>
      <c r="M22" s="64">
        <v>40684.85</v>
      </c>
      <c r="N22" s="64">
        <v>41236.879999999997</v>
      </c>
      <c r="O22" s="66">
        <v>19598</v>
      </c>
      <c r="P22" s="89">
        <v>-2.8500000000000001E-2</v>
      </c>
      <c r="Q22" s="89">
        <v>0.60450000000000004</v>
      </c>
      <c r="R22" s="94">
        <f t="shared" si="2"/>
        <v>-2.8710645964806776E-2</v>
      </c>
      <c r="S22" s="94">
        <f t="shared" si="3"/>
        <v>-2.8516287954104106E-2</v>
      </c>
      <c r="T22" s="94">
        <f t="shared" si="4"/>
        <v>4.0987806127677018E-3</v>
      </c>
      <c r="U22" s="95">
        <f t="shared" si="5"/>
        <v>-1.5300000000000001E-2</v>
      </c>
      <c r="V22" s="96">
        <f t="shared" si="6"/>
        <v>-4.709999999999992E-2</v>
      </c>
    </row>
    <row r="23" spans="1:22">
      <c r="A23" s="61">
        <v>18</v>
      </c>
      <c r="B23" s="63" t="s">
        <v>53</v>
      </c>
      <c r="C23" s="63" t="s">
        <v>54</v>
      </c>
      <c r="D23" s="64">
        <v>6376768324.1300001</v>
      </c>
      <c r="E23" s="65">
        <f t="shared" ref="E23:E24" si="13">(D23/$D$25)</f>
        <v>7.9767945308657121E-2</v>
      </c>
      <c r="F23" s="64">
        <v>1.9334</v>
      </c>
      <c r="G23" s="72">
        <v>1.9536</v>
      </c>
      <c r="H23" s="66">
        <v>6346</v>
      </c>
      <c r="I23" s="89">
        <v>-6.0000000000000001E-3</v>
      </c>
      <c r="J23" s="89">
        <v>0.48130000000000001</v>
      </c>
      <c r="K23" s="64">
        <v>6140794894.1899996</v>
      </c>
      <c r="L23" s="65">
        <f t="shared" si="12"/>
        <v>7.9110537653598323E-2</v>
      </c>
      <c r="M23" s="64">
        <v>1.8952</v>
      </c>
      <c r="N23" s="72">
        <v>1.915</v>
      </c>
      <c r="O23" s="66">
        <v>6432</v>
      </c>
      <c r="P23" s="89">
        <v>-1.9699999999999999E-2</v>
      </c>
      <c r="Q23" s="89">
        <v>0.45569999999999999</v>
      </c>
      <c r="R23" s="94">
        <f t="shared" ref="R23" si="14">((K23-D23)/D23)</f>
        <v>-3.7005175340472325E-2</v>
      </c>
      <c r="S23" s="94">
        <f t="shared" ref="S23" si="15">((N23-G23)/G23)</f>
        <v>-1.9758394758394741E-2</v>
      </c>
      <c r="T23" s="94">
        <f t="shared" ref="T23" si="16">((O23-H23)/H23)</f>
        <v>1.3551843681058934E-2</v>
      </c>
      <c r="U23" s="95">
        <f t="shared" ref="U23" si="17">P23-I23</f>
        <v>-1.3699999999999999E-2</v>
      </c>
      <c r="V23" s="96">
        <f t="shared" ref="V23" si="18">Q23-J23</f>
        <v>-2.5600000000000012E-2</v>
      </c>
    </row>
    <row r="24" spans="1:22">
      <c r="A24" s="61">
        <v>19</v>
      </c>
      <c r="B24" s="63" t="s">
        <v>55</v>
      </c>
      <c r="C24" s="63" t="s">
        <v>56</v>
      </c>
      <c r="D24" s="64">
        <v>9655048986.4200001</v>
      </c>
      <c r="E24" s="65">
        <f t="shared" si="13"/>
        <v>0.12077644668174949</v>
      </c>
      <c r="F24" s="64">
        <v>211.47</v>
      </c>
      <c r="G24" s="72">
        <v>215.05</v>
      </c>
      <c r="H24" s="66">
        <v>77</v>
      </c>
      <c r="I24" s="89">
        <v>-2.6599999999999999E-2</v>
      </c>
      <c r="J24" s="89">
        <v>0.73760000000000003</v>
      </c>
      <c r="K24" s="64">
        <v>9138942799.9599991</v>
      </c>
      <c r="L24" s="65">
        <f t="shared" si="12"/>
        <v>0.11773503120489455</v>
      </c>
      <c r="M24" s="64">
        <v>200.18</v>
      </c>
      <c r="N24" s="72">
        <v>203.54</v>
      </c>
      <c r="O24" s="66">
        <v>77</v>
      </c>
      <c r="P24" s="89">
        <v>-5.3499999999999999E-2</v>
      </c>
      <c r="Q24" s="89">
        <v>0.64470000000000005</v>
      </c>
      <c r="R24" s="94">
        <f t="shared" si="2"/>
        <v>-5.3454538364943939E-2</v>
      </c>
      <c r="S24" s="94">
        <f t="shared" si="3"/>
        <v>-5.3522436642641336E-2</v>
      </c>
      <c r="T24" s="94">
        <f t="shared" si="4"/>
        <v>0</v>
      </c>
      <c r="U24" s="95">
        <f t="shared" si="5"/>
        <v>-2.69E-2</v>
      </c>
      <c r="V24" s="96">
        <f t="shared" si="6"/>
        <v>-9.2899999999999983E-2</v>
      </c>
    </row>
    <row r="25" spans="1:22">
      <c r="A25" s="73"/>
      <c r="B25" s="74"/>
      <c r="C25" s="75" t="s">
        <v>57</v>
      </c>
      <c r="D25" s="76">
        <f>SUM(D6:D24)</f>
        <v>79941489021.128601</v>
      </c>
      <c r="E25" s="77">
        <f>(D25/$D$229)</f>
        <v>1.1251882014567945E-2</v>
      </c>
      <c r="F25" s="78"/>
      <c r="G25" s="79"/>
      <c r="H25" s="80">
        <f>SUM(H6:H24)</f>
        <v>59892</v>
      </c>
      <c r="I25" s="91"/>
      <c r="J25" s="66">
        <v>0</v>
      </c>
      <c r="K25" s="76">
        <f>SUM(K6:K24)</f>
        <v>77622970040.713501</v>
      </c>
      <c r="L25" s="77">
        <f>(K25/$K$229)</f>
        <v>1.0839072497064813E-2</v>
      </c>
      <c r="M25" s="78"/>
      <c r="N25" s="79"/>
      <c r="O25" s="80">
        <f>SUM(O6:O24)</f>
        <v>60385</v>
      </c>
      <c r="P25" s="91"/>
      <c r="Q25" s="80"/>
      <c r="R25" s="94">
        <f t="shared" si="2"/>
        <v>-2.9002699459379767E-2</v>
      </c>
      <c r="S25" s="94" t="e">
        <f t="shared" si="3"/>
        <v>#DIV/0!</v>
      </c>
      <c r="T25" s="94">
        <f t="shared" si="4"/>
        <v>8.2314833366726771E-3</v>
      </c>
      <c r="U25" s="95">
        <f t="shared" si="5"/>
        <v>0</v>
      </c>
      <c r="V25" s="96">
        <f t="shared" si="6"/>
        <v>0</v>
      </c>
    </row>
    <row r="26" spans="1:22" ht="4.5" customHeight="1">
      <c r="A26" s="7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22" ht="15" customHeight="1">
      <c r="A27" s="191" t="s">
        <v>58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</row>
    <row r="28" spans="1:22">
      <c r="A28" s="82">
        <v>20</v>
      </c>
      <c r="B28" s="62" t="s">
        <v>59</v>
      </c>
      <c r="C28" s="63" t="s">
        <v>21</v>
      </c>
      <c r="D28" s="83">
        <v>5078348617.8699999</v>
      </c>
      <c r="E28" s="65">
        <f t="shared" ref="E28:E33" si="19">(D28/$K$71)</f>
        <v>1.1561727744901849E-3</v>
      </c>
      <c r="F28" s="72">
        <v>100</v>
      </c>
      <c r="G28" s="72">
        <v>100</v>
      </c>
      <c r="H28" s="66">
        <v>879</v>
      </c>
      <c r="I28" s="89">
        <v>0.16830000000000001</v>
      </c>
      <c r="J28" s="89">
        <v>0.16830000000000001</v>
      </c>
      <c r="K28" s="83">
        <v>5197209494.1300001</v>
      </c>
      <c r="L28" s="65">
        <f t="shared" ref="L28:L33" si="20">(K28/$K$71)</f>
        <v>1.1832334824928385E-3</v>
      </c>
      <c r="M28" s="72">
        <v>100</v>
      </c>
      <c r="N28" s="72">
        <v>100</v>
      </c>
      <c r="O28" s="66">
        <v>879</v>
      </c>
      <c r="P28" s="89">
        <v>0.1605</v>
      </c>
      <c r="Q28" s="89">
        <v>0.1605</v>
      </c>
      <c r="R28" s="94">
        <f>((K28-D28)/D28)</f>
        <v>2.3405418809127321E-2</v>
      </c>
      <c r="S28" s="94">
        <f>((N28-G28)/G28)</f>
        <v>0</v>
      </c>
      <c r="T28" s="94">
        <f>((O28-H28)/H28)</f>
        <v>0</v>
      </c>
      <c r="U28" s="95">
        <f>P28-I28</f>
        <v>-7.8000000000000014E-3</v>
      </c>
      <c r="V28" s="96">
        <f>Q28-J28</f>
        <v>-7.8000000000000014E-3</v>
      </c>
    </row>
    <row r="29" spans="1:22">
      <c r="A29" s="174">
        <v>21</v>
      </c>
      <c r="B29" s="175" t="s">
        <v>60</v>
      </c>
      <c r="C29" s="176" t="s">
        <v>61</v>
      </c>
      <c r="D29" s="83">
        <v>29234843052.82</v>
      </c>
      <c r="E29" s="65">
        <f t="shared" si="19"/>
        <v>6.6558111991809037E-3</v>
      </c>
      <c r="F29" s="72">
        <v>100</v>
      </c>
      <c r="G29" s="72">
        <v>100</v>
      </c>
      <c r="H29" s="66">
        <v>3577</v>
      </c>
      <c r="I29" s="89">
        <v>0.20269799999999999</v>
      </c>
      <c r="J29" s="89">
        <v>0.20269799999999999</v>
      </c>
      <c r="K29" s="83">
        <v>29936277500.419998</v>
      </c>
      <c r="L29" s="65">
        <f t="shared" si="20"/>
        <v>6.8155047280085536E-3</v>
      </c>
      <c r="M29" s="72">
        <v>100</v>
      </c>
      <c r="N29" s="72">
        <v>100</v>
      </c>
      <c r="O29" s="66">
        <v>3612</v>
      </c>
      <c r="P29" s="89">
        <v>0.190221</v>
      </c>
      <c r="Q29" s="89">
        <v>0.190221</v>
      </c>
      <c r="R29" s="94">
        <f t="shared" ref="R29:R71" si="21">((K29-D29)/D29)</f>
        <v>2.3993097768053109E-2</v>
      </c>
      <c r="S29" s="94">
        <f t="shared" ref="S29:S71" si="22">((N29-G29)/G29)</f>
        <v>0</v>
      </c>
      <c r="T29" s="94">
        <f t="shared" ref="T29:T71" si="23">((O29-H29)/H29)</f>
        <v>9.7847358121330719E-3</v>
      </c>
      <c r="U29" s="95">
        <f t="shared" ref="U29:U71" si="24">P29-I29</f>
        <v>-1.2476999999999988E-2</v>
      </c>
      <c r="V29" s="96">
        <f t="shared" ref="V29:V71" si="25">Q29-J29</f>
        <v>-1.2476999999999988E-2</v>
      </c>
    </row>
    <row r="30" spans="1:22">
      <c r="A30" s="82">
        <v>22</v>
      </c>
      <c r="B30" s="62" t="s">
        <v>62</v>
      </c>
      <c r="C30" s="63" t="s">
        <v>23</v>
      </c>
      <c r="D30" s="83">
        <v>2536936176.1999998</v>
      </c>
      <c r="E30" s="65">
        <f t="shared" si="19"/>
        <v>5.7757683811236911E-4</v>
      </c>
      <c r="F30" s="72">
        <v>100</v>
      </c>
      <c r="G30" s="72">
        <v>100</v>
      </c>
      <c r="H30" s="66">
        <v>2259</v>
      </c>
      <c r="I30" s="89">
        <v>0.1895</v>
      </c>
      <c r="J30" s="89">
        <v>0.1895</v>
      </c>
      <c r="K30" s="83">
        <v>2517286380.8299999</v>
      </c>
      <c r="L30" s="65">
        <f t="shared" si="20"/>
        <v>5.7310322668066203E-4</v>
      </c>
      <c r="M30" s="72">
        <v>100</v>
      </c>
      <c r="N30" s="72">
        <v>100</v>
      </c>
      <c r="O30" s="66">
        <v>2268</v>
      </c>
      <c r="P30" s="89">
        <v>0.18940000000000001</v>
      </c>
      <c r="Q30" s="89">
        <v>0.18940000000000001</v>
      </c>
      <c r="R30" s="94">
        <f t="shared" si="21"/>
        <v>-7.7454827418767472E-3</v>
      </c>
      <c r="S30" s="94">
        <f t="shared" si="22"/>
        <v>0</v>
      </c>
      <c r="T30" s="94">
        <f t="shared" si="23"/>
        <v>3.9840637450199202E-3</v>
      </c>
      <c r="U30" s="95">
        <f t="shared" si="24"/>
        <v>-9.9999999999988987E-5</v>
      </c>
      <c r="V30" s="96">
        <f t="shared" si="25"/>
        <v>-9.9999999999988987E-5</v>
      </c>
    </row>
    <row r="31" spans="1:22">
      <c r="A31" s="82">
        <v>23</v>
      </c>
      <c r="B31" s="62" t="s">
        <v>63</v>
      </c>
      <c r="C31" s="63" t="s">
        <v>25</v>
      </c>
      <c r="D31" s="83">
        <v>295292376904.45001</v>
      </c>
      <c r="E31" s="65">
        <f t="shared" si="19"/>
        <v>6.7228351651568138E-2</v>
      </c>
      <c r="F31" s="72">
        <v>1</v>
      </c>
      <c r="G31" s="72">
        <v>1</v>
      </c>
      <c r="H31" s="66">
        <v>76269</v>
      </c>
      <c r="I31" s="89">
        <v>0.1925</v>
      </c>
      <c r="J31" s="89">
        <v>0.1925</v>
      </c>
      <c r="K31" s="83">
        <v>299953894377.40997</v>
      </c>
      <c r="L31" s="65">
        <f t="shared" si="20"/>
        <v>6.8289625698623832E-2</v>
      </c>
      <c r="M31" s="72">
        <v>1</v>
      </c>
      <c r="N31" s="72">
        <v>1</v>
      </c>
      <c r="O31" s="66">
        <v>76584</v>
      </c>
      <c r="P31" s="89">
        <v>0.1908</v>
      </c>
      <c r="Q31" s="89">
        <v>0.1908</v>
      </c>
      <c r="R31" s="94">
        <f t="shared" si="21"/>
        <v>1.5786108404919383E-2</v>
      </c>
      <c r="S31" s="94">
        <f t="shared" si="22"/>
        <v>0</v>
      </c>
      <c r="T31" s="94">
        <f t="shared" si="23"/>
        <v>4.1301183967273726E-3</v>
      </c>
      <c r="U31" s="95">
        <f t="shared" si="24"/>
        <v>-1.7000000000000071E-3</v>
      </c>
      <c r="V31" s="96">
        <f t="shared" si="25"/>
        <v>-1.7000000000000071E-3</v>
      </c>
    </row>
    <row r="32" spans="1:22">
      <c r="A32" s="174">
        <v>24</v>
      </c>
      <c r="B32" s="175" t="s">
        <v>64</v>
      </c>
      <c r="C32" s="176" t="s">
        <v>65</v>
      </c>
      <c r="D32" s="83">
        <v>1464692689.3699999</v>
      </c>
      <c r="E32" s="65">
        <f t="shared" si="19"/>
        <v>3.3346230002513654E-4</v>
      </c>
      <c r="F32" s="72">
        <v>1</v>
      </c>
      <c r="G32" s="72">
        <v>1</v>
      </c>
      <c r="H32" s="66">
        <v>300</v>
      </c>
      <c r="I32" s="89">
        <v>0.17</v>
      </c>
      <c r="J32" s="89">
        <v>0.17</v>
      </c>
      <c r="K32" s="83">
        <v>1691943323.1600001</v>
      </c>
      <c r="L32" s="65">
        <f t="shared" si="20"/>
        <v>3.851997870596203E-4</v>
      </c>
      <c r="M32" s="72">
        <v>1</v>
      </c>
      <c r="N32" s="72">
        <v>1</v>
      </c>
      <c r="O32" s="66">
        <v>300</v>
      </c>
      <c r="P32" s="89">
        <v>0.1777</v>
      </c>
      <c r="Q32" s="89">
        <v>0.1777</v>
      </c>
      <c r="R32" s="94">
        <f t="shared" si="21"/>
        <v>0.15515243261557224</v>
      </c>
      <c r="S32" s="94">
        <f t="shared" si="22"/>
        <v>0</v>
      </c>
      <c r="T32" s="94">
        <f t="shared" si="23"/>
        <v>0</v>
      </c>
      <c r="U32" s="95">
        <f t="shared" si="24"/>
        <v>7.6999999999999846E-3</v>
      </c>
      <c r="V32" s="96">
        <f t="shared" si="25"/>
        <v>7.6999999999999846E-3</v>
      </c>
    </row>
    <row r="33" spans="1:22">
      <c r="A33" s="82">
        <v>25</v>
      </c>
      <c r="B33" s="62" t="s">
        <v>66</v>
      </c>
      <c r="C33" s="63" t="s">
        <v>27</v>
      </c>
      <c r="D33" s="83">
        <v>166300558218.53</v>
      </c>
      <c r="E33" s="65">
        <f t="shared" si="19"/>
        <v>3.7861161622147289E-2</v>
      </c>
      <c r="F33" s="72">
        <v>1</v>
      </c>
      <c r="G33" s="72">
        <v>1</v>
      </c>
      <c r="H33" s="66">
        <v>36630</v>
      </c>
      <c r="I33" s="89">
        <v>0.17910000000000001</v>
      </c>
      <c r="J33" s="89">
        <v>0.17910000000000001</v>
      </c>
      <c r="K33" s="83">
        <v>168641498367.56</v>
      </c>
      <c r="L33" s="65">
        <f t="shared" si="20"/>
        <v>3.839411661808742E-2</v>
      </c>
      <c r="M33" s="72">
        <v>1</v>
      </c>
      <c r="N33" s="72">
        <v>1</v>
      </c>
      <c r="O33" s="66">
        <v>36803</v>
      </c>
      <c r="P33" s="89">
        <v>0.15709999999999999</v>
      </c>
      <c r="Q33" s="89">
        <v>0.15709999999999999</v>
      </c>
      <c r="R33" s="94">
        <f t="shared" si="21"/>
        <v>1.407656218419813E-2</v>
      </c>
      <c r="S33" s="94">
        <f t="shared" si="22"/>
        <v>0</v>
      </c>
      <c r="T33" s="94">
        <f t="shared" si="23"/>
        <v>4.7229047229047231E-3</v>
      </c>
      <c r="U33" s="95">
        <f t="shared" si="24"/>
        <v>-2.200000000000002E-2</v>
      </c>
      <c r="V33" s="96">
        <f t="shared" si="25"/>
        <v>-2.200000000000002E-2</v>
      </c>
    </row>
    <row r="34" spans="1:22">
      <c r="A34" s="82">
        <v>26</v>
      </c>
      <c r="B34" s="62" t="s">
        <v>67</v>
      </c>
      <c r="C34" s="63" t="s">
        <v>29</v>
      </c>
      <c r="D34" s="64">
        <v>14448446697.360001</v>
      </c>
      <c r="E34" s="65">
        <f t="shared" ref="E34" si="26">(D34/$D$25)</f>
        <v>0.18073777301722843</v>
      </c>
      <c r="F34" s="64">
        <v>1</v>
      </c>
      <c r="G34" s="64">
        <v>1</v>
      </c>
      <c r="H34" s="66">
        <v>1270</v>
      </c>
      <c r="I34" s="89">
        <v>0.1958</v>
      </c>
      <c r="J34" s="89">
        <v>0.1958</v>
      </c>
      <c r="K34" s="64">
        <v>14572903769.360001</v>
      </c>
      <c r="L34" s="65">
        <f t="shared" ref="L34" si="27">(K34/$K$25)</f>
        <v>0.18773957968519453</v>
      </c>
      <c r="M34" s="64">
        <v>1</v>
      </c>
      <c r="N34" s="64">
        <v>1</v>
      </c>
      <c r="O34" s="66">
        <v>1278</v>
      </c>
      <c r="P34" s="89">
        <v>0.1898</v>
      </c>
      <c r="Q34" s="89">
        <v>0.1898</v>
      </c>
      <c r="R34" s="94">
        <f t="shared" si="21"/>
        <v>8.6138721072861503E-3</v>
      </c>
      <c r="S34" s="94">
        <f t="shared" si="22"/>
        <v>0</v>
      </c>
      <c r="T34" s="94">
        <f t="shared" si="23"/>
        <v>6.2992125984251968E-3</v>
      </c>
      <c r="U34" s="95">
        <f t="shared" si="24"/>
        <v>-6.0000000000000053E-3</v>
      </c>
      <c r="V34" s="96">
        <f t="shared" si="25"/>
        <v>-6.0000000000000053E-3</v>
      </c>
    </row>
    <row r="35" spans="1:22" ht="15" customHeight="1">
      <c r="A35" s="174">
        <v>27</v>
      </c>
      <c r="B35" s="175" t="s">
        <v>68</v>
      </c>
      <c r="C35" s="176" t="s">
        <v>49</v>
      </c>
      <c r="D35" s="83">
        <v>36305059154.269997</v>
      </c>
      <c r="E35" s="65">
        <f t="shared" ref="E35:E49" si="28">(D35/$K$71)</f>
        <v>8.2654666169862268E-3</v>
      </c>
      <c r="F35" s="72">
        <v>100</v>
      </c>
      <c r="G35" s="72">
        <v>100</v>
      </c>
      <c r="H35" s="66">
        <v>2083</v>
      </c>
      <c r="I35" s="89">
        <v>0.16619999999999999</v>
      </c>
      <c r="J35" s="89">
        <v>0.16619999999999999</v>
      </c>
      <c r="K35" s="83">
        <v>36241549827.629997</v>
      </c>
      <c r="L35" s="65">
        <f t="shared" ref="L35:L49" si="29">(K35/$K$71)</f>
        <v>8.2510076343695182E-3</v>
      </c>
      <c r="M35" s="72">
        <v>100</v>
      </c>
      <c r="N35" s="72">
        <v>100</v>
      </c>
      <c r="O35" s="66">
        <v>2083</v>
      </c>
      <c r="P35" s="89">
        <v>0.18659999999999999</v>
      </c>
      <c r="Q35" s="89">
        <v>0.18659999999999999</v>
      </c>
      <c r="R35" s="94">
        <f t="shared" si="21"/>
        <v>-1.7493244225310616E-3</v>
      </c>
      <c r="S35" s="94">
        <f t="shared" si="22"/>
        <v>0</v>
      </c>
      <c r="T35" s="94">
        <f t="shared" si="23"/>
        <v>0</v>
      </c>
      <c r="U35" s="95">
        <f t="shared" si="24"/>
        <v>2.0400000000000001E-2</v>
      </c>
      <c r="V35" s="96">
        <f t="shared" si="25"/>
        <v>2.0400000000000001E-2</v>
      </c>
    </row>
    <row r="36" spans="1:22" ht="15" customHeight="1">
      <c r="A36" s="82">
        <v>28</v>
      </c>
      <c r="B36" s="62" t="s">
        <v>69</v>
      </c>
      <c r="C36" s="63" t="s">
        <v>70</v>
      </c>
      <c r="D36" s="83">
        <v>1952596315.51</v>
      </c>
      <c r="E36" s="65">
        <f t="shared" si="28"/>
        <v>4.4454189135786107E-4</v>
      </c>
      <c r="F36" s="72">
        <v>1</v>
      </c>
      <c r="G36" s="72">
        <v>1</v>
      </c>
      <c r="H36" s="66">
        <v>546</v>
      </c>
      <c r="I36" s="89">
        <v>0.17630000000000001</v>
      </c>
      <c r="J36" s="89">
        <v>0.17630000000000001</v>
      </c>
      <c r="K36" s="83">
        <v>2051707680.1400001</v>
      </c>
      <c r="L36" s="65">
        <f t="shared" si="29"/>
        <v>4.6710628581958627E-4</v>
      </c>
      <c r="M36" s="72">
        <v>1</v>
      </c>
      <c r="N36" s="72">
        <v>1</v>
      </c>
      <c r="O36" s="66">
        <v>550</v>
      </c>
      <c r="P36" s="89">
        <v>0.17399999999999999</v>
      </c>
      <c r="Q36" s="89">
        <v>0.17399999999999999</v>
      </c>
      <c r="R36" s="94">
        <f t="shared" si="21"/>
        <v>5.0758758399128266E-2</v>
      </c>
      <c r="S36" s="94">
        <f t="shared" si="22"/>
        <v>0</v>
      </c>
      <c r="T36" s="94">
        <f t="shared" si="23"/>
        <v>7.326007326007326E-3</v>
      </c>
      <c r="U36" s="95">
        <f t="shared" si="24"/>
        <v>-2.3000000000000242E-3</v>
      </c>
      <c r="V36" s="96">
        <f t="shared" si="25"/>
        <v>-2.3000000000000242E-3</v>
      </c>
    </row>
    <row r="37" spans="1:22">
      <c r="A37" s="82">
        <v>29</v>
      </c>
      <c r="B37" s="62" t="s">
        <v>71</v>
      </c>
      <c r="C37" s="63" t="s">
        <v>72</v>
      </c>
      <c r="D37" s="83">
        <v>75909262920.820007</v>
      </c>
      <c r="E37" s="65">
        <f t="shared" si="28"/>
        <v>1.7282039837091794E-2</v>
      </c>
      <c r="F37" s="72">
        <v>100</v>
      </c>
      <c r="G37" s="72">
        <v>100</v>
      </c>
      <c r="H37" s="66">
        <v>5276</v>
      </c>
      <c r="I37" s="89">
        <v>0.1837</v>
      </c>
      <c r="J37" s="89">
        <v>0.1837</v>
      </c>
      <c r="K37" s="83">
        <v>76882080040.460007</v>
      </c>
      <c r="L37" s="65">
        <f t="shared" si="29"/>
        <v>1.7503518265005923E-2</v>
      </c>
      <c r="M37" s="72">
        <v>100</v>
      </c>
      <c r="N37" s="72">
        <v>100</v>
      </c>
      <c r="O37" s="66">
        <v>5324</v>
      </c>
      <c r="P37" s="89">
        <v>0.1817</v>
      </c>
      <c r="Q37" s="89">
        <v>0.1817</v>
      </c>
      <c r="R37" s="94">
        <f t="shared" si="21"/>
        <v>1.2815525829235525E-2</v>
      </c>
      <c r="S37" s="94">
        <f t="shared" si="22"/>
        <v>0</v>
      </c>
      <c r="T37" s="94">
        <f t="shared" si="23"/>
        <v>9.0978013646702046E-3</v>
      </c>
      <c r="U37" s="95">
        <f t="shared" si="24"/>
        <v>-2.0000000000000018E-3</v>
      </c>
      <c r="V37" s="96">
        <f t="shared" si="25"/>
        <v>-2.0000000000000018E-3</v>
      </c>
    </row>
    <row r="38" spans="1:22">
      <c r="A38" s="82">
        <v>30</v>
      </c>
      <c r="B38" s="62" t="s">
        <v>73</v>
      </c>
      <c r="C38" s="63" t="s">
        <v>74</v>
      </c>
      <c r="D38" s="83">
        <v>35090290985.790001</v>
      </c>
      <c r="E38" s="65">
        <f t="shared" si="28"/>
        <v>7.9889039015452867E-3</v>
      </c>
      <c r="F38" s="72">
        <v>100</v>
      </c>
      <c r="G38" s="72">
        <v>100</v>
      </c>
      <c r="H38" s="66">
        <v>5422</v>
      </c>
      <c r="I38" s="89">
        <v>0.17630000000000001</v>
      </c>
      <c r="J38" s="89">
        <v>0.17630000000000001</v>
      </c>
      <c r="K38" s="83">
        <v>35203169652.110001</v>
      </c>
      <c r="L38" s="65">
        <f t="shared" si="29"/>
        <v>8.0146026573102436E-3</v>
      </c>
      <c r="M38" s="72">
        <v>100</v>
      </c>
      <c r="N38" s="72">
        <v>100</v>
      </c>
      <c r="O38" s="66">
        <v>5435</v>
      </c>
      <c r="P38" s="89">
        <v>0.1741</v>
      </c>
      <c r="Q38" s="89">
        <v>0.1741</v>
      </c>
      <c r="R38" s="94">
        <f t="shared" si="21"/>
        <v>3.2168062204360318E-3</v>
      </c>
      <c r="S38" s="94">
        <f t="shared" si="22"/>
        <v>0</v>
      </c>
      <c r="T38" s="94">
        <f t="shared" si="23"/>
        <v>2.3976392475101439E-3</v>
      </c>
      <c r="U38" s="95">
        <f t="shared" si="24"/>
        <v>-2.2000000000000075E-3</v>
      </c>
      <c r="V38" s="96">
        <f t="shared" si="25"/>
        <v>-2.2000000000000075E-3</v>
      </c>
    </row>
    <row r="39" spans="1:22">
      <c r="A39" s="82">
        <v>31</v>
      </c>
      <c r="B39" s="62" t="s">
        <v>75</v>
      </c>
      <c r="C39" s="63" t="s">
        <v>76</v>
      </c>
      <c r="D39" s="83">
        <v>64805423984.169998</v>
      </c>
      <c r="E39" s="65">
        <f t="shared" si="28"/>
        <v>1.4754061307673035E-2</v>
      </c>
      <c r="F39" s="72">
        <v>1</v>
      </c>
      <c r="G39" s="72">
        <v>1</v>
      </c>
      <c r="H39" s="66">
        <v>12103</v>
      </c>
      <c r="I39" s="89">
        <v>0.1812</v>
      </c>
      <c r="J39" s="89">
        <v>0.1812</v>
      </c>
      <c r="K39" s="83">
        <v>64861782309.190002</v>
      </c>
      <c r="L39" s="65">
        <f t="shared" si="29"/>
        <v>1.4766892242669249E-2</v>
      </c>
      <c r="M39" s="72">
        <v>1</v>
      </c>
      <c r="N39" s="72">
        <v>1</v>
      </c>
      <c r="O39" s="66">
        <v>12460</v>
      </c>
      <c r="P39" s="89">
        <v>0.1784</v>
      </c>
      <c r="Q39" s="89">
        <v>0.1784</v>
      </c>
      <c r="R39" s="94">
        <f t="shared" si="21"/>
        <v>8.6965444487749832E-4</v>
      </c>
      <c r="S39" s="94">
        <f t="shared" si="22"/>
        <v>0</v>
      </c>
      <c r="T39" s="94">
        <f t="shared" si="23"/>
        <v>2.9496818970503182E-2</v>
      </c>
      <c r="U39" s="95">
        <f t="shared" si="24"/>
        <v>-2.7999999999999969E-3</v>
      </c>
      <c r="V39" s="96">
        <f t="shared" si="25"/>
        <v>-2.7999999999999969E-3</v>
      </c>
    </row>
    <row r="40" spans="1:22">
      <c r="A40" s="82">
        <v>32</v>
      </c>
      <c r="B40" s="62" t="s">
        <v>77</v>
      </c>
      <c r="C40" s="63" t="s">
        <v>78</v>
      </c>
      <c r="D40" s="83">
        <v>936538116.60000002</v>
      </c>
      <c r="E40" s="65">
        <v>0</v>
      </c>
      <c r="F40" s="72">
        <v>1000</v>
      </c>
      <c r="G40" s="72">
        <v>1000</v>
      </c>
      <c r="H40" s="66">
        <v>42</v>
      </c>
      <c r="I40" s="89">
        <v>0.19370000000000001</v>
      </c>
      <c r="J40" s="89">
        <v>0.19370000000000001</v>
      </c>
      <c r="K40" s="83">
        <v>949546874.70000005</v>
      </c>
      <c r="L40" s="65">
        <f t="shared" si="29"/>
        <v>2.1618055931946786E-4</v>
      </c>
      <c r="M40" s="72">
        <v>1000</v>
      </c>
      <c r="N40" s="72">
        <v>1000</v>
      </c>
      <c r="O40" s="66">
        <v>44</v>
      </c>
      <c r="P40" s="89">
        <v>0.19359999999999999</v>
      </c>
      <c r="Q40" s="89">
        <v>0.19359999999999999</v>
      </c>
      <c r="R40" s="94">
        <f t="shared" si="21"/>
        <v>1.3890260171392605E-2</v>
      </c>
      <c r="S40" s="94">
        <f t="shared" si="22"/>
        <v>0</v>
      </c>
      <c r="T40" s="94">
        <f t="shared" si="23"/>
        <v>4.7619047619047616E-2</v>
      </c>
      <c r="U40" s="95">
        <f t="shared" si="24"/>
        <v>-1.0000000000001674E-4</v>
      </c>
      <c r="V40" s="96">
        <f t="shared" si="25"/>
        <v>-1.0000000000001674E-4</v>
      </c>
    </row>
    <row r="41" spans="1:22">
      <c r="A41" s="82">
        <v>33</v>
      </c>
      <c r="B41" s="62" t="s">
        <v>79</v>
      </c>
      <c r="C41" s="63" t="s">
        <v>80</v>
      </c>
      <c r="D41" s="83">
        <v>79213800604.130005</v>
      </c>
      <c r="E41" s="65">
        <f t="shared" si="28"/>
        <v>1.8034374264916553E-2</v>
      </c>
      <c r="F41" s="84">
        <v>100</v>
      </c>
      <c r="G41" s="84">
        <v>100</v>
      </c>
      <c r="H41" s="66">
        <v>4301</v>
      </c>
      <c r="I41" s="89">
        <v>0.17560000000000001</v>
      </c>
      <c r="J41" s="89">
        <v>0.17560000000000001</v>
      </c>
      <c r="K41" s="83">
        <v>79074286900.669998</v>
      </c>
      <c r="L41" s="65">
        <f t="shared" si="29"/>
        <v>1.8002611588159554E-2</v>
      </c>
      <c r="M41" s="84">
        <v>100</v>
      </c>
      <c r="N41" s="84">
        <v>100</v>
      </c>
      <c r="O41" s="66">
        <v>4301</v>
      </c>
      <c r="P41" s="89">
        <v>0.17549999999999999</v>
      </c>
      <c r="Q41" s="89">
        <v>0.17549999999999999</v>
      </c>
      <c r="R41" s="94">
        <f t="shared" si="21"/>
        <v>-1.7612297654700944E-3</v>
      </c>
      <c r="S41" s="94">
        <f t="shared" si="22"/>
        <v>0</v>
      </c>
      <c r="T41" s="94">
        <f t="shared" si="23"/>
        <v>0</v>
      </c>
      <c r="U41" s="95">
        <f t="shared" si="24"/>
        <v>-1.0000000000001674E-4</v>
      </c>
      <c r="V41" s="96">
        <f t="shared" si="25"/>
        <v>-1.0000000000001674E-4</v>
      </c>
    </row>
    <row r="42" spans="1:22">
      <c r="A42" s="82">
        <v>34</v>
      </c>
      <c r="B42" s="62" t="s">
        <v>81</v>
      </c>
      <c r="C42" s="63" t="s">
        <v>80</v>
      </c>
      <c r="D42" s="83">
        <v>11357132253.98</v>
      </c>
      <c r="E42" s="65">
        <f t="shared" si="28"/>
        <v>2.5856450780339393E-3</v>
      </c>
      <c r="F42" s="84">
        <v>1000000</v>
      </c>
      <c r="G42" s="84">
        <v>1000000</v>
      </c>
      <c r="H42" s="66">
        <v>45</v>
      </c>
      <c r="I42" s="89">
        <v>0.1784</v>
      </c>
      <c r="J42" s="89">
        <v>0.1784</v>
      </c>
      <c r="K42" s="83">
        <v>11400526553.969999</v>
      </c>
      <c r="L42" s="65">
        <f t="shared" si="29"/>
        <v>2.5955245313743327E-3</v>
      </c>
      <c r="M42" s="84">
        <v>1000000</v>
      </c>
      <c r="N42" s="84">
        <v>1000000</v>
      </c>
      <c r="O42" s="66">
        <v>45</v>
      </c>
      <c r="P42" s="89">
        <v>0.17810000000000001</v>
      </c>
      <c r="Q42" s="89">
        <v>0.17810000000000001</v>
      </c>
      <c r="R42" s="94">
        <f t="shared" si="21"/>
        <v>3.8208853273494856E-3</v>
      </c>
      <c r="S42" s="94">
        <f t="shared" si="22"/>
        <v>0</v>
      </c>
      <c r="T42" s="94">
        <f t="shared" si="23"/>
        <v>0</v>
      </c>
      <c r="U42" s="95">
        <f t="shared" si="24"/>
        <v>-2.9999999999999472E-4</v>
      </c>
      <c r="V42" s="96">
        <f t="shared" si="25"/>
        <v>-2.9999999999999472E-4</v>
      </c>
    </row>
    <row r="43" spans="1:22">
      <c r="A43" s="174">
        <v>35</v>
      </c>
      <c r="B43" s="175" t="s">
        <v>82</v>
      </c>
      <c r="C43" s="176" t="s">
        <v>83</v>
      </c>
      <c r="D43" s="83">
        <v>7517877867.6099997</v>
      </c>
      <c r="E43" s="65">
        <f t="shared" si="28"/>
        <v>1.7115732625931183E-3</v>
      </c>
      <c r="F43" s="72">
        <v>1</v>
      </c>
      <c r="G43" s="72">
        <v>1</v>
      </c>
      <c r="H43" s="66">
        <v>1059</v>
      </c>
      <c r="I43" s="89">
        <v>0.20039999999999999</v>
      </c>
      <c r="J43" s="89">
        <v>0.20039999999999999</v>
      </c>
      <c r="K43" s="83">
        <v>7697953310.9799995</v>
      </c>
      <c r="L43" s="65">
        <f t="shared" si="29"/>
        <v>1.7525705120229867E-3</v>
      </c>
      <c r="M43" s="72">
        <v>1</v>
      </c>
      <c r="N43" s="72">
        <v>1</v>
      </c>
      <c r="O43" s="66">
        <v>1066</v>
      </c>
      <c r="P43" s="89">
        <v>0.1928</v>
      </c>
      <c r="Q43" s="89">
        <v>0.1928</v>
      </c>
      <c r="R43" s="94">
        <f t="shared" si="21"/>
        <v>2.3952962064711949E-2</v>
      </c>
      <c r="S43" s="94">
        <f t="shared" si="22"/>
        <v>0</v>
      </c>
      <c r="T43" s="94">
        <f t="shared" si="23"/>
        <v>6.6100094428706326E-3</v>
      </c>
      <c r="U43" s="95">
        <f t="shared" si="24"/>
        <v>-7.5999999999999956E-3</v>
      </c>
      <c r="V43" s="96">
        <f t="shared" si="25"/>
        <v>-7.5999999999999956E-3</v>
      </c>
    </row>
    <row r="44" spans="1:22">
      <c r="A44" s="174">
        <v>36</v>
      </c>
      <c r="B44" s="175" t="s">
        <v>84</v>
      </c>
      <c r="C44" s="176" t="s">
        <v>85</v>
      </c>
      <c r="D44" s="83">
        <v>655129103702.23999</v>
      </c>
      <c r="E44" s="65">
        <f t="shared" si="28"/>
        <v>0.14915132663625194</v>
      </c>
      <c r="F44" s="72">
        <v>100</v>
      </c>
      <c r="G44" s="72">
        <v>100</v>
      </c>
      <c r="H44" s="66">
        <v>33224</v>
      </c>
      <c r="I44" s="89">
        <v>0.1799</v>
      </c>
      <c r="J44" s="89">
        <v>0.1799</v>
      </c>
      <c r="K44" s="83">
        <v>658415837134.68994</v>
      </c>
      <c r="L44" s="65">
        <f t="shared" si="29"/>
        <v>0.14989960762236493</v>
      </c>
      <c r="M44" s="72">
        <v>100</v>
      </c>
      <c r="N44" s="72">
        <v>100</v>
      </c>
      <c r="O44" s="66">
        <v>33221</v>
      </c>
      <c r="P44" s="89">
        <v>0.1767</v>
      </c>
      <c r="Q44" s="89">
        <v>0.1767</v>
      </c>
      <c r="R44" s="94">
        <f t="shared" si="21"/>
        <v>5.0169247769273131E-3</v>
      </c>
      <c r="S44" s="94">
        <f t="shared" si="22"/>
        <v>0</v>
      </c>
      <c r="T44" s="94">
        <f t="shared" si="23"/>
        <v>-9.0296171442330849E-5</v>
      </c>
      <c r="U44" s="95">
        <f t="shared" si="24"/>
        <v>-3.2000000000000084E-3</v>
      </c>
      <c r="V44" s="96">
        <f t="shared" si="25"/>
        <v>-3.2000000000000084E-3</v>
      </c>
    </row>
    <row r="45" spans="1:22">
      <c r="A45" s="82">
        <v>37</v>
      </c>
      <c r="B45" s="62" t="s">
        <v>86</v>
      </c>
      <c r="C45" s="63" t="s">
        <v>87</v>
      </c>
      <c r="D45" s="83">
        <v>3202643443.04</v>
      </c>
      <c r="E45" s="65">
        <f t="shared" si="28"/>
        <v>7.2913646420662954E-4</v>
      </c>
      <c r="F45" s="72">
        <v>1</v>
      </c>
      <c r="G45" s="72">
        <v>1</v>
      </c>
      <c r="H45" s="85">
        <v>1691</v>
      </c>
      <c r="I45" s="92">
        <v>0.19370000000000001</v>
      </c>
      <c r="J45" s="92">
        <v>0.19370000000000001</v>
      </c>
      <c r="K45" s="83">
        <v>3409508150.7399998</v>
      </c>
      <c r="L45" s="65">
        <f t="shared" si="29"/>
        <v>7.7623274708173563E-4</v>
      </c>
      <c r="M45" s="72">
        <v>1</v>
      </c>
      <c r="N45" s="72">
        <v>1</v>
      </c>
      <c r="O45" s="85">
        <v>1713</v>
      </c>
      <c r="P45" s="92">
        <v>0.18590000000000001</v>
      </c>
      <c r="Q45" s="92">
        <v>0.18590000000000001</v>
      </c>
      <c r="R45" s="94">
        <f t="shared" si="21"/>
        <v>6.4591863371353184E-2</v>
      </c>
      <c r="S45" s="94">
        <f t="shared" si="22"/>
        <v>0</v>
      </c>
      <c r="T45" s="94">
        <f t="shared" si="23"/>
        <v>1.3010053222945003E-2</v>
      </c>
      <c r="U45" s="95">
        <f t="shared" si="24"/>
        <v>-7.8000000000000014E-3</v>
      </c>
      <c r="V45" s="96">
        <f t="shared" si="25"/>
        <v>-7.8000000000000014E-3</v>
      </c>
    </row>
    <row r="46" spans="1:22">
      <c r="A46" s="174">
        <v>38</v>
      </c>
      <c r="B46" s="175" t="s">
        <v>88</v>
      </c>
      <c r="C46" s="176" t="s">
        <v>89</v>
      </c>
      <c r="D46" s="83">
        <v>2755618278.6900001</v>
      </c>
      <c r="E46" s="65">
        <f t="shared" si="28"/>
        <v>6.2736355269071105E-4</v>
      </c>
      <c r="F46" s="72">
        <v>1</v>
      </c>
      <c r="G46" s="72">
        <v>1</v>
      </c>
      <c r="H46" s="85">
        <v>412</v>
      </c>
      <c r="I46" s="92">
        <v>0.18</v>
      </c>
      <c r="J46" s="92">
        <v>0.18</v>
      </c>
      <c r="K46" s="83">
        <v>2865112600.7399998</v>
      </c>
      <c r="L46" s="65">
        <f t="shared" si="29"/>
        <v>6.5229180469570378E-4</v>
      </c>
      <c r="M46" s="72">
        <v>1</v>
      </c>
      <c r="N46" s="72">
        <v>1</v>
      </c>
      <c r="O46" s="85">
        <v>503</v>
      </c>
      <c r="P46" s="92">
        <v>0.1807</v>
      </c>
      <c r="Q46" s="92">
        <v>0.1807</v>
      </c>
      <c r="R46" s="94">
        <f t="shared" si="21"/>
        <v>3.973493821577221E-2</v>
      </c>
      <c r="S46" s="94">
        <f t="shared" si="22"/>
        <v>0</v>
      </c>
      <c r="T46" s="94">
        <f t="shared" si="23"/>
        <v>0.220873786407767</v>
      </c>
      <c r="U46" s="95">
        <f t="shared" si="24"/>
        <v>7.0000000000000617E-4</v>
      </c>
      <c r="V46" s="96">
        <f t="shared" si="25"/>
        <v>7.0000000000000617E-4</v>
      </c>
    </row>
    <row r="47" spans="1:22">
      <c r="A47" s="82">
        <v>39</v>
      </c>
      <c r="B47" s="62" t="s">
        <v>90</v>
      </c>
      <c r="C47" s="63" t="s">
        <v>91</v>
      </c>
      <c r="D47" s="83">
        <v>3900000</v>
      </c>
      <c r="E47" s="65">
        <f t="shared" si="28"/>
        <v>8.879015916010414E-7</v>
      </c>
      <c r="F47" s="72">
        <v>1</v>
      </c>
      <c r="G47" s="72">
        <v>1</v>
      </c>
      <c r="H47" s="85">
        <v>10</v>
      </c>
      <c r="I47" s="92">
        <v>0</v>
      </c>
      <c r="J47" s="92">
        <v>0</v>
      </c>
      <c r="K47" s="83">
        <v>5149284</v>
      </c>
      <c r="L47" s="65">
        <f t="shared" si="29"/>
        <v>1.1723224254373787E-6</v>
      </c>
      <c r="M47" s="72">
        <v>1</v>
      </c>
      <c r="N47" s="72">
        <v>1</v>
      </c>
      <c r="O47" s="85">
        <v>10</v>
      </c>
      <c r="P47" s="92">
        <v>0</v>
      </c>
      <c r="Q47" s="92">
        <v>0</v>
      </c>
      <c r="R47" s="94">
        <f t="shared" si="21"/>
        <v>0.32032923076923076</v>
      </c>
      <c r="S47" s="94">
        <f t="shared" si="22"/>
        <v>0</v>
      </c>
      <c r="T47" s="94">
        <f t="shared" si="23"/>
        <v>0</v>
      </c>
      <c r="U47" s="95">
        <f t="shared" si="24"/>
        <v>0</v>
      </c>
      <c r="V47" s="96">
        <f t="shared" si="25"/>
        <v>0</v>
      </c>
    </row>
    <row r="48" spans="1:22">
      <c r="A48" s="82">
        <v>40</v>
      </c>
      <c r="B48" s="62" t="s">
        <v>92</v>
      </c>
      <c r="C48" s="63" t="s">
        <v>93</v>
      </c>
      <c r="D48" s="83">
        <v>1651253260.8499999</v>
      </c>
      <c r="E48" s="65">
        <f t="shared" si="28"/>
        <v>3.7593599960131398E-4</v>
      </c>
      <c r="F48" s="72">
        <v>10</v>
      </c>
      <c r="G48" s="72">
        <v>10</v>
      </c>
      <c r="H48" s="66">
        <v>505</v>
      </c>
      <c r="I48" s="89">
        <v>0.17119999999999999</v>
      </c>
      <c r="J48" s="89">
        <v>0.17119999999999999</v>
      </c>
      <c r="K48" s="83">
        <v>1668217537.5999999</v>
      </c>
      <c r="L48" s="65">
        <f t="shared" si="29"/>
        <v>3.7979820686456664E-4</v>
      </c>
      <c r="M48" s="72">
        <v>10</v>
      </c>
      <c r="N48" s="72">
        <v>10</v>
      </c>
      <c r="O48" s="66">
        <v>508</v>
      </c>
      <c r="P48" s="89">
        <v>0.1734</v>
      </c>
      <c r="Q48" s="89">
        <v>0.1734</v>
      </c>
      <c r="R48" s="94">
        <f t="shared" si="21"/>
        <v>1.0273576532571061E-2</v>
      </c>
      <c r="S48" s="94">
        <f t="shared" si="22"/>
        <v>0</v>
      </c>
      <c r="T48" s="94">
        <f t="shared" si="23"/>
        <v>5.9405940594059407E-3</v>
      </c>
      <c r="U48" s="95">
        <f t="shared" si="24"/>
        <v>2.2000000000000075E-3</v>
      </c>
      <c r="V48" s="96">
        <f t="shared" si="25"/>
        <v>2.2000000000000075E-3</v>
      </c>
    </row>
    <row r="49" spans="1:22">
      <c r="A49" s="174">
        <v>41</v>
      </c>
      <c r="B49" s="175" t="s">
        <v>94</v>
      </c>
      <c r="C49" s="176" t="s">
        <v>95</v>
      </c>
      <c r="D49" s="83">
        <v>9249190821.6900005</v>
      </c>
      <c r="E49" s="65">
        <f t="shared" si="28"/>
        <v>2.10573621835905E-3</v>
      </c>
      <c r="F49" s="72">
        <v>100</v>
      </c>
      <c r="G49" s="72">
        <v>100</v>
      </c>
      <c r="H49" s="66">
        <v>1762</v>
      </c>
      <c r="I49" s="89">
        <v>0.18</v>
      </c>
      <c r="J49" s="89">
        <v>0.18</v>
      </c>
      <c r="K49" s="83">
        <v>9623794626.2700005</v>
      </c>
      <c r="L49" s="65">
        <f t="shared" si="29"/>
        <v>2.1910211707453033E-3</v>
      </c>
      <c r="M49" s="72">
        <v>100</v>
      </c>
      <c r="N49" s="72">
        <v>100</v>
      </c>
      <c r="O49" s="66">
        <v>977</v>
      </c>
      <c r="P49" s="89">
        <v>0.18210000000000001</v>
      </c>
      <c r="Q49" s="89">
        <v>0.18210000000000001</v>
      </c>
      <c r="R49" s="94">
        <f t="shared" si="21"/>
        <v>4.0501251601548514E-2</v>
      </c>
      <c r="S49" s="94">
        <f t="shared" si="22"/>
        <v>0</v>
      </c>
      <c r="T49" s="94">
        <f t="shared" si="23"/>
        <v>-0.44551645856980704</v>
      </c>
      <c r="U49" s="95">
        <f t="shared" si="24"/>
        <v>2.1000000000000185E-3</v>
      </c>
      <c r="V49" s="96">
        <f t="shared" si="25"/>
        <v>2.1000000000000185E-3</v>
      </c>
    </row>
    <row r="50" spans="1:22">
      <c r="A50" s="174">
        <v>42</v>
      </c>
      <c r="B50" s="175" t="s">
        <v>96</v>
      </c>
      <c r="C50" s="175" t="s">
        <v>97</v>
      </c>
      <c r="D50" s="86">
        <v>122273038.735507</v>
      </c>
      <c r="E50" s="65">
        <f>(D50/$D$195)</f>
        <v>1.5100040153498023E-3</v>
      </c>
      <c r="F50" s="64">
        <v>1</v>
      </c>
      <c r="G50" s="64">
        <v>1</v>
      </c>
      <c r="H50" s="66">
        <v>160</v>
      </c>
      <c r="I50" s="89">
        <v>0.16869999999999999</v>
      </c>
      <c r="J50" s="89">
        <v>0.16869999999999999</v>
      </c>
      <c r="K50" s="86">
        <v>121807085.947367</v>
      </c>
      <c r="L50" s="93">
        <f>(K50/$K$195)</f>
        <v>1.5241640900093122E-3</v>
      </c>
      <c r="M50" s="64">
        <v>1</v>
      </c>
      <c r="N50" s="64">
        <v>1</v>
      </c>
      <c r="O50" s="66">
        <v>160</v>
      </c>
      <c r="P50" s="89">
        <v>0.1691</v>
      </c>
      <c r="Q50" s="89">
        <v>0.1691</v>
      </c>
      <c r="R50" s="95">
        <f t="shared" si="21"/>
        <v>-3.810756589994605E-3</v>
      </c>
      <c r="S50" s="95">
        <f t="shared" si="22"/>
        <v>0</v>
      </c>
      <c r="T50" s="95">
        <f t="shared" si="23"/>
        <v>0</v>
      </c>
      <c r="U50" s="95">
        <f t="shared" si="24"/>
        <v>4.0000000000001146E-4</v>
      </c>
      <c r="V50" s="96">
        <f t="shared" si="25"/>
        <v>4.0000000000001146E-4</v>
      </c>
    </row>
    <row r="51" spans="1:22">
      <c r="A51" s="174">
        <v>43</v>
      </c>
      <c r="B51" s="175" t="s">
        <v>98</v>
      </c>
      <c r="C51" s="176" t="s">
        <v>39</v>
      </c>
      <c r="D51" s="83">
        <v>694889909.89999998</v>
      </c>
      <c r="E51" s="65">
        <f t="shared" ref="E51" si="30">(D51/$K$71)</f>
        <v>1.5820355307377289E-4</v>
      </c>
      <c r="F51" s="72">
        <v>100</v>
      </c>
      <c r="G51" s="72">
        <v>100</v>
      </c>
      <c r="H51" s="66">
        <v>4368</v>
      </c>
      <c r="I51" s="89">
        <v>0.16900000000000001</v>
      </c>
      <c r="J51" s="89">
        <v>0.18390000000000001</v>
      </c>
      <c r="K51" s="83">
        <v>710309265.91999996</v>
      </c>
      <c r="L51" s="65">
        <f t="shared" ref="L51" si="31">(K51/$K$71)</f>
        <v>1.6171403275367572E-4</v>
      </c>
      <c r="M51" s="72">
        <v>100</v>
      </c>
      <c r="N51" s="72">
        <v>100</v>
      </c>
      <c r="O51" s="66">
        <v>4396</v>
      </c>
      <c r="P51" s="89">
        <v>0.16470000000000001</v>
      </c>
      <c r="Q51" s="89">
        <v>0.18340000000000001</v>
      </c>
      <c r="R51" s="94">
        <f t="shared" ref="R51" si="32">((K51-D51)/D51)</f>
        <v>2.218963867559819E-2</v>
      </c>
      <c r="S51" s="94">
        <f t="shared" ref="S51" si="33">((N51-G51)/G51)</f>
        <v>0</v>
      </c>
      <c r="T51" s="94">
        <f t="shared" ref="T51" si="34">((O51-H51)/H51)</f>
        <v>6.41025641025641E-3</v>
      </c>
      <c r="U51" s="95">
        <f t="shared" ref="U51" si="35">P51-I51</f>
        <v>-4.2999999999999983E-3</v>
      </c>
      <c r="V51" s="96">
        <f t="shared" ref="V51" si="36">Q51-J51</f>
        <v>-5.0000000000000044E-4</v>
      </c>
    </row>
    <row r="52" spans="1:22">
      <c r="A52" s="174">
        <v>44</v>
      </c>
      <c r="B52" s="175" t="s">
        <v>99</v>
      </c>
      <c r="C52" s="176" t="s">
        <v>39</v>
      </c>
      <c r="D52" s="83">
        <v>199653530915.37</v>
      </c>
      <c r="E52" s="65">
        <f t="shared" ref="E52:E70" si="37">(D52/$K$71)</f>
        <v>4.5454535350903776E-2</v>
      </c>
      <c r="F52" s="72">
        <v>100</v>
      </c>
      <c r="G52" s="72">
        <v>100</v>
      </c>
      <c r="H52" s="66">
        <v>21116</v>
      </c>
      <c r="I52" s="89">
        <v>0.1837</v>
      </c>
      <c r="J52" s="89">
        <v>0.1837</v>
      </c>
      <c r="K52" s="83">
        <v>207540749949.89001</v>
      </c>
      <c r="L52" s="65">
        <f t="shared" ref="L52:L70" si="38">(K52/$K$71)</f>
        <v>4.7250195436559256E-2</v>
      </c>
      <c r="M52" s="72">
        <v>100</v>
      </c>
      <c r="N52" s="72">
        <v>100</v>
      </c>
      <c r="O52" s="66">
        <v>21641</v>
      </c>
      <c r="P52" s="89">
        <v>0.183</v>
      </c>
      <c r="Q52" s="89">
        <v>0.183</v>
      </c>
      <c r="R52" s="94">
        <f t="shared" si="21"/>
        <v>3.950453066549215E-2</v>
      </c>
      <c r="S52" s="94">
        <f t="shared" si="22"/>
        <v>0</v>
      </c>
      <c r="T52" s="94">
        <f t="shared" si="23"/>
        <v>2.4862663383216518E-2</v>
      </c>
      <c r="U52" s="95">
        <f t="shared" si="24"/>
        <v>-7.0000000000000617E-4</v>
      </c>
      <c r="V52" s="96">
        <f t="shared" si="25"/>
        <v>-7.0000000000000617E-4</v>
      </c>
    </row>
    <row r="53" spans="1:22">
      <c r="A53" s="174">
        <v>45</v>
      </c>
      <c r="B53" s="175" t="s">
        <v>100</v>
      </c>
      <c r="C53" s="176" t="s">
        <v>43</v>
      </c>
      <c r="D53" s="83">
        <v>40777663092.190002</v>
      </c>
      <c r="E53" s="65">
        <f t="shared" si="37"/>
        <v>9.2837312721350106E-3</v>
      </c>
      <c r="F53" s="72">
        <v>1</v>
      </c>
      <c r="G53" s="72">
        <v>1</v>
      </c>
      <c r="H53" s="66">
        <v>2626</v>
      </c>
      <c r="I53" s="89">
        <v>0.16830000000000001</v>
      </c>
      <c r="J53" s="89">
        <v>0.16830000000000001</v>
      </c>
      <c r="K53" s="83">
        <v>40338732249.059998</v>
      </c>
      <c r="L53" s="65">
        <f t="shared" si="38"/>
        <v>9.1838011710534944E-3</v>
      </c>
      <c r="M53" s="72">
        <v>1</v>
      </c>
      <c r="N53" s="72">
        <v>1</v>
      </c>
      <c r="O53" s="66">
        <v>2699</v>
      </c>
      <c r="P53" s="89">
        <v>0.1711</v>
      </c>
      <c r="Q53" s="89">
        <v>0.20480000000000001</v>
      </c>
      <c r="R53" s="94">
        <f t="shared" si="21"/>
        <v>-1.0764001903141716E-2</v>
      </c>
      <c r="S53" s="94">
        <f t="shared" si="22"/>
        <v>0</v>
      </c>
      <c r="T53" s="94">
        <f t="shared" si="23"/>
        <v>2.7798933739527798E-2</v>
      </c>
      <c r="U53" s="95">
        <f t="shared" si="24"/>
        <v>2.7999999999999969E-3</v>
      </c>
      <c r="V53" s="96">
        <f t="shared" si="25"/>
        <v>3.6500000000000005E-2</v>
      </c>
    </row>
    <row r="54" spans="1:22">
      <c r="A54" s="82">
        <v>46</v>
      </c>
      <c r="B54" s="62" t="s">
        <v>101</v>
      </c>
      <c r="C54" s="63" t="s">
        <v>102</v>
      </c>
      <c r="D54" s="83">
        <v>4754817752.7200003</v>
      </c>
      <c r="E54" s="65">
        <f t="shared" si="37"/>
        <v>1.0825154488238397E-3</v>
      </c>
      <c r="F54" s="72">
        <v>100</v>
      </c>
      <c r="G54" s="72">
        <v>100</v>
      </c>
      <c r="H54" s="66">
        <v>265</v>
      </c>
      <c r="I54" s="89">
        <v>0.1757</v>
      </c>
      <c r="J54" s="89">
        <v>0.1757</v>
      </c>
      <c r="K54" s="83">
        <v>4759899981.2200003</v>
      </c>
      <c r="L54" s="65">
        <f t="shared" si="38"/>
        <v>1.0836725049197448E-3</v>
      </c>
      <c r="M54" s="72">
        <v>100</v>
      </c>
      <c r="N54" s="72">
        <v>100</v>
      </c>
      <c r="O54" s="66">
        <v>265</v>
      </c>
      <c r="P54" s="89">
        <v>0.17549999999999999</v>
      </c>
      <c r="Q54" s="89">
        <v>0.17549999999999999</v>
      </c>
      <c r="R54" s="94">
        <f t="shared" si="21"/>
        <v>1.0688587374548066E-3</v>
      </c>
      <c r="S54" s="94">
        <f t="shared" si="22"/>
        <v>0</v>
      </c>
      <c r="T54" s="94">
        <f t="shared" si="23"/>
        <v>0</v>
      </c>
      <c r="U54" s="95">
        <f t="shared" si="24"/>
        <v>-2.0000000000000573E-4</v>
      </c>
      <c r="V54" s="96">
        <f t="shared" si="25"/>
        <v>-2.0000000000000573E-4</v>
      </c>
    </row>
    <row r="55" spans="1:22">
      <c r="A55" s="82">
        <v>47</v>
      </c>
      <c r="B55" s="62" t="s">
        <v>103</v>
      </c>
      <c r="C55" s="63" t="s">
        <v>45</v>
      </c>
      <c r="D55" s="87">
        <v>68293911605.25</v>
      </c>
      <c r="E55" s="65">
        <f t="shared" si="37"/>
        <v>1.5548275079733925E-2</v>
      </c>
      <c r="F55" s="72">
        <v>10</v>
      </c>
      <c r="G55" s="72">
        <v>10</v>
      </c>
      <c r="H55" s="66">
        <v>7921</v>
      </c>
      <c r="I55" s="89">
        <v>0.19750000000000001</v>
      </c>
      <c r="J55" s="89">
        <v>0.19750000000000001</v>
      </c>
      <c r="K55" s="87">
        <v>71194306823.529999</v>
      </c>
      <c r="L55" s="65">
        <f t="shared" si="38"/>
        <v>1.6208599574755171E-2</v>
      </c>
      <c r="M55" s="72">
        <v>10</v>
      </c>
      <c r="N55" s="72">
        <v>10</v>
      </c>
      <c r="O55" s="66">
        <v>8024</v>
      </c>
      <c r="P55" s="89">
        <v>0.19139999999999999</v>
      </c>
      <c r="Q55" s="89">
        <v>0.19139999999999999</v>
      </c>
      <c r="R55" s="94">
        <f t="shared" si="21"/>
        <v>4.2469308758367193E-2</v>
      </c>
      <c r="S55" s="94">
        <f t="shared" si="22"/>
        <v>0</v>
      </c>
      <c r="T55" s="94">
        <f t="shared" si="23"/>
        <v>1.3003408660522662E-2</v>
      </c>
      <c r="U55" s="95">
        <f t="shared" si="24"/>
        <v>-6.1000000000000221E-3</v>
      </c>
      <c r="V55" s="96">
        <f t="shared" si="25"/>
        <v>-6.1000000000000221E-3</v>
      </c>
    </row>
    <row r="56" spans="1:22">
      <c r="A56" s="174">
        <v>48</v>
      </c>
      <c r="B56" s="175" t="s">
        <v>104</v>
      </c>
      <c r="C56" s="176" t="s">
        <v>105</v>
      </c>
      <c r="D56" s="83">
        <v>31072698490</v>
      </c>
      <c r="E56" s="65">
        <f t="shared" si="37"/>
        <v>7.0742303704128913E-3</v>
      </c>
      <c r="F56" s="72">
        <v>100</v>
      </c>
      <c r="G56" s="72">
        <v>100</v>
      </c>
      <c r="H56" s="66">
        <v>5109</v>
      </c>
      <c r="I56" s="89">
        <v>0.18609999999999999</v>
      </c>
      <c r="J56" s="89">
        <v>0.18609999999999999</v>
      </c>
      <c r="K56" s="83">
        <v>31305391888</v>
      </c>
      <c r="L56" s="65">
        <f t="shared" si="38"/>
        <v>7.1272069956537258E-3</v>
      </c>
      <c r="M56" s="72">
        <v>100</v>
      </c>
      <c r="N56" s="72">
        <v>100</v>
      </c>
      <c r="O56" s="66">
        <v>5161</v>
      </c>
      <c r="P56" s="89">
        <v>0.1832</v>
      </c>
      <c r="Q56" s="89">
        <v>0.1832</v>
      </c>
      <c r="R56" s="94">
        <f t="shared" si="21"/>
        <v>7.4886768548565802E-3</v>
      </c>
      <c r="S56" s="94">
        <f t="shared" si="22"/>
        <v>0</v>
      </c>
      <c r="T56" s="94">
        <f t="shared" si="23"/>
        <v>1.0178117048346057E-2</v>
      </c>
      <c r="U56" s="95">
        <f t="shared" si="24"/>
        <v>-2.8999999999999859E-3</v>
      </c>
      <c r="V56" s="96">
        <f t="shared" si="25"/>
        <v>-2.8999999999999859E-3</v>
      </c>
    </row>
    <row r="57" spans="1:22">
      <c r="A57" s="82">
        <v>49</v>
      </c>
      <c r="B57" s="62" t="s">
        <v>106</v>
      </c>
      <c r="C57" s="63" t="s">
        <v>107</v>
      </c>
      <c r="D57" s="83">
        <v>203703048.11000001</v>
      </c>
      <c r="E57" s="65">
        <f t="shared" si="37"/>
        <v>4.6376477084833978E-5</v>
      </c>
      <c r="F57" s="72">
        <v>1</v>
      </c>
      <c r="G57" s="72">
        <v>1</v>
      </c>
      <c r="H57" s="66">
        <v>93</v>
      </c>
      <c r="I57" s="89">
        <v>0.18490000000000001</v>
      </c>
      <c r="J57" s="89">
        <v>0.18490000000000001</v>
      </c>
      <c r="K57" s="83">
        <v>162139677.86000001</v>
      </c>
      <c r="L57" s="65">
        <f t="shared" si="38"/>
        <v>3.6913866162454908E-5</v>
      </c>
      <c r="M57" s="72">
        <v>1</v>
      </c>
      <c r="N57" s="72">
        <v>1</v>
      </c>
      <c r="O57" s="66">
        <v>93</v>
      </c>
      <c r="P57" s="89">
        <v>0.19980000000000001</v>
      </c>
      <c r="Q57" s="89">
        <v>0.19980000000000001</v>
      </c>
      <c r="R57" s="94">
        <f t="shared" si="21"/>
        <v>-0.20403901971832894</v>
      </c>
      <c r="S57" s="94">
        <f t="shared" si="22"/>
        <v>0</v>
      </c>
      <c r="T57" s="94">
        <f t="shared" si="23"/>
        <v>0</v>
      </c>
      <c r="U57" s="95">
        <f t="shared" si="24"/>
        <v>1.4899999999999997E-2</v>
      </c>
      <c r="V57" s="96">
        <f t="shared" si="25"/>
        <v>1.4899999999999997E-2</v>
      </c>
    </row>
    <row r="58" spans="1:22">
      <c r="A58" s="82">
        <v>50</v>
      </c>
      <c r="B58" s="62" t="s">
        <v>108</v>
      </c>
      <c r="C58" s="63" t="s">
        <v>47</v>
      </c>
      <c r="D58" s="87">
        <v>1981889862.4100001</v>
      </c>
      <c r="E58" s="65">
        <f t="shared" si="37"/>
        <v>4.5121106749020719E-4</v>
      </c>
      <c r="F58" s="72">
        <v>10</v>
      </c>
      <c r="G58" s="72">
        <v>10</v>
      </c>
      <c r="H58" s="66">
        <v>883</v>
      </c>
      <c r="I58" s="89">
        <v>0.1701</v>
      </c>
      <c r="J58" s="89">
        <v>0.1701</v>
      </c>
      <c r="K58" s="87">
        <v>2080133574.75</v>
      </c>
      <c r="L58" s="65">
        <f t="shared" si="38"/>
        <v>4.7357792609315093E-4</v>
      </c>
      <c r="M58" s="72">
        <v>10</v>
      </c>
      <c r="N58" s="72">
        <v>10</v>
      </c>
      <c r="O58" s="66">
        <v>896</v>
      </c>
      <c r="P58" s="89">
        <v>0.16719999999999999</v>
      </c>
      <c r="Q58" s="89">
        <v>0.16719999999999999</v>
      </c>
      <c r="R58" s="94">
        <f t="shared" si="21"/>
        <v>4.9570722472203614E-2</v>
      </c>
      <c r="S58" s="94">
        <f t="shared" si="22"/>
        <v>0</v>
      </c>
      <c r="T58" s="94">
        <f t="shared" si="23"/>
        <v>1.4722536806342015E-2</v>
      </c>
      <c r="U58" s="95">
        <f t="shared" si="24"/>
        <v>-2.9000000000000137E-3</v>
      </c>
      <c r="V58" s="96">
        <f t="shared" si="25"/>
        <v>-2.9000000000000137E-3</v>
      </c>
    </row>
    <row r="59" spans="1:22">
      <c r="A59" s="82">
        <v>51</v>
      </c>
      <c r="B59" s="62" t="s">
        <v>109</v>
      </c>
      <c r="C59" s="63" t="s">
        <v>110</v>
      </c>
      <c r="D59" s="87">
        <v>1088392419</v>
      </c>
      <c r="E59" s="65">
        <f t="shared" si="37"/>
        <v>2.4779111823502754E-4</v>
      </c>
      <c r="F59" s="72">
        <v>1</v>
      </c>
      <c r="G59" s="72">
        <v>1</v>
      </c>
      <c r="H59" s="66">
        <v>155</v>
      </c>
      <c r="I59" s="89">
        <v>0.2198</v>
      </c>
      <c r="J59" s="89">
        <v>0.2198</v>
      </c>
      <c r="K59" s="87">
        <v>1060148419</v>
      </c>
      <c r="L59" s="65">
        <f t="shared" si="38"/>
        <v>2.4136088937523788E-4</v>
      </c>
      <c r="M59" s="72">
        <v>1</v>
      </c>
      <c r="N59" s="72">
        <v>1</v>
      </c>
      <c r="O59" s="66">
        <v>155</v>
      </c>
      <c r="P59" s="89">
        <v>0.2268</v>
      </c>
      <c r="Q59" s="89">
        <v>0.2268</v>
      </c>
      <c r="R59" s="94">
        <f t="shared" si="21"/>
        <v>-2.5950199125743818E-2</v>
      </c>
      <c r="S59" s="94">
        <f t="shared" si="22"/>
        <v>0</v>
      </c>
      <c r="T59" s="94">
        <f t="shared" si="23"/>
        <v>0</v>
      </c>
      <c r="U59" s="95">
        <f t="shared" si="24"/>
        <v>7.0000000000000062E-3</v>
      </c>
      <c r="V59" s="96">
        <f t="shared" si="25"/>
        <v>7.0000000000000062E-3</v>
      </c>
    </row>
    <row r="60" spans="1:22">
      <c r="A60" s="82">
        <v>52</v>
      </c>
      <c r="B60" s="62" t="s">
        <v>111</v>
      </c>
      <c r="C60" s="63" t="s">
        <v>112</v>
      </c>
      <c r="D60" s="87">
        <v>1592562772.82289</v>
      </c>
      <c r="E60" s="65">
        <f t="shared" si="37"/>
        <v>3.6257410787538761E-4</v>
      </c>
      <c r="F60" s="72">
        <v>1</v>
      </c>
      <c r="G60" s="72">
        <v>1</v>
      </c>
      <c r="H60" s="66">
        <v>1449</v>
      </c>
      <c r="I60" s="89">
        <v>0.17630000000000001</v>
      </c>
      <c r="J60" s="89">
        <v>0.17630000000000001</v>
      </c>
      <c r="K60" s="87">
        <v>1723944670.3199999</v>
      </c>
      <c r="L60" s="65">
        <f t="shared" si="38"/>
        <v>3.9248544015622064E-4</v>
      </c>
      <c r="M60" s="72">
        <v>1</v>
      </c>
      <c r="N60" s="72">
        <v>1</v>
      </c>
      <c r="O60" s="66">
        <v>1512</v>
      </c>
      <c r="P60" s="89">
        <v>0.17599999999999999</v>
      </c>
      <c r="Q60" s="89">
        <v>0.17599999999999999</v>
      </c>
      <c r="R60" s="94">
        <f t="shared" si="21"/>
        <v>8.2497154736468875E-2</v>
      </c>
      <c r="S60" s="94">
        <f t="shared" si="22"/>
        <v>0</v>
      </c>
      <c r="T60" s="94">
        <f t="shared" si="23"/>
        <v>4.3478260869565216E-2</v>
      </c>
      <c r="U60" s="95">
        <f t="shared" si="24"/>
        <v>-3.0000000000002247E-4</v>
      </c>
      <c r="V60" s="96">
        <f t="shared" si="25"/>
        <v>-3.0000000000002247E-4</v>
      </c>
    </row>
    <row r="61" spans="1:22">
      <c r="A61" s="82">
        <v>53</v>
      </c>
      <c r="B61" s="62" t="s">
        <v>113</v>
      </c>
      <c r="C61" s="63" t="s">
        <v>114</v>
      </c>
      <c r="D61" s="87">
        <v>14847579523.503901</v>
      </c>
      <c r="E61" s="65">
        <f t="shared" si="37"/>
        <v>3.3803049975236268E-3</v>
      </c>
      <c r="F61" s="72">
        <v>100</v>
      </c>
      <c r="G61" s="72">
        <v>100</v>
      </c>
      <c r="H61" s="66">
        <v>148</v>
      </c>
      <c r="I61" s="89">
        <v>0.17430000000000001</v>
      </c>
      <c r="J61" s="89">
        <v>0.17430000000000001</v>
      </c>
      <c r="K61" s="87">
        <v>14768053149.1045</v>
      </c>
      <c r="L61" s="65">
        <f t="shared" si="38"/>
        <v>3.3621994604970912E-3</v>
      </c>
      <c r="M61" s="72">
        <v>100</v>
      </c>
      <c r="N61" s="72">
        <v>100</v>
      </c>
      <c r="O61" s="66">
        <v>147</v>
      </c>
      <c r="P61" s="89">
        <v>0.1782</v>
      </c>
      <c r="Q61" s="89">
        <v>0.1782</v>
      </c>
      <c r="R61" s="94">
        <f t="shared" si="21"/>
        <v>-5.3561844389187806E-3</v>
      </c>
      <c r="S61" s="94">
        <f t="shared" si="22"/>
        <v>0</v>
      </c>
      <c r="T61" s="94">
        <f t="shared" si="23"/>
        <v>-6.7567567567567571E-3</v>
      </c>
      <c r="U61" s="95">
        <f t="shared" si="24"/>
        <v>3.8999999999999868E-3</v>
      </c>
      <c r="V61" s="96">
        <f t="shared" si="25"/>
        <v>3.8999999999999868E-3</v>
      </c>
    </row>
    <row r="62" spans="1:22">
      <c r="A62" s="82">
        <v>54</v>
      </c>
      <c r="B62" s="62" t="s">
        <v>115</v>
      </c>
      <c r="C62" s="63" t="s">
        <v>78</v>
      </c>
      <c r="D62" s="87">
        <v>69602696.849999994</v>
      </c>
      <c r="E62" s="65">
        <f t="shared" si="37"/>
        <v>1.5846242387907638E-5</v>
      </c>
      <c r="F62" s="72">
        <v>1000</v>
      </c>
      <c r="G62" s="72">
        <v>1000</v>
      </c>
      <c r="H62" s="66">
        <v>23</v>
      </c>
      <c r="I62" s="89">
        <v>8.6999999999999994E-3</v>
      </c>
      <c r="J62" s="89">
        <v>0.2271</v>
      </c>
      <c r="K62" s="87">
        <v>69798224.159999996</v>
      </c>
      <c r="L62" s="65">
        <f t="shared" si="38"/>
        <v>1.5890757518612886E-5</v>
      </c>
      <c r="M62" s="72">
        <v>1000</v>
      </c>
      <c r="N62" s="72">
        <v>1000</v>
      </c>
      <c r="O62" s="66">
        <v>23</v>
      </c>
      <c r="P62" s="89">
        <v>8.6E-3</v>
      </c>
      <c r="Q62" s="89">
        <v>0.22700000000000001</v>
      </c>
      <c r="R62" s="94">
        <f t="shared" si="21"/>
        <v>2.8091915809150491E-3</v>
      </c>
      <c r="S62" s="94">
        <f t="shared" si="22"/>
        <v>0</v>
      </c>
      <c r="T62" s="94">
        <f t="shared" si="23"/>
        <v>0</v>
      </c>
      <c r="U62" s="95">
        <f t="shared" si="24"/>
        <v>-9.9999999999999395E-5</v>
      </c>
      <c r="V62" s="96">
        <f t="shared" si="25"/>
        <v>-9.9999999999988987E-5</v>
      </c>
    </row>
    <row r="63" spans="1:22">
      <c r="A63" s="174">
        <v>55</v>
      </c>
      <c r="B63" s="175" t="s">
        <v>116</v>
      </c>
      <c r="C63" s="176" t="s">
        <v>51</v>
      </c>
      <c r="D63" s="83">
        <v>2128369889592.8101</v>
      </c>
      <c r="E63" s="65">
        <f t="shared" si="37"/>
        <v>0.48455974679107405</v>
      </c>
      <c r="F63" s="72">
        <v>100</v>
      </c>
      <c r="G63" s="72">
        <v>100</v>
      </c>
      <c r="H63" s="66">
        <v>242199</v>
      </c>
      <c r="I63" s="89">
        <v>0.18099999999999999</v>
      </c>
      <c r="J63" s="89">
        <v>0.18099999999999999</v>
      </c>
      <c r="K63" s="83">
        <v>2154214060273</v>
      </c>
      <c r="L63" s="65">
        <f t="shared" si="38"/>
        <v>0.49044361352967647</v>
      </c>
      <c r="M63" s="72">
        <v>100</v>
      </c>
      <c r="N63" s="72">
        <v>100</v>
      </c>
      <c r="O63" s="66">
        <v>245173</v>
      </c>
      <c r="P63" s="89">
        <v>0.17019999999999999</v>
      </c>
      <c r="Q63" s="89">
        <v>0.17019999999999999</v>
      </c>
      <c r="R63" s="94">
        <f t="shared" si="21"/>
        <v>1.2142706400124055E-2</v>
      </c>
      <c r="S63" s="94">
        <f t="shared" si="22"/>
        <v>0</v>
      </c>
      <c r="T63" s="94">
        <f t="shared" si="23"/>
        <v>1.227915887348833E-2</v>
      </c>
      <c r="U63" s="95">
        <f t="shared" si="24"/>
        <v>-1.0800000000000004E-2</v>
      </c>
      <c r="V63" s="96">
        <f t="shared" si="25"/>
        <v>-1.0800000000000004E-2</v>
      </c>
    </row>
    <row r="64" spans="1:22">
      <c r="A64" s="82">
        <v>56</v>
      </c>
      <c r="B64" s="62" t="s">
        <v>117</v>
      </c>
      <c r="C64" s="62" t="s">
        <v>118</v>
      </c>
      <c r="D64" s="83">
        <v>6558968448.3100004</v>
      </c>
      <c r="E64" s="65">
        <f t="shared" si="37"/>
        <v>1.4932611601321697E-3</v>
      </c>
      <c r="F64" s="72">
        <v>100</v>
      </c>
      <c r="G64" s="72">
        <v>100</v>
      </c>
      <c r="H64" s="66">
        <v>858</v>
      </c>
      <c r="I64" s="89">
        <v>0.2039</v>
      </c>
      <c r="J64" s="89">
        <v>0.2039</v>
      </c>
      <c r="K64" s="83">
        <v>6749559557.9499998</v>
      </c>
      <c r="L64" s="65">
        <f t="shared" si="38"/>
        <v>1.536652480540981E-3</v>
      </c>
      <c r="M64" s="72">
        <v>100</v>
      </c>
      <c r="N64" s="72">
        <v>100</v>
      </c>
      <c r="O64" s="66">
        <v>893</v>
      </c>
      <c r="P64" s="89">
        <v>0.20180000000000001</v>
      </c>
      <c r="Q64" s="89">
        <v>0.20180000000000001</v>
      </c>
      <c r="R64" s="94">
        <f t="shared" si="21"/>
        <v>2.9058092159157674E-2</v>
      </c>
      <c r="S64" s="94">
        <f t="shared" si="22"/>
        <v>0</v>
      </c>
      <c r="T64" s="94">
        <f t="shared" si="23"/>
        <v>4.0792540792540792E-2</v>
      </c>
      <c r="U64" s="95">
        <f t="shared" si="24"/>
        <v>-2.0999999999999908E-3</v>
      </c>
      <c r="V64" s="96">
        <f t="shared" si="25"/>
        <v>-2.0999999999999908E-3</v>
      </c>
    </row>
    <row r="65" spans="1:22">
      <c r="A65" s="82">
        <v>57</v>
      </c>
      <c r="B65" s="98" t="s">
        <v>119</v>
      </c>
      <c r="C65" s="63" t="s">
        <v>120</v>
      </c>
      <c r="D65" s="83">
        <v>7418005822.1000004</v>
      </c>
      <c r="E65" s="65">
        <f t="shared" si="37"/>
        <v>1.6888356861406108E-3</v>
      </c>
      <c r="F65" s="72">
        <v>1</v>
      </c>
      <c r="G65" s="72">
        <v>1</v>
      </c>
      <c r="H65" s="66">
        <v>586</v>
      </c>
      <c r="I65" s="89">
        <v>0.19708690000000001</v>
      </c>
      <c r="J65" s="89">
        <v>0.19708690000000001</v>
      </c>
      <c r="K65" s="83">
        <v>7492187994.7200003</v>
      </c>
      <c r="L65" s="65">
        <f t="shared" si="38"/>
        <v>1.7057245243810519E-3</v>
      </c>
      <c r="M65" s="72">
        <v>1</v>
      </c>
      <c r="N65" s="72">
        <v>1</v>
      </c>
      <c r="O65" s="66">
        <v>586</v>
      </c>
      <c r="P65" s="89">
        <v>0.19727500000000001</v>
      </c>
      <c r="Q65" s="89">
        <v>0.19727500000000001</v>
      </c>
      <c r="R65" s="94">
        <f t="shared" si="21"/>
        <v>1.0000285036039414E-2</v>
      </c>
      <c r="S65" s="94">
        <f t="shared" si="22"/>
        <v>0</v>
      </c>
      <c r="T65" s="94">
        <f t="shared" si="23"/>
        <v>0</v>
      </c>
      <c r="U65" s="95">
        <f t="shared" si="24"/>
        <v>1.880999999999966E-4</v>
      </c>
      <c r="V65" s="96">
        <f t="shared" si="25"/>
        <v>1.880999999999966E-4</v>
      </c>
    </row>
    <row r="66" spans="1:22">
      <c r="A66" s="82">
        <v>58</v>
      </c>
      <c r="B66" s="62" t="s">
        <v>121</v>
      </c>
      <c r="C66" s="63" t="s">
        <v>54</v>
      </c>
      <c r="D66" s="83">
        <v>185743276255.26999</v>
      </c>
      <c r="E66" s="65">
        <f t="shared" si="37"/>
        <v>4.2287628363140033E-2</v>
      </c>
      <c r="F66" s="72">
        <v>1</v>
      </c>
      <c r="G66" s="72">
        <v>1</v>
      </c>
      <c r="H66" s="66">
        <v>72547</v>
      </c>
      <c r="I66" s="89">
        <v>0.1671</v>
      </c>
      <c r="J66" s="89">
        <v>0.1671</v>
      </c>
      <c r="K66" s="83">
        <v>185989327137.04999</v>
      </c>
      <c r="L66" s="65">
        <f t="shared" si="38"/>
        <v>4.2343646047639343E-2</v>
      </c>
      <c r="M66" s="72">
        <v>1</v>
      </c>
      <c r="N66" s="72">
        <v>1</v>
      </c>
      <c r="O66" s="66">
        <v>73127</v>
      </c>
      <c r="P66" s="89">
        <v>0.16669999999999999</v>
      </c>
      <c r="Q66" s="89">
        <v>0.16669999999999999</v>
      </c>
      <c r="R66" s="94">
        <f t="shared" si="21"/>
        <v>1.3246825766217618E-3</v>
      </c>
      <c r="S66" s="94">
        <f t="shared" si="22"/>
        <v>0</v>
      </c>
      <c r="T66" s="94">
        <f t="shared" si="23"/>
        <v>7.994817153018044E-3</v>
      </c>
      <c r="U66" s="95">
        <f t="shared" si="24"/>
        <v>-4.0000000000001146E-4</v>
      </c>
      <c r="V66" s="96">
        <f t="shared" si="25"/>
        <v>-4.0000000000001146E-4</v>
      </c>
    </row>
    <row r="67" spans="1:22">
      <c r="A67" s="82">
        <v>59</v>
      </c>
      <c r="B67" s="62" t="s">
        <v>122</v>
      </c>
      <c r="C67" s="63" t="s">
        <v>123</v>
      </c>
      <c r="D67" s="83">
        <v>2254944699.6100001</v>
      </c>
      <c r="E67" s="65">
        <f t="shared" si="37"/>
        <v>5.1337666352719257E-4</v>
      </c>
      <c r="F67" s="72">
        <v>1</v>
      </c>
      <c r="G67" s="72">
        <v>1</v>
      </c>
      <c r="H67" s="66">
        <v>153</v>
      </c>
      <c r="I67" s="89">
        <v>0.1762</v>
      </c>
      <c r="J67" s="89">
        <v>0.1762</v>
      </c>
      <c r="K67" s="83">
        <v>2116967652.8599999</v>
      </c>
      <c r="L67" s="65">
        <f t="shared" si="38"/>
        <v>4.8196383290828582E-4</v>
      </c>
      <c r="M67" s="72">
        <v>1</v>
      </c>
      <c r="N67" s="72">
        <v>1</v>
      </c>
      <c r="O67" s="66">
        <v>154</v>
      </c>
      <c r="P67" s="89">
        <v>0.1767</v>
      </c>
      <c r="Q67" s="89">
        <v>0.1767</v>
      </c>
      <c r="R67" s="94">
        <f t="shared" si="21"/>
        <v>-6.1188660978632341E-2</v>
      </c>
      <c r="S67" s="94">
        <f t="shared" si="22"/>
        <v>0</v>
      </c>
      <c r="T67" s="94">
        <f t="shared" si="23"/>
        <v>6.5359477124183009E-3</v>
      </c>
      <c r="U67" s="95">
        <f t="shared" si="24"/>
        <v>5.0000000000000044E-4</v>
      </c>
      <c r="V67" s="96">
        <f t="shared" si="25"/>
        <v>5.0000000000000044E-4</v>
      </c>
    </row>
    <row r="68" spans="1:22">
      <c r="A68" s="82">
        <v>60</v>
      </c>
      <c r="B68" s="62" t="s">
        <v>124</v>
      </c>
      <c r="C68" s="63" t="s">
        <v>125</v>
      </c>
      <c r="D68" s="83">
        <v>7394647420.5299997</v>
      </c>
      <c r="E68" s="65">
        <f t="shared" si="37"/>
        <v>1.6835177471838773E-3</v>
      </c>
      <c r="F68" s="72">
        <v>1</v>
      </c>
      <c r="G68" s="72">
        <v>1</v>
      </c>
      <c r="H68" s="66">
        <v>481</v>
      </c>
      <c r="I68" s="89">
        <v>0.1769</v>
      </c>
      <c r="J68" s="89">
        <v>0.1769</v>
      </c>
      <c r="K68" s="83">
        <v>7345583805.5299997</v>
      </c>
      <c r="L68" s="65">
        <f t="shared" si="38"/>
        <v>1.6723475774792105E-3</v>
      </c>
      <c r="M68" s="72">
        <v>1</v>
      </c>
      <c r="N68" s="72">
        <v>1</v>
      </c>
      <c r="O68" s="66">
        <v>532</v>
      </c>
      <c r="P68" s="89">
        <v>0.1757</v>
      </c>
      <c r="Q68" s="89">
        <v>0.1757</v>
      </c>
      <c r="R68" s="94">
        <f t="shared" si="21"/>
        <v>-6.6350174943815565E-3</v>
      </c>
      <c r="S68" s="94">
        <f t="shared" si="22"/>
        <v>0</v>
      </c>
      <c r="T68" s="94">
        <f t="shared" si="23"/>
        <v>0.10602910602910603</v>
      </c>
      <c r="U68" s="95">
        <f t="shared" si="24"/>
        <v>-1.2000000000000066E-3</v>
      </c>
      <c r="V68" s="96">
        <f t="shared" si="25"/>
        <v>-1.2000000000000066E-3</v>
      </c>
    </row>
    <row r="69" spans="1:22">
      <c r="A69" s="82">
        <v>61</v>
      </c>
      <c r="B69" s="62" t="s">
        <v>126</v>
      </c>
      <c r="C69" s="63" t="s">
        <v>127</v>
      </c>
      <c r="D69" s="83">
        <v>8960557973.7900009</v>
      </c>
      <c r="E69" s="65">
        <f t="shared" si="37"/>
        <v>2.0400240221952678E-3</v>
      </c>
      <c r="F69" s="72">
        <v>1</v>
      </c>
      <c r="G69" s="72">
        <v>1</v>
      </c>
      <c r="H69" s="66">
        <v>4954</v>
      </c>
      <c r="I69" s="89">
        <v>0.20100000000000001</v>
      </c>
      <c r="J69" s="89">
        <v>0.20100000000000001</v>
      </c>
      <c r="K69" s="83">
        <v>9206840158.8600006</v>
      </c>
      <c r="L69" s="65">
        <f t="shared" si="38"/>
        <v>2.0960943668379946E-3</v>
      </c>
      <c r="M69" s="72">
        <v>1</v>
      </c>
      <c r="N69" s="72">
        <v>1</v>
      </c>
      <c r="O69" s="66">
        <v>4990</v>
      </c>
      <c r="P69" s="89">
        <v>0.19889999999999999</v>
      </c>
      <c r="Q69" s="89">
        <v>0.19889999999999999</v>
      </c>
      <c r="R69" s="94">
        <f t="shared" si="21"/>
        <v>2.7485139406539769E-2</v>
      </c>
      <c r="S69" s="94">
        <f t="shared" si="22"/>
        <v>0</v>
      </c>
      <c r="T69" s="94">
        <f t="shared" si="23"/>
        <v>7.2668550666128385E-3</v>
      </c>
      <c r="U69" s="95">
        <f t="shared" si="24"/>
        <v>-2.1000000000000185E-3</v>
      </c>
      <c r="V69" s="96">
        <f t="shared" si="25"/>
        <v>-2.1000000000000185E-3</v>
      </c>
    </row>
    <row r="70" spans="1:22">
      <c r="A70" s="82">
        <v>62</v>
      </c>
      <c r="B70" s="62" t="s">
        <v>128</v>
      </c>
      <c r="C70" s="63" t="s">
        <v>129</v>
      </c>
      <c r="D70" s="83">
        <v>134688496833.64999</v>
      </c>
      <c r="E70" s="65">
        <f t="shared" si="37"/>
        <v>3.066413607921786E-2</v>
      </c>
      <c r="F70" s="72">
        <v>1</v>
      </c>
      <c r="G70" s="72">
        <v>1</v>
      </c>
      <c r="H70" s="66">
        <v>6627</v>
      </c>
      <c r="I70" s="89">
        <v>0.1726</v>
      </c>
      <c r="J70" s="89">
        <v>0.1726</v>
      </c>
      <c r="K70" s="83">
        <v>130567479241.09</v>
      </c>
      <c r="L70" s="65">
        <f t="shared" si="38"/>
        <v>2.9725916058846086E-2</v>
      </c>
      <c r="M70" s="72">
        <v>1</v>
      </c>
      <c r="N70" s="72">
        <v>1</v>
      </c>
      <c r="O70" s="66">
        <v>6701</v>
      </c>
      <c r="P70" s="89">
        <v>0.17460000000000001</v>
      </c>
      <c r="Q70" s="89">
        <v>0.17460000000000001</v>
      </c>
      <c r="R70" s="94">
        <f t="shared" si="21"/>
        <v>-3.0596655909299747E-2</v>
      </c>
      <c r="S70" s="94">
        <f t="shared" si="22"/>
        <v>0</v>
      </c>
      <c r="T70" s="94">
        <f t="shared" si="23"/>
        <v>1.1166440319903425E-2</v>
      </c>
      <c r="U70" s="95">
        <f t="shared" si="24"/>
        <v>2.0000000000000018E-3</v>
      </c>
      <c r="V70" s="96">
        <f t="shared" si="25"/>
        <v>2.0000000000000018E-3</v>
      </c>
    </row>
    <row r="71" spans="1:22">
      <c r="A71" s="73"/>
      <c r="B71" s="74"/>
      <c r="C71" s="75" t="s">
        <v>57</v>
      </c>
      <c r="D71" s="99">
        <f>SUM(D28:D70)</f>
        <v>4345978196238.9224</v>
      </c>
      <c r="E71" s="77">
        <f>(D71/$D$229)</f>
        <v>0.61170281540591198</v>
      </c>
      <c r="F71" s="78"/>
      <c r="G71" s="84"/>
      <c r="H71" s="80">
        <f>SUM(H28:H70)</f>
        <v>562386</v>
      </c>
      <c r="I71" s="103"/>
      <c r="J71" s="103"/>
      <c r="K71" s="99">
        <f>SUM(K28:K70)</f>
        <v>4392378656476.5811</v>
      </c>
      <c r="L71" s="77">
        <f>(K71/$K$229)</f>
        <v>0.61334049273222302</v>
      </c>
      <c r="M71" s="78"/>
      <c r="N71" s="84"/>
      <c r="O71" s="80">
        <f>SUM(O28:O70)</f>
        <v>567292</v>
      </c>
      <c r="P71" s="103"/>
      <c r="Q71" s="103"/>
      <c r="R71" s="94">
        <f t="shared" si="21"/>
        <v>1.0676643586894748E-2</v>
      </c>
      <c r="S71" s="94" t="e">
        <f t="shared" si="22"/>
        <v>#DIV/0!</v>
      </c>
      <c r="T71" s="94">
        <f t="shared" si="23"/>
        <v>8.7235457497163871E-3</v>
      </c>
      <c r="U71" s="95">
        <f t="shared" si="24"/>
        <v>0</v>
      </c>
      <c r="V71" s="96">
        <f t="shared" si="25"/>
        <v>0</v>
      </c>
    </row>
    <row r="72" spans="1:22" ht="3" customHeight="1">
      <c r="A72" s="73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</row>
    <row r="73" spans="1:22" ht="15" customHeight="1">
      <c r="A73" s="191" t="s">
        <v>130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</row>
    <row r="74" spans="1:22">
      <c r="A74" s="82">
        <v>63</v>
      </c>
      <c r="B74" s="62" t="s">
        <v>131</v>
      </c>
      <c r="C74" s="63" t="s">
        <v>23</v>
      </c>
      <c r="D74" s="70">
        <v>675523563.55999994</v>
      </c>
      <c r="E74" s="65">
        <f>(D74/$D$113)</f>
        <v>2.7906353061466376E-3</v>
      </c>
      <c r="F74" s="100">
        <v>1.6955</v>
      </c>
      <c r="G74" s="100">
        <v>1.6955</v>
      </c>
      <c r="H74" s="66">
        <v>517</v>
      </c>
      <c r="I74" s="89">
        <v>1.0629999999999999E-3</v>
      </c>
      <c r="J74" s="89">
        <v>0.30049999999999999</v>
      </c>
      <c r="K74" s="70">
        <v>683906217.94000006</v>
      </c>
      <c r="L74" s="65">
        <f t="shared" ref="L74:L97" si="39">(K74/$K$113)</f>
        <v>2.8113229642647737E-3</v>
      </c>
      <c r="M74" s="100">
        <v>1.7062999999999999</v>
      </c>
      <c r="N74" s="100">
        <v>1.7062999999999999</v>
      </c>
      <c r="O74" s="66">
        <v>520</v>
      </c>
      <c r="P74" s="89">
        <v>1.291E-3</v>
      </c>
      <c r="Q74" s="89">
        <v>0.30880000000000002</v>
      </c>
      <c r="R74" s="94">
        <f>((K74-D74)/D74)</f>
        <v>1.2409122097567759E-2</v>
      </c>
      <c r="S74" s="94">
        <f>((N74-G74)/G74)</f>
        <v>6.369802418165686E-3</v>
      </c>
      <c r="T74" s="94">
        <f>((O74-H74)/H74)</f>
        <v>5.8027079303675051E-3</v>
      </c>
      <c r="U74" s="95">
        <f>P74-I74</f>
        <v>2.2800000000000012E-4</v>
      </c>
      <c r="V74" s="96">
        <f>Q74-J74</f>
        <v>8.3000000000000296E-3</v>
      </c>
    </row>
    <row r="75" spans="1:22">
      <c r="A75" s="82">
        <v>64</v>
      </c>
      <c r="B75" s="62" t="s">
        <v>132</v>
      </c>
      <c r="C75" s="63" t="s">
        <v>25</v>
      </c>
      <c r="D75" s="70">
        <v>1357171805.79</v>
      </c>
      <c r="E75" s="65">
        <f>(D75/$D$113)</f>
        <v>5.6065720902243078E-3</v>
      </c>
      <c r="F75" s="100">
        <v>1.3572</v>
      </c>
      <c r="G75" s="100">
        <v>1.3572</v>
      </c>
      <c r="H75" s="66">
        <v>1313</v>
      </c>
      <c r="I75" s="89">
        <v>0.10390000000000001</v>
      </c>
      <c r="J75" s="89">
        <v>0.1789</v>
      </c>
      <c r="K75" s="70">
        <v>1386692717.79</v>
      </c>
      <c r="L75" s="65">
        <f t="shared" si="39"/>
        <v>5.7002568183168257E-3</v>
      </c>
      <c r="M75" s="100">
        <v>1.3608</v>
      </c>
      <c r="N75" s="100">
        <v>1.3608</v>
      </c>
      <c r="O75" s="66">
        <v>1340</v>
      </c>
      <c r="P75" s="89">
        <v>0.13830000000000001</v>
      </c>
      <c r="Q75" s="89">
        <v>0.1784</v>
      </c>
      <c r="R75" s="94">
        <f t="shared" ref="R75:R113" si="40">((K75-D75)/D75)</f>
        <v>2.1751786969090543E-2</v>
      </c>
      <c r="S75" s="94">
        <f t="shared" ref="S75:S113" si="41">((N75-G75)/G75)</f>
        <v>2.6525198938992392E-3</v>
      </c>
      <c r="T75" s="94">
        <f t="shared" ref="T75:T113" si="42">((O75-H75)/H75)</f>
        <v>2.0563594821020565E-2</v>
      </c>
      <c r="U75" s="95">
        <f t="shared" ref="U75:U113" si="43">P75-I75</f>
        <v>3.44E-2</v>
      </c>
      <c r="V75" s="96">
        <f t="shared" ref="V75:V113" si="44">Q75-J75</f>
        <v>-5.0000000000000044E-4</v>
      </c>
    </row>
    <row r="76" spans="1:22">
      <c r="A76" s="82">
        <v>65</v>
      </c>
      <c r="B76" s="62" t="s">
        <v>133</v>
      </c>
      <c r="C76" s="63" t="s">
        <v>25</v>
      </c>
      <c r="D76" s="70">
        <v>813921156.25999999</v>
      </c>
      <c r="E76" s="65">
        <f>(D76/$D$113)</f>
        <v>3.3623654859777645E-3</v>
      </c>
      <c r="F76" s="100">
        <v>1.1879999999999999</v>
      </c>
      <c r="G76" s="100">
        <v>1.1879999999999999</v>
      </c>
      <c r="H76" s="66">
        <v>512</v>
      </c>
      <c r="I76" s="89">
        <v>0.1232</v>
      </c>
      <c r="J76" s="89">
        <v>0.12839999999999999</v>
      </c>
      <c r="K76" s="70">
        <v>817334960.65999997</v>
      </c>
      <c r="L76" s="65">
        <f t="shared" si="39"/>
        <v>3.3598064824167041E-3</v>
      </c>
      <c r="M76" s="100">
        <v>1.1908000000000001</v>
      </c>
      <c r="N76" s="100">
        <v>1.1908000000000001</v>
      </c>
      <c r="O76" s="66">
        <v>520</v>
      </c>
      <c r="P76" s="89">
        <v>0.1229</v>
      </c>
      <c r="Q76" s="89">
        <v>0.12859999999999999</v>
      </c>
      <c r="R76" s="94">
        <f t="shared" si="40"/>
        <v>4.1942691546273878E-3</v>
      </c>
      <c r="S76" s="94">
        <f t="shared" si="41"/>
        <v>2.3569023569024712E-3</v>
      </c>
      <c r="T76" s="94">
        <f t="shared" si="42"/>
        <v>1.5625E-2</v>
      </c>
      <c r="U76" s="95">
        <f t="shared" si="43"/>
        <v>-3.0000000000000859E-4</v>
      </c>
      <c r="V76" s="96">
        <f t="shared" si="44"/>
        <v>2.0000000000000573E-4</v>
      </c>
    </row>
    <row r="77" spans="1:22">
      <c r="A77" s="82">
        <v>66</v>
      </c>
      <c r="B77" s="62" t="s">
        <v>134</v>
      </c>
      <c r="C77" s="63" t="s">
        <v>65</v>
      </c>
      <c r="D77" s="70">
        <v>328220592.73000002</v>
      </c>
      <c r="E77" s="65">
        <f>(D77/$D$113)</f>
        <v>1.3559023307043536E-3</v>
      </c>
      <c r="F77" s="69">
        <v>1274.9100000000001</v>
      </c>
      <c r="G77" s="69">
        <v>1274.9100000000001</v>
      </c>
      <c r="H77" s="66">
        <v>109</v>
      </c>
      <c r="I77" s="89">
        <v>3.3E-3</v>
      </c>
      <c r="J77" s="89">
        <v>0.22789999999999999</v>
      </c>
      <c r="K77" s="70">
        <v>329277108.37</v>
      </c>
      <c r="L77" s="65">
        <f t="shared" si="39"/>
        <v>1.3535544378520253E-3</v>
      </c>
      <c r="M77" s="69">
        <v>1279.01</v>
      </c>
      <c r="N77" s="69">
        <v>1279.01</v>
      </c>
      <c r="O77" s="66">
        <v>109</v>
      </c>
      <c r="P77" s="89">
        <v>2.5000000000000001E-3</v>
      </c>
      <c r="Q77" s="89">
        <v>0.22670000000000001</v>
      </c>
      <c r="R77" s="94">
        <f t="shared" si="40"/>
        <v>3.2189194200532502E-3</v>
      </c>
      <c r="S77" s="94">
        <f t="shared" si="41"/>
        <v>3.2159132801530374E-3</v>
      </c>
      <c r="T77" s="94">
        <f t="shared" si="42"/>
        <v>0</v>
      </c>
      <c r="U77" s="95">
        <f t="shared" si="43"/>
        <v>-7.9999999999999993E-4</v>
      </c>
      <c r="V77" s="96">
        <f t="shared" si="44"/>
        <v>-1.1999999999999789E-3</v>
      </c>
    </row>
    <row r="78" spans="1:22" ht="15" customHeight="1">
      <c r="A78" s="82">
        <v>67</v>
      </c>
      <c r="B78" s="62" t="s">
        <v>135</v>
      </c>
      <c r="C78" s="63" t="s">
        <v>29</v>
      </c>
      <c r="D78" s="70">
        <v>1964370057.3499999</v>
      </c>
      <c r="E78" s="65">
        <f>(D78/$K$113)</f>
        <v>8.0749063361003973E-3</v>
      </c>
      <c r="F78" s="69">
        <v>1.0623</v>
      </c>
      <c r="G78" s="69">
        <v>1.0623</v>
      </c>
      <c r="H78" s="66">
        <v>997</v>
      </c>
      <c r="I78" s="89">
        <v>1E-3</v>
      </c>
      <c r="J78" s="89">
        <v>0.1172</v>
      </c>
      <c r="K78" s="70">
        <v>1951998157.96</v>
      </c>
      <c r="L78" s="65">
        <f t="shared" si="39"/>
        <v>8.0240493560725726E-3</v>
      </c>
      <c r="M78" s="69">
        <v>1.0649</v>
      </c>
      <c r="N78" s="69">
        <v>1.0649</v>
      </c>
      <c r="O78" s="66">
        <v>1001</v>
      </c>
      <c r="P78" s="89">
        <v>5.0000000000000001E-3</v>
      </c>
      <c r="Q78" s="89">
        <v>0.1196</v>
      </c>
      <c r="R78" s="94">
        <f t="shared" si="40"/>
        <v>-6.2981510758161156E-3</v>
      </c>
      <c r="S78" s="94">
        <f t="shared" si="41"/>
        <v>2.4475195330885208E-3</v>
      </c>
      <c r="T78" s="94">
        <f t="shared" si="42"/>
        <v>4.0120361083249749E-3</v>
      </c>
      <c r="U78" s="95">
        <f t="shared" si="43"/>
        <v>4.0000000000000001E-3</v>
      </c>
      <c r="V78" s="96">
        <f t="shared" si="44"/>
        <v>2.3999999999999994E-3</v>
      </c>
    </row>
    <row r="79" spans="1:22">
      <c r="A79" s="174">
        <v>68</v>
      </c>
      <c r="B79" s="175" t="s">
        <v>136</v>
      </c>
      <c r="C79" s="176" t="s">
        <v>137</v>
      </c>
      <c r="D79" s="70">
        <v>481349940.13999999</v>
      </c>
      <c r="E79" s="65">
        <f t="shared" ref="E79:E97" si="45">(D79/$D$113)</f>
        <v>1.9884904243565225E-3</v>
      </c>
      <c r="F79" s="69">
        <v>2.7654000000000001</v>
      </c>
      <c r="G79" s="69">
        <v>2.7654000000000001</v>
      </c>
      <c r="H79" s="66">
        <v>1390</v>
      </c>
      <c r="I79" s="89">
        <v>0.14480000000000001</v>
      </c>
      <c r="J79" s="89">
        <v>0.14480000000000001</v>
      </c>
      <c r="K79" s="70">
        <v>466823959.95999998</v>
      </c>
      <c r="L79" s="65">
        <f t="shared" si="39"/>
        <v>1.9189662039594221E-3</v>
      </c>
      <c r="M79" s="69">
        <v>2.6819999999999999</v>
      </c>
      <c r="N79" s="69">
        <v>2.6819999999999999</v>
      </c>
      <c r="O79" s="66">
        <v>1390</v>
      </c>
      <c r="P79" s="89">
        <v>0.1244</v>
      </c>
      <c r="Q79" s="89">
        <v>0.14729999999999999</v>
      </c>
      <c r="R79" s="94">
        <f t="shared" si="40"/>
        <v>-3.0177588005464683E-2</v>
      </c>
      <c r="S79" s="94">
        <f t="shared" si="41"/>
        <v>-3.0158385766977703E-2</v>
      </c>
      <c r="T79" s="94">
        <f t="shared" si="42"/>
        <v>0</v>
      </c>
      <c r="U79" s="95">
        <f t="shared" si="43"/>
        <v>-2.0400000000000015E-2</v>
      </c>
      <c r="V79" s="96">
        <f t="shared" si="44"/>
        <v>2.4999999999999745E-3</v>
      </c>
    </row>
    <row r="80" spans="1:22">
      <c r="A80" s="82">
        <v>69</v>
      </c>
      <c r="B80" s="63" t="s">
        <v>138</v>
      </c>
      <c r="C80" s="63" t="s">
        <v>139</v>
      </c>
      <c r="D80" s="70">
        <v>947045589.96000004</v>
      </c>
      <c r="E80" s="65">
        <f t="shared" si="45"/>
        <v>3.9123118754659245E-3</v>
      </c>
      <c r="F80" s="69">
        <v>1083.6600000000001</v>
      </c>
      <c r="G80" s="69">
        <v>1083.6600000000001</v>
      </c>
      <c r="H80" s="66">
        <v>250</v>
      </c>
      <c r="I80" s="89">
        <v>3.1700000000000001E-3</v>
      </c>
      <c r="J80" s="89">
        <v>8.0799999999999997E-2</v>
      </c>
      <c r="K80" s="70">
        <v>1022674239.0700001</v>
      </c>
      <c r="L80" s="65">
        <f t="shared" si="39"/>
        <v>4.2038915539026837E-3</v>
      </c>
      <c r="M80" s="69">
        <v>1086.5899999999999</v>
      </c>
      <c r="N80" s="69">
        <v>1086.5899999999999</v>
      </c>
      <c r="O80" s="66">
        <v>249</v>
      </c>
      <c r="P80" s="89">
        <v>1.9300000000000001E-3</v>
      </c>
      <c r="Q80" s="89">
        <v>8.3720000000000003E-2</v>
      </c>
      <c r="R80" s="94">
        <f t="shared" ref="R80" si="46">((K80-D80)/D80)</f>
        <v>7.9857453444447488E-2</v>
      </c>
      <c r="S80" s="94">
        <f t="shared" ref="S80" si="47">((N80-G80)/G80)</f>
        <v>2.7038000848973258E-3</v>
      </c>
      <c r="T80" s="94">
        <f t="shared" ref="T80" si="48">((O80-H80)/H80)</f>
        <v>-4.0000000000000001E-3</v>
      </c>
      <c r="U80" s="95">
        <f t="shared" si="43"/>
        <v>-1.24E-3</v>
      </c>
      <c r="V80" s="96">
        <f t="shared" si="44"/>
        <v>2.9200000000000059E-3</v>
      </c>
    </row>
    <row r="81" spans="1:22">
      <c r="A81" s="82">
        <v>70</v>
      </c>
      <c r="B81" s="62" t="s">
        <v>140</v>
      </c>
      <c r="C81" s="63" t="s">
        <v>70</v>
      </c>
      <c r="D81" s="70">
        <v>229021461.36000001</v>
      </c>
      <c r="E81" s="65">
        <f t="shared" si="45"/>
        <v>9.4610374887351778E-4</v>
      </c>
      <c r="F81" s="69">
        <v>12.53</v>
      </c>
      <c r="G81" s="69">
        <v>12.6</v>
      </c>
      <c r="H81" s="66">
        <v>43</v>
      </c>
      <c r="I81" s="89">
        <v>7.0000000000000001E-3</v>
      </c>
      <c r="J81" s="89">
        <v>0.29980000000000001</v>
      </c>
      <c r="K81" s="70">
        <v>230079495.28999999</v>
      </c>
      <c r="L81" s="65">
        <f t="shared" si="39"/>
        <v>9.4578430747938134E-4</v>
      </c>
      <c r="M81" s="69">
        <v>12.586</v>
      </c>
      <c r="N81" s="69">
        <v>12.637</v>
      </c>
      <c r="O81" s="66">
        <v>43</v>
      </c>
      <c r="P81" s="89">
        <v>2.1299999999999999E-3</v>
      </c>
      <c r="Q81" s="89">
        <v>0.2984</v>
      </c>
      <c r="R81" s="94">
        <f t="shared" si="40"/>
        <v>4.6198025447791915E-3</v>
      </c>
      <c r="S81" s="94">
        <f t="shared" si="41"/>
        <v>2.936507936508001E-3</v>
      </c>
      <c r="T81" s="94">
        <f t="shared" si="42"/>
        <v>0</v>
      </c>
      <c r="U81" s="95">
        <f t="shared" si="43"/>
        <v>-4.8700000000000002E-3</v>
      </c>
      <c r="V81" s="96">
        <f t="shared" si="44"/>
        <v>-1.4000000000000123E-3</v>
      </c>
    </row>
    <row r="82" spans="1:22">
      <c r="A82" s="82">
        <v>71</v>
      </c>
      <c r="B82" s="62" t="s">
        <v>141</v>
      </c>
      <c r="C82" s="63" t="s">
        <v>72</v>
      </c>
      <c r="D82" s="70">
        <v>2086573916.75297</v>
      </c>
      <c r="E82" s="65">
        <f t="shared" si="45"/>
        <v>8.6197834614222552E-3</v>
      </c>
      <c r="F82" s="70">
        <v>4805.9180381328397</v>
      </c>
      <c r="G82" s="70">
        <v>4805.9180381328397</v>
      </c>
      <c r="H82" s="66">
        <v>1159</v>
      </c>
      <c r="I82" s="89">
        <v>0.1036</v>
      </c>
      <c r="J82" s="89">
        <v>0.11550000000000001</v>
      </c>
      <c r="K82" s="70">
        <v>2092548853.8838401</v>
      </c>
      <c r="L82" s="65">
        <f t="shared" si="39"/>
        <v>8.6018089797301415E-3</v>
      </c>
      <c r="M82" s="70">
        <v>4815.7567472453202</v>
      </c>
      <c r="N82" s="70">
        <v>4815.7567472453202</v>
      </c>
      <c r="O82" s="66">
        <v>1163</v>
      </c>
      <c r="P82" s="89">
        <v>0.1067</v>
      </c>
      <c r="Q82" s="89">
        <v>0.11550000000000001</v>
      </c>
      <c r="R82" s="94">
        <f t="shared" si="40"/>
        <v>2.8635156813270365E-3</v>
      </c>
      <c r="S82" s="94">
        <f t="shared" si="41"/>
        <v>2.0472070131897142E-3</v>
      </c>
      <c r="T82" s="94">
        <f t="shared" si="42"/>
        <v>3.4512510785159622E-3</v>
      </c>
      <c r="U82" s="95">
        <f t="shared" si="43"/>
        <v>3.1000000000000055E-3</v>
      </c>
      <c r="V82" s="96">
        <f t="shared" si="44"/>
        <v>0</v>
      </c>
    </row>
    <row r="83" spans="1:22">
      <c r="A83" s="82">
        <v>72</v>
      </c>
      <c r="B83" s="62" t="s">
        <v>142</v>
      </c>
      <c r="C83" s="63" t="s">
        <v>74</v>
      </c>
      <c r="D83" s="70">
        <v>352448723.04000002</v>
      </c>
      <c r="E83" s="65">
        <f t="shared" si="45"/>
        <v>1.4559904393836333E-3</v>
      </c>
      <c r="F83" s="100">
        <v>116.45</v>
      </c>
      <c r="G83" s="100">
        <v>116.45</v>
      </c>
      <c r="H83" s="66">
        <v>93</v>
      </c>
      <c r="I83" s="89">
        <v>1.9E-3</v>
      </c>
      <c r="J83" s="89">
        <v>0.127</v>
      </c>
      <c r="K83" s="70">
        <v>352940461.56999999</v>
      </c>
      <c r="L83" s="65">
        <f t="shared" si="39"/>
        <v>1.4508270265748621E-3</v>
      </c>
      <c r="M83" s="100">
        <v>116.72</v>
      </c>
      <c r="N83" s="100">
        <v>116.72</v>
      </c>
      <c r="O83" s="66">
        <v>93</v>
      </c>
      <c r="P83" s="89">
        <v>2.3E-3</v>
      </c>
      <c r="Q83" s="89">
        <v>0.127</v>
      </c>
      <c r="R83" s="94">
        <f t="shared" si="40"/>
        <v>1.3952058777757668E-3</v>
      </c>
      <c r="S83" s="94">
        <f t="shared" si="41"/>
        <v>2.3185916702447061E-3</v>
      </c>
      <c r="T83" s="94">
        <f t="shared" si="42"/>
        <v>0</v>
      </c>
      <c r="U83" s="95">
        <f t="shared" si="43"/>
        <v>3.9999999999999996E-4</v>
      </c>
      <c r="V83" s="96">
        <f t="shared" si="44"/>
        <v>0</v>
      </c>
    </row>
    <row r="84" spans="1:22" ht="13.5" customHeight="1">
      <c r="A84" s="82">
        <v>73</v>
      </c>
      <c r="B84" s="62" t="s">
        <v>143</v>
      </c>
      <c r="C84" s="63" t="s">
        <v>76</v>
      </c>
      <c r="D84" s="70">
        <v>540771632.97000003</v>
      </c>
      <c r="E84" s="65">
        <f t="shared" si="45"/>
        <v>2.2339656126512241E-3</v>
      </c>
      <c r="F84" s="100">
        <v>1.4998</v>
      </c>
      <c r="G84" s="100">
        <v>1.4998</v>
      </c>
      <c r="H84" s="66">
        <v>1230</v>
      </c>
      <c r="I84" s="89">
        <v>6.7999999999999996E-3</v>
      </c>
      <c r="J84" s="89">
        <v>0.154</v>
      </c>
      <c r="K84" s="70">
        <v>588359917.36000001</v>
      </c>
      <c r="L84" s="65">
        <f t="shared" si="39"/>
        <v>2.4185622290572683E-3</v>
      </c>
      <c r="M84" s="100">
        <v>1.5044</v>
      </c>
      <c r="N84" s="100">
        <v>1.5044</v>
      </c>
      <c r="O84" s="66">
        <v>1352</v>
      </c>
      <c r="P84" s="89">
        <v>3.0999999999999999E-3</v>
      </c>
      <c r="Q84" s="89">
        <v>0.15740000000000001</v>
      </c>
      <c r="R84" s="94">
        <f t="shared" si="40"/>
        <v>8.8000703973020719E-2</v>
      </c>
      <c r="S84" s="94">
        <f t="shared" si="41"/>
        <v>3.0670756100813026E-3</v>
      </c>
      <c r="T84" s="94">
        <f t="shared" si="42"/>
        <v>9.9186991869918695E-2</v>
      </c>
      <c r="U84" s="95">
        <f t="shared" si="43"/>
        <v>-3.6999999999999997E-3</v>
      </c>
      <c r="V84" s="96">
        <f t="shared" si="44"/>
        <v>3.4000000000000141E-3</v>
      </c>
    </row>
    <row r="85" spans="1:22" ht="13.5" customHeight="1">
      <c r="A85" s="82">
        <v>74</v>
      </c>
      <c r="B85" s="62" t="s">
        <v>144</v>
      </c>
      <c r="C85" s="63" t="s">
        <v>76</v>
      </c>
      <c r="D85" s="70">
        <v>44561927.030000001</v>
      </c>
      <c r="E85" s="65">
        <f t="shared" si="45"/>
        <v>1.8408845166627987E-4</v>
      </c>
      <c r="F85" s="100">
        <v>1.0347999999999999</v>
      </c>
      <c r="G85" s="100">
        <v>1.0347999999999999</v>
      </c>
      <c r="H85" s="66">
        <v>4</v>
      </c>
      <c r="I85" s="89">
        <v>4.3E-3</v>
      </c>
      <c r="J85" s="89">
        <v>4.3999999999999997E-2</v>
      </c>
      <c r="K85" s="70">
        <v>45236940.729999997</v>
      </c>
      <c r="L85" s="65">
        <f t="shared" si="39"/>
        <v>1.8595480925791312E-4</v>
      </c>
      <c r="M85" s="100">
        <v>1.0387999999999999</v>
      </c>
      <c r="N85" s="100">
        <v>1.0387999999999999</v>
      </c>
      <c r="O85" s="66">
        <v>5</v>
      </c>
      <c r="P85" s="89">
        <v>3.8999999999999998E-3</v>
      </c>
      <c r="Q85" s="89">
        <v>4.8000000000000001E-2</v>
      </c>
      <c r="R85" s="94">
        <f t="shared" ref="R85" si="49">((K85-D85)/D85)</f>
        <v>1.5147767275539105E-2</v>
      </c>
      <c r="S85" s="94">
        <f t="shared" ref="S85" si="50">((N85-G85)/G85)</f>
        <v>3.8654812524159293E-3</v>
      </c>
      <c r="T85" s="94">
        <f t="shared" ref="T85" si="51">((O85-H85)/H85)</f>
        <v>0.25</v>
      </c>
      <c r="U85" s="95">
        <f t="shared" ref="U85" si="52">P85-I85</f>
        <v>-4.0000000000000018E-4</v>
      </c>
      <c r="V85" s="96">
        <f t="shared" ref="V85" si="53">Q85-J85</f>
        <v>4.0000000000000036E-3</v>
      </c>
    </row>
    <row r="86" spans="1:22">
      <c r="A86" s="174">
        <v>75</v>
      </c>
      <c r="B86" s="175" t="s">
        <v>145</v>
      </c>
      <c r="C86" s="176" t="s">
        <v>31</v>
      </c>
      <c r="D86" s="70">
        <v>168021563.44999999</v>
      </c>
      <c r="E86" s="65">
        <f t="shared" si="45"/>
        <v>6.9410888450211839E-4</v>
      </c>
      <c r="F86" s="100">
        <v>133.8272</v>
      </c>
      <c r="G86" s="100">
        <v>133.8272</v>
      </c>
      <c r="H86" s="66">
        <v>340</v>
      </c>
      <c r="I86" s="89">
        <v>8.3699999999999996E-4</v>
      </c>
      <c r="J86" s="89">
        <v>0.16289999999999999</v>
      </c>
      <c r="K86" s="70">
        <v>171980558.88999999</v>
      </c>
      <c r="L86" s="65">
        <f t="shared" si="39"/>
        <v>7.0695788681506716E-4</v>
      </c>
      <c r="M86" s="100">
        <v>134.27279999999999</v>
      </c>
      <c r="N86" s="100">
        <v>134.27279999999999</v>
      </c>
      <c r="O86" s="66">
        <v>347</v>
      </c>
      <c r="P86" s="89">
        <v>2.4729999999999999E-3</v>
      </c>
      <c r="Q86" s="89">
        <v>0.16889999999999999</v>
      </c>
      <c r="R86" s="94">
        <f t="shared" si="40"/>
        <v>2.3562424719242178E-2</v>
      </c>
      <c r="S86" s="94">
        <f t="shared" si="41"/>
        <v>3.32966691375135E-3</v>
      </c>
      <c r="T86" s="94">
        <f t="shared" si="42"/>
        <v>2.0588235294117647E-2</v>
      </c>
      <c r="U86" s="95">
        <f t="shared" si="43"/>
        <v>1.6359999999999999E-3</v>
      </c>
      <c r="V86" s="96">
        <f t="shared" si="44"/>
        <v>6.0000000000000053E-3</v>
      </c>
    </row>
    <row r="87" spans="1:22">
      <c r="A87" s="82">
        <v>76</v>
      </c>
      <c r="B87" s="62" t="s">
        <v>146</v>
      </c>
      <c r="C87" s="63" t="s">
        <v>78</v>
      </c>
      <c r="D87" s="70">
        <v>2650920647.4400001</v>
      </c>
      <c r="E87" s="65">
        <f t="shared" si="45"/>
        <v>1.0951139459226428E-2</v>
      </c>
      <c r="F87" s="69">
        <v>1250.29</v>
      </c>
      <c r="G87" s="69">
        <v>1250.29</v>
      </c>
      <c r="H87" s="66">
        <v>392</v>
      </c>
      <c r="I87" s="89">
        <v>1.9599999999999999E-2</v>
      </c>
      <c r="J87" s="89">
        <v>0.2261</v>
      </c>
      <c r="K87" s="70">
        <v>2646779606.2199998</v>
      </c>
      <c r="L87" s="65">
        <f t="shared" si="39"/>
        <v>1.0880076965416279E-2</v>
      </c>
      <c r="M87" s="69">
        <v>1250.29</v>
      </c>
      <c r="N87" s="69">
        <v>1254.4000000000001</v>
      </c>
      <c r="O87" s="66">
        <v>395</v>
      </c>
      <c r="P87" s="89">
        <v>1.9099999999999999E-2</v>
      </c>
      <c r="Q87" s="89">
        <v>0.22720000000000001</v>
      </c>
      <c r="R87" s="94">
        <f t="shared" si="40"/>
        <v>-1.5621143635511231E-3</v>
      </c>
      <c r="S87" s="94">
        <f t="shared" si="41"/>
        <v>3.2872373609323657E-3</v>
      </c>
      <c r="T87" s="94">
        <f t="shared" si="42"/>
        <v>7.6530612244897957E-3</v>
      </c>
      <c r="U87" s="95">
        <f t="shared" si="43"/>
        <v>-5.0000000000000044E-4</v>
      </c>
      <c r="V87" s="96">
        <f t="shared" si="44"/>
        <v>1.1000000000000176E-3</v>
      </c>
    </row>
    <row r="88" spans="1:22">
      <c r="A88" s="82">
        <v>77</v>
      </c>
      <c r="B88" s="62" t="s">
        <v>147</v>
      </c>
      <c r="C88" s="63" t="s">
        <v>80</v>
      </c>
      <c r="D88" s="70">
        <v>157798382.56</v>
      </c>
      <c r="E88" s="65">
        <f t="shared" si="45"/>
        <v>6.5187620592254488E-4</v>
      </c>
      <c r="F88" s="69">
        <v>1113.1400000000001</v>
      </c>
      <c r="G88" s="69">
        <v>1138.0899999999999</v>
      </c>
      <c r="H88" s="66">
        <v>70</v>
      </c>
      <c r="I88" s="89">
        <v>-2.1100000000000001E-2</v>
      </c>
      <c r="J88" s="89">
        <v>0.11360000000000001</v>
      </c>
      <c r="K88" s="70">
        <v>158159888.28999999</v>
      </c>
      <c r="L88" s="65">
        <f t="shared" si="39"/>
        <v>6.5014546484827682E-4</v>
      </c>
      <c r="M88" s="69">
        <v>1115.58</v>
      </c>
      <c r="N88" s="69">
        <v>1141.54</v>
      </c>
      <c r="O88" s="66">
        <v>70</v>
      </c>
      <c r="P88" s="89">
        <v>2.8999999999999998E-3</v>
      </c>
      <c r="Q88" s="89">
        <v>0.11650000000000001</v>
      </c>
      <c r="R88" s="94">
        <f t="shared" si="40"/>
        <v>2.2909343184334173E-3</v>
      </c>
      <c r="S88" s="94">
        <f t="shared" si="41"/>
        <v>3.0313947051639552E-3</v>
      </c>
      <c r="T88" s="94">
        <f t="shared" si="42"/>
        <v>0</v>
      </c>
      <c r="U88" s="95">
        <f t="shared" si="43"/>
        <v>2.4E-2</v>
      </c>
      <c r="V88" s="96">
        <f t="shared" si="44"/>
        <v>2.8999999999999998E-3</v>
      </c>
    </row>
    <row r="89" spans="1:22">
      <c r="A89" s="82">
        <v>78</v>
      </c>
      <c r="B89" s="62" t="s">
        <v>148</v>
      </c>
      <c r="C89" s="63" t="s">
        <v>83</v>
      </c>
      <c r="D89" s="70">
        <v>727310845.50999999</v>
      </c>
      <c r="E89" s="65">
        <f t="shared" si="45"/>
        <v>3.0045722066707665E-3</v>
      </c>
      <c r="F89" s="101">
        <v>1.1599999999999999</v>
      </c>
      <c r="G89" s="101">
        <v>1.1599999999999999</v>
      </c>
      <c r="H89" s="66">
        <v>59</v>
      </c>
      <c r="I89" s="89">
        <v>0.11271</v>
      </c>
      <c r="J89" s="89">
        <v>0.11269999999999999</v>
      </c>
      <c r="K89" s="70">
        <v>709231703.13</v>
      </c>
      <c r="L89" s="65">
        <f t="shared" si="39"/>
        <v>2.9154280538635359E-3</v>
      </c>
      <c r="M89" s="101">
        <v>1.17</v>
      </c>
      <c r="N89" s="101">
        <v>1.17</v>
      </c>
      <c r="O89" s="66">
        <v>59</v>
      </c>
      <c r="P89" s="89">
        <v>0.11257</v>
      </c>
      <c r="Q89" s="89">
        <v>0.11260000000000001</v>
      </c>
      <c r="R89" s="94">
        <f t="shared" si="40"/>
        <v>-2.4857517925946315E-2</v>
      </c>
      <c r="S89" s="94">
        <f t="shared" si="41"/>
        <v>8.6206896551724223E-3</v>
      </c>
      <c r="T89" s="94">
        <f t="shared" si="42"/>
        <v>0</v>
      </c>
      <c r="U89" s="95">
        <f t="shared" si="43"/>
        <v>-1.4000000000000123E-4</v>
      </c>
      <c r="V89" s="96">
        <f t="shared" si="44"/>
        <v>-9.9999999999988987E-5</v>
      </c>
    </row>
    <row r="90" spans="1:22">
      <c r="A90" s="82">
        <v>79</v>
      </c>
      <c r="B90" s="62" t="s">
        <v>149</v>
      </c>
      <c r="C90" s="63" t="s">
        <v>33</v>
      </c>
      <c r="D90" s="101">
        <v>11525279605.26</v>
      </c>
      <c r="E90" s="65">
        <f t="shared" si="45"/>
        <v>4.7611739863155256E-2</v>
      </c>
      <c r="F90" s="101">
        <v>1751.22</v>
      </c>
      <c r="G90" s="101">
        <v>1751.22</v>
      </c>
      <c r="H90" s="66">
        <v>2053</v>
      </c>
      <c r="I90" s="89">
        <v>2E-3</v>
      </c>
      <c r="J90" s="89">
        <v>3.44E-2</v>
      </c>
      <c r="K90" s="101">
        <v>11516143557.43</v>
      </c>
      <c r="L90" s="65">
        <f t="shared" si="39"/>
        <v>4.7339237447338339E-2</v>
      </c>
      <c r="M90" s="101">
        <v>1754.91</v>
      </c>
      <c r="N90" s="101">
        <v>1754.91</v>
      </c>
      <c r="O90" s="66">
        <v>2050</v>
      </c>
      <c r="P90" s="89">
        <v>2.0999999999999999E-3</v>
      </c>
      <c r="Q90" s="89">
        <v>3.6600000000000001E-2</v>
      </c>
      <c r="R90" s="94">
        <f t="shared" si="40"/>
        <v>-7.9269641543710059E-4</v>
      </c>
      <c r="S90" s="94">
        <f t="shared" si="41"/>
        <v>2.1071024771302602E-3</v>
      </c>
      <c r="T90" s="94">
        <f t="shared" si="42"/>
        <v>-1.4612761811982464E-3</v>
      </c>
      <c r="U90" s="95">
        <f t="shared" si="43"/>
        <v>9.9999999999999829E-5</v>
      </c>
      <c r="V90" s="96">
        <f t="shared" si="44"/>
        <v>2.2000000000000006E-3</v>
      </c>
    </row>
    <row r="91" spans="1:22">
      <c r="A91" s="82">
        <v>80</v>
      </c>
      <c r="B91" s="62" t="s">
        <v>150</v>
      </c>
      <c r="C91" s="63" t="s">
        <v>93</v>
      </c>
      <c r="D91" s="70">
        <v>23669394.539999999</v>
      </c>
      <c r="E91" s="65">
        <f t="shared" si="45"/>
        <v>9.7779931954322809E-5</v>
      </c>
      <c r="F91" s="100">
        <v>0.72309999999999997</v>
      </c>
      <c r="G91" s="100">
        <v>0.72309999999999997</v>
      </c>
      <c r="H91" s="66">
        <v>744</v>
      </c>
      <c r="I91" s="89">
        <v>1.6999999999999999E-3</v>
      </c>
      <c r="J91" s="89">
        <v>8.8999999999999999E-3</v>
      </c>
      <c r="K91" s="70">
        <v>23719967.629999999</v>
      </c>
      <c r="L91" s="65">
        <f t="shared" si="39"/>
        <v>9.7505312805456012E-5</v>
      </c>
      <c r="M91" s="100">
        <v>0.72460000000000002</v>
      </c>
      <c r="N91" s="100">
        <v>0.72460000000000002</v>
      </c>
      <c r="O91" s="66">
        <v>744</v>
      </c>
      <c r="P91" s="89">
        <v>2.0999999999999999E-3</v>
      </c>
      <c r="Q91" s="89">
        <v>1.0999999999999999E-2</v>
      </c>
      <c r="R91" s="94">
        <f t="shared" si="40"/>
        <v>2.1366448522599116E-3</v>
      </c>
      <c r="S91" s="94">
        <f t="shared" si="41"/>
        <v>2.0744018807911171E-3</v>
      </c>
      <c r="T91" s="94">
        <f t="shared" si="42"/>
        <v>0</v>
      </c>
      <c r="U91" s="95">
        <f t="shared" si="43"/>
        <v>3.9999999999999996E-4</v>
      </c>
      <c r="V91" s="96">
        <f t="shared" si="44"/>
        <v>2.0999999999999994E-3</v>
      </c>
    </row>
    <row r="92" spans="1:22">
      <c r="A92" s="174">
        <v>81</v>
      </c>
      <c r="B92" s="175" t="s">
        <v>151</v>
      </c>
      <c r="C92" s="176" t="s">
        <v>39</v>
      </c>
      <c r="D92" s="70">
        <v>11320187729.16</v>
      </c>
      <c r="E92" s="65">
        <f t="shared" si="45"/>
        <v>4.6764490912382453E-2</v>
      </c>
      <c r="F92" s="100">
        <v>1</v>
      </c>
      <c r="G92" s="100">
        <v>1</v>
      </c>
      <c r="H92" s="66">
        <v>4759</v>
      </c>
      <c r="I92" s="89">
        <v>0.06</v>
      </c>
      <c r="J92" s="89">
        <v>0.06</v>
      </c>
      <c r="K92" s="70">
        <v>11356123240.219999</v>
      </c>
      <c r="L92" s="65">
        <f t="shared" si="39"/>
        <v>4.6681444345417926E-2</v>
      </c>
      <c r="M92" s="100">
        <v>1</v>
      </c>
      <c r="N92" s="100">
        <v>1</v>
      </c>
      <c r="O92" s="66">
        <v>4787</v>
      </c>
      <c r="P92" s="89">
        <v>0.06</v>
      </c>
      <c r="Q92" s="89">
        <v>0.06</v>
      </c>
      <c r="R92" s="94">
        <f t="shared" si="40"/>
        <v>3.1744624665041676E-3</v>
      </c>
      <c r="S92" s="94">
        <f t="shared" si="41"/>
        <v>0</v>
      </c>
      <c r="T92" s="94">
        <f t="shared" si="42"/>
        <v>5.8835889892834628E-3</v>
      </c>
      <c r="U92" s="95">
        <f t="shared" si="43"/>
        <v>0</v>
      </c>
      <c r="V92" s="96">
        <f t="shared" si="44"/>
        <v>0</v>
      </c>
    </row>
    <row r="93" spans="1:22">
      <c r="A93" s="82">
        <v>82</v>
      </c>
      <c r="B93" s="62" t="s">
        <v>152</v>
      </c>
      <c r="C93" s="63" t="s">
        <v>153</v>
      </c>
      <c r="D93" s="70">
        <v>1827483197.1500001</v>
      </c>
      <c r="E93" s="65">
        <f t="shared" si="45"/>
        <v>7.5494614939565462E-3</v>
      </c>
      <c r="F93" s="70">
        <v>269.38</v>
      </c>
      <c r="G93" s="70">
        <v>269.38</v>
      </c>
      <c r="H93" s="66">
        <v>562</v>
      </c>
      <c r="I93" s="89">
        <v>3.0000000000000001E-3</v>
      </c>
      <c r="J93" s="89">
        <v>0.18659999999999999</v>
      </c>
      <c r="K93" s="70">
        <v>1828123715.6400001</v>
      </c>
      <c r="L93" s="65">
        <f t="shared" si="39"/>
        <v>7.5148405563212287E-3</v>
      </c>
      <c r="M93" s="70">
        <v>270.17</v>
      </c>
      <c r="N93" s="70">
        <v>270.17</v>
      </c>
      <c r="O93" s="66">
        <v>562</v>
      </c>
      <c r="P93" s="89">
        <v>3.0000000000000001E-3</v>
      </c>
      <c r="Q93" s="89">
        <v>0.18720000000000001</v>
      </c>
      <c r="R93" s="94">
        <f t="shared" si="40"/>
        <v>3.5049213639770372E-4</v>
      </c>
      <c r="S93" s="94">
        <f t="shared" si="41"/>
        <v>2.9326601826416975E-3</v>
      </c>
      <c r="T93" s="94">
        <f t="shared" si="42"/>
        <v>0</v>
      </c>
      <c r="U93" s="95">
        <f t="shared" si="43"/>
        <v>0</v>
      </c>
      <c r="V93" s="96">
        <f t="shared" si="44"/>
        <v>6.0000000000001719E-4</v>
      </c>
    </row>
    <row r="94" spans="1:22">
      <c r="A94" s="174">
        <v>83</v>
      </c>
      <c r="B94" s="175" t="s">
        <v>154</v>
      </c>
      <c r="C94" s="176" t="s">
        <v>43</v>
      </c>
      <c r="D94" s="70">
        <v>1048935598.53</v>
      </c>
      <c r="E94" s="65">
        <f t="shared" si="45"/>
        <v>4.3332266600821243E-3</v>
      </c>
      <c r="F94" s="100">
        <v>3.51</v>
      </c>
      <c r="G94" s="100">
        <v>3.52</v>
      </c>
      <c r="H94" s="85">
        <v>778</v>
      </c>
      <c r="I94" s="92">
        <v>-9.7000000000000003E-3</v>
      </c>
      <c r="J94" s="92">
        <v>-3.6200000000000003E-2</v>
      </c>
      <c r="K94" s="70">
        <v>1049625744.14</v>
      </c>
      <c r="L94" s="65">
        <f t="shared" si="39"/>
        <v>4.3146806988720266E-3</v>
      </c>
      <c r="M94" s="100">
        <v>3.57</v>
      </c>
      <c r="N94" s="100">
        <v>3.58</v>
      </c>
      <c r="O94" s="85">
        <v>781</v>
      </c>
      <c r="P94" s="92">
        <v>1.4500000000000001E-2</v>
      </c>
      <c r="Q94" s="92">
        <v>-1.6899999999999998E-2</v>
      </c>
      <c r="R94" s="94">
        <f t="shared" si="40"/>
        <v>6.5794850605432648E-4</v>
      </c>
      <c r="S94" s="94">
        <f t="shared" si="41"/>
        <v>1.7045454545454562E-2</v>
      </c>
      <c r="T94" s="94">
        <f t="shared" si="42"/>
        <v>3.8560411311053984E-3</v>
      </c>
      <c r="U94" s="95">
        <f t="shared" si="43"/>
        <v>2.4199999999999999E-2</v>
      </c>
      <c r="V94" s="96">
        <f t="shared" si="44"/>
        <v>1.9300000000000005E-2</v>
      </c>
    </row>
    <row r="95" spans="1:22">
      <c r="A95" s="82">
        <v>84</v>
      </c>
      <c r="B95" s="62" t="s">
        <v>155</v>
      </c>
      <c r="C95" s="63" t="s">
        <v>45</v>
      </c>
      <c r="D95" s="70">
        <v>686428454.13999999</v>
      </c>
      <c r="E95" s="65">
        <f t="shared" si="45"/>
        <v>2.8356841753553446E-3</v>
      </c>
      <c r="F95" s="100">
        <v>110.76</v>
      </c>
      <c r="G95" s="100">
        <v>110.76</v>
      </c>
      <c r="H95" s="85">
        <v>235</v>
      </c>
      <c r="I95" s="92">
        <v>0.1497</v>
      </c>
      <c r="J95" s="92">
        <v>0.1719</v>
      </c>
      <c r="K95" s="70">
        <v>688646397.88999999</v>
      </c>
      <c r="L95" s="65">
        <f t="shared" si="39"/>
        <v>2.8308083504165801E-3</v>
      </c>
      <c r="M95" s="100">
        <v>111.05</v>
      </c>
      <c r="N95" s="100">
        <v>111.05</v>
      </c>
      <c r="O95" s="85">
        <v>244</v>
      </c>
      <c r="P95" s="92">
        <v>0.14940000000000001</v>
      </c>
      <c r="Q95" s="92">
        <v>0.17199999999999999</v>
      </c>
      <c r="R95" s="94">
        <f t="shared" si="40"/>
        <v>3.2311360879973675E-3</v>
      </c>
      <c r="S95" s="94">
        <f t="shared" si="41"/>
        <v>2.6182737450342365E-3</v>
      </c>
      <c r="T95" s="94">
        <f t="shared" si="42"/>
        <v>3.8297872340425532E-2</v>
      </c>
      <c r="U95" s="95">
        <f t="shared" si="43"/>
        <v>-2.9999999999999472E-4</v>
      </c>
      <c r="V95" s="96">
        <f t="shared" si="44"/>
        <v>9.9999999999988987E-5</v>
      </c>
    </row>
    <row r="96" spans="1:22">
      <c r="A96" s="174">
        <v>85</v>
      </c>
      <c r="B96" s="176" t="s">
        <v>156</v>
      </c>
      <c r="C96" s="180" t="s">
        <v>49</v>
      </c>
      <c r="D96" s="70">
        <v>1036457889.2</v>
      </c>
      <c r="E96" s="65">
        <f t="shared" si="45"/>
        <v>4.2816803661044154E-3</v>
      </c>
      <c r="F96" s="100">
        <v>111.43</v>
      </c>
      <c r="G96" s="100">
        <v>111.78</v>
      </c>
      <c r="H96" s="66">
        <v>289</v>
      </c>
      <c r="I96" s="89">
        <v>1.6999999999999999E-3</v>
      </c>
      <c r="J96" s="89">
        <v>0.1268</v>
      </c>
      <c r="K96" s="70">
        <v>1051274342.17</v>
      </c>
      <c r="L96" s="65">
        <f t="shared" si="39"/>
        <v>4.3214575659029199E-3</v>
      </c>
      <c r="M96" s="100">
        <v>112.12</v>
      </c>
      <c r="N96" s="100">
        <v>112.5</v>
      </c>
      <c r="O96" s="66">
        <v>289</v>
      </c>
      <c r="P96" s="89">
        <v>6.0000000000000001E-3</v>
      </c>
      <c r="Q96" s="89">
        <v>0.125</v>
      </c>
      <c r="R96" s="94">
        <f t="shared" si="40"/>
        <v>1.4295277332913284E-2</v>
      </c>
      <c r="S96" s="94">
        <f t="shared" si="41"/>
        <v>6.4412238325281699E-3</v>
      </c>
      <c r="T96" s="94">
        <f t="shared" si="42"/>
        <v>0</v>
      </c>
      <c r="U96" s="95">
        <f t="shared" si="43"/>
        <v>4.3E-3</v>
      </c>
      <c r="V96" s="96">
        <f t="shared" si="44"/>
        <v>-1.799999999999996E-3</v>
      </c>
    </row>
    <row r="97" spans="1:22">
      <c r="A97" s="82">
        <v>86</v>
      </c>
      <c r="B97" s="62" t="s">
        <v>157</v>
      </c>
      <c r="C97" s="63" t="s">
        <v>21</v>
      </c>
      <c r="D97" s="71">
        <v>1599755889.3</v>
      </c>
      <c r="E97" s="65">
        <f t="shared" si="45"/>
        <v>6.6087039841654172E-3</v>
      </c>
      <c r="F97" s="100">
        <v>383.69810000000001</v>
      </c>
      <c r="G97" s="100">
        <v>383.69810000000001</v>
      </c>
      <c r="H97" s="66">
        <v>97</v>
      </c>
      <c r="I97" s="89">
        <v>2.5999999999999999E-3</v>
      </c>
      <c r="J97" s="89">
        <v>0.11600000000000001</v>
      </c>
      <c r="K97" s="71">
        <v>1603971367.8499999</v>
      </c>
      <c r="L97" s="65">
        <f t="shared" si="39"/>
        <v>6.5934208845802459E-3</v>
      </c>
      <c r="M97" s="100">
        <v>384.72669999999999</v>
      </c>
      <c r="N97" s="100">
        <v>384.72669999999999</v>
      </c>
      <c r="O97" s="66">
        <v>97</v>
      </c>
      <c r="P97" s="89">
        <v>2.7000000000000001E-3</v>
      </c>
      <c r="Q97" s="89">
        <v>0.11890000000000001</v>
      </c>
      <c r="R97" s="94">
        <f t="shared" si="40"/>
        <v>2.6350761251733887E-3</v>
      </c>
      <c r="S97" s="94">
        <f t="shared" si="41"/>
        <v>2.6807534360998478E-3</v>
      </c>
      <c r="T97" s="94">
        <f t="shared" si="42"/>
        <v>0</v>
      </c>
      <c r="U97" s="95">
        <f t="shared" si="43"/>
        <v>1.0000000000000026E-4</v>
      </c>
      <c r="V97" s="96">
        <f t="shared" si="44"/>
        <v>2.8999999999999998E-3</v>
      </c>
    </row>
    <row r="98" spans="1:22">
      <c r="A98" s="174">
        <v>87</v>
      </c>
      <c r="B98" s="175" t="s">
        <v>158</v>
      </c>
      <c r="C98" s="176" t="s">
        <v>105</v>
      </c>
      <c r="D98" s="83">
        <v>1784256237</v>
      </c>
      <c r="E98" s="65">
        <f>(D98/$K$71)</f>
        <v>4.0621639811702176E-4</v>
      </c>
      <c r="F98" s="100">
        <v>103.35</v>
      </c>
      <c r="G98" s="100">
        <v>103.35</v>
      </c>
      <c r="H98" s="66">
        <v>408</v>
      </c>
      <c r="I98" s="89">
        <v>6.4000000000000003E-3</v>
      </c>
      <c r="J98" s="89">
        <v>0.1545</v>
      </c>
      <c r="K98" s="83">
        <v>1783789792</v>
      </c>
      <c r="L98" s="65">
        <f>(K98/$K$71)</f>
        <v>4.0611020394833088E-4</v>
      </c>
      <c r="M98" s="100">
        <v>103.75</v>
      </c>
      <c r="N98" s="100">
        <v>130.75</v>
      </c>
      <c r="O98" s="66">
        <v>408</v>
      </c>
      <c r="P98" s="89">
        <v>3.8999999999999998E-3</v>
      </c>
      <c r="Q98" s="89">
        <v>0.15570000000000001</v>
      </c>
      <c r="R98" s="94">
        <f t="shared" si="40"/>
        <v>-2.6142265349973944E-4</v>
      </c>
      <c r="S98" s="94">
        <f t="shared" si="41"/>
        <v>0.26511852926947271</v>
      </c>
      <c r="T98" s="94">
        <f t="shared" si="42"/>
        <v>0</v>
      </c>
      <c r="U98" s="95">
        <f t="shared" si="43"/>
        <v>-2.5000000000000005E-3</v>
      </c>
      <c r="V98" s="96">
        <f t="shared" si="44"/>
        <v>1.2000000000000066E-3</v>
      </c>
    </row>
    <row r="99" spans="1:22">
      <c r="A99" s="82">
        <v>88</v>
      </c>
      <c r="B99" s="62" t="s">
        <v>159</v>
      </c>
      <c r="C99" s="63" t="s">
        <v>47</v>
      </c>
      <c r="D99" s="70">
        <v>58026430.210000001</v>
      </c>
      <c r="E99" s="65">
        <f t="shared" ref="E99:E112" si="54">(D99/$D$113)</f>
        <v>2.3971126037455716E-4</v>
      </c>
      <c r="F99" s="70">
        <v>11.85</v>
      </c>
      <c r="G99" s="70">
        <v>12.49</v>
      </c>
      <c r="H99" s="66">
        <v>57</v>
      </c>
      <c r="I99" s="89">
        <v>3.3999999999999998E-3</v>
      </c>
      <c r="J99" s="89">
        <v>-2.1600000000000001E-2</v>
      </c>
      <c r="K99" s="70">
        <v>58512895.359999999</v>
      </c>
      <c r="L99" s="65">
        <f t="shared" ref="L99:L112" si="55">(K99/$K$113)</f>
        <v>2.4052807551110962E-4</v>
      </c>
      <c r="M99" s="70">
        <v>11.94</v>
      </c>
      <c r="N99" s="70">
        <v>12.6</v>
      </c>
      <c r="O99" s="66">
        <v>57</v>
      </c>
      <c r="P99" s="89">
        <v>4.6300000000000001E-2</v>
      </c>
      <c r="Q99" s="89">
        <v>-1.46E-2</v>
      </c>
      <c r="R99" s="94">
        <f t="shared" si="40"/>
        <v>8.3835098633409186E-3</v>
      </c>
      <c r="S99" s="94">
        <f t="shared" si="41"/>
        <v>8.8070456365091625E-3</v>
      </c>
      <c r="T99" s="94">
        <f t="shared" si="42"/>
        <v>0</v>
      </c>
      <c r="U99" s="95">
        <f t="shared" si="43"/>
        <v>4.2900000000000001E-2</v>
      </c>
      <c r="V99" s="96">
        <f t="shared" si="44"/>
        <v>7.000000000000001E-3</v>
      </c>
    </row>
    <row r="100" spans="1:22">
      <c r="A100" s="82">
        <v>89</v>
      </c>
      <c r="B100" s="62" t="s">
        <v>160</v>
      </c>
      <c r="C100" s="63" t="s">
        <v>161</v>
      </c>
      <c r="D100" s="70">
        <v>827631276.79999995</v>
      </c>
      <c r="E100" s="65">
        <f t="shared" si="54"/>
        <v>3.4190029572582934E-3</v>
      </c>
      <c r="F100" s="70">
        <v>151.81</v>
      </c>
      <c r="G100" s="70">
        <v>151.81</v>
      </c>
      <c r="H100" s="66">
        <v>170</v>
      </c>
      <c r="I100" s="89">
        <v>0.18540000000000001</v>
      </c>
      <c r="J100" s="89">
        <v>0.1928</v>
      </c>
      <c r="K100" s="70">
        <v>831270402.76999998</v>
      </c>
      <c r="L100" s="65">
        <f t="shared" si="55"/>
        <v>3.4170906938967966E-3</v>
      </c>
      <c r="M100" s="70">
        <v>152.4</v>
      </c>
      <c r="N100" s="70">
        <v>152.4</v>
      </c>
      <c r="O100" s="66">
        <v>170</v>
      </c>
      <c r="P100" s="89">
        <v>0.2427</v>
      </c>
      <c r="Q100" s="89">
        <v>0.19350000000000001</v>
      </c>
      <c r="R100" s="94">
        <f t="shared" si="40"/>
        <v>4.3970377534190705E-3</v>
      </c>
      <c r="S100" s="94">
        <f t="shared" si="41"/>
        <v>3.8864369936104566E-3</v>
      </c>
      <c r="T100" s="94">
        <f t="shared" si="42"/>
        <v>0</v>
      </c>
      <c r="U100" s="95">
        <f t="shared" si="43"/>
        <v>5.729999999999999E-2</v>
      </c>
      <c r="V100" s="96">
        <f t="shared" si="44"/>
        <v>7.0000000000000617E-4</v>
      </c>
    </row>
    <row r="101" spans="1:22">
      <c r="A101" s="82">
        <v>90</v>
      </c>
      <c r="B101" s="62" t="s">
        <v>162</v>
      </c>
      <c r="C101" s="63" t="s">
        <v>163</v>
      </c>
      <c r="D101" s="70">
        <v>10046860180.151899</v>
      </c>
      <c r="E101" s="65">
        <f t="shared" si="54"/>
        <v>4.1504285338168523E-2</v>
      </c>
      <c r="F101" s="70">
        <v>1.1299999999999999</v>
      </c>
      <c r="G101" s="70">
        <v>1.1299999999999999</v>
      </c>
      <c r="H101" s="66">
        <v>5086</v>
      </c>
      <c r="I101" s="89">
        <v>0.17510000000000001</v>
      </c>
      <c r="J101" s="89">
        <v>0.17510000000000001</v>
      </c>
      <c r="K101" s="70">
        <v>10423476769.921301</v>
      </c>
      <c r="L101" s="65">
        <f t="shared" si="55"/>
        <v>4.2847628581337178E-2</v>
      </c>
      <c r="M101" s="70">
        <v>1.1299999999999999</v>
      </c>
      <c r="N101" s="70">
        <v>1.1299999999999999</v>
      </c>
      <c r="O101" s="66">
        <v>5082</v>
      </c>
      <c r="P101" s="89">
        <v>0.17519999999999999</v>
      </c>
      <c r="Q101" s="89">
        <v>0.17519999999999999</v>
      </c>
      <c r="R101" s="94">
        <f t="shared" si="40"/>
        <v>3.7485998910727097E-2</v>
      </c>
      <c r="S101" s="94">
        <f t="shared" si="41"/>
        <v>0</v>
      </c>
      <c r="T101" s="94">
        <f t="shared" si="42"/>
        <v>-7.8647267007471487E-4</v>
      </c>
      <c r="U101" s="95">
        <f t="shared" si="43"/>
        <v>9.9999999999988987E-5</v>
      </c>
      <c r="V101" s="96">
        <f t="shared" si="44"/>
        <v>9.9999999999988987E-5</v>
      </c>
    </row>
    <row r="102" spans="1:22" ht="14.25" customHeight="1">
      <c r="A102" s="174">
        <v>91</v>
      </c>
      <c r="B102" s="175" t="s">
        <v>164</v>
      </c>
      <c r="C102" s="176" t="s">
        <v>51</v>
      </c>
      <c r="D102" s="70">
        <v>6984530661.3699999</v>
      </c>
      <c r="E102" s="65">
        <f t="shared" si="54"/>
        <v>2.8853586924139373E-2</v>
      </c>
      <c r="F102" s="70">
        <v>5176.09</v>
      </c>
      <c r="G102" s="70">
        <v>5176.09</v>
      </c>
      <c r="H102" s="66">
        <v>231</v>
      </c>
      <c r="I102" s="89">
        <v>0</v>
      </c>
      <c r="J102" s="89">
        <v>1.6999999999999999E-3</v>
      </c>
      <c r="K102" s="70">
        <v>6974202366.9700003</v>
      </c>
      <c r="L102" s="65">
        <f t="shared" si="55"/>
        <v>2.8668748371304655E-2</v>
      </c>
      <c r="M102" s="70">
        <v>5176.09</v>
      </c>
      <c r="N102" s="70">
        <v>5176.09</v>
      </c>
      <c r="O102" s="66">
        <v>229</v>
      </c>
      <c r="P102" s="89">
        <v>0</v>
      </c>
      <c r="Q102" s="89">
        <v>1.6999999999999999E-3</v>
      </c>
      <c r="R102" s="94">
        <f t="shared" si="40"/>
        <v>-1.4787385009451368E-3</v>
      </c>
      <c r="S102" s="94">
        <f t="shared" si="41"/>
        <v>0</v>
      </c>
      <c r="T102" s="94">
        <f t="shared" si="42"/>
        <v>-8.658008658008658E-3</v>
      </c>
      <c r="U102" s="95">
        <f t="shared" si="43"/>
        <v>0</v>
      </c>
      <c r="V102" s="96">
        <f t="shared" si="44"/>
        <v>0</v>
      </c>
    </row>
    <row r="103" spans="1:22" ht="13.5" customHeight="1">
      <c r="A103" s="174">
        <v>92</v>
      </c>
      <c r="B103" s="175" t="s">
        <v>165</v>
      </c>
      <c r="C103" s="176" t="s">
        <v>51</v>
      </c>
      <c r="D103" s="70">
        <v>16292301660.219999</v>
      </c>
      <c r="E103" s="65">
        <f t="shared" si="54"/>
        <v>6.7304642922886196E-2</v>
      </c>
      <c r="F103" s="100">
        <v>259.23</v>
      </c>
      <c r="G103" s="100">
        <v>259.23</v>
      </c>
      <c r="H103" s="66">
        <v>6074</v>
      </c>
      <c r="I103" s="89">
        <v>0</v>
      </c>
      <c r="J103" s="89">
        <v>1.5E-3</v>
      </c>
      <c r="K103" s="70">
        <v>16299768589.17</v>
      </c>
      <c r="L103" s="65">
        <f t="shared" si="55"/>
        <v>6.7003212640706605E-2</v>
      </c>
      <c r="M103" s="100">
        <v>259.23</v>
      </c>
      <c r="N103" s="100">
        <v>259.23</v>
      </c>
      <c r="O103" s="66">
        <v>6070</v>
      </c>
      <c r="P103" s="89">
        <v>0</v>
      </c>
      <c r="Q103" s="89">
        <v>1.5E-3</v>
      </c>
      <c r="R103" s="94">
        <f t="shared" si="40"/>
        <v>4.583102563238407E-4</v>
      </c>
      <c r="S103" s="94">
        <f t="shared" si="41"/>
        <v>0</v>
      </c>
      <c r="T103" s="94">
        <f t="shared" si="42"/>
        <v>-6.5854461639776091E-4</v>
      </c>
      <c r="U103" s="95">
        <f t="shared" si="43"/>
        <v>0</v>
      </c>
      <c r="V103" s="96">
        <f t="shared" si="44"/>
        <v>0</v>
      </c>
    </row>
    <row r="104" spans="1:22" ht="13.5" customHeight="1">
      <c r="A104" s="174">
        <v>93</v>
      </c>
      <c r="B104" s="175" t="s">
        <v>166</v>
      </c>
      <c r="C104" s="176" t="s">
        <v>51</v>
      </c>
      <c r="D104" s="70">
        <v>561048522.83000004</v>
      </c>
      <c r="E104" s="65">
        <f t="shared" si="54"/>
        <v>2.3177308694010529E-3</v>
      </c>
      <c r="F104" s="69">
        <v>9267.39</v>
      </c>
      <c r="G104" s="69">
        <v>9305.84</v>
      </c>
      <c r="H104" s="66">
        <v>15</v>
      </c>
      <c r="I104" s="89">
        <v>-1.6000000000000001E-3</v>
      </c>
      <c r="J104" s="89">
        <v>0.3639</v>
      </c>
      <c r="K104" s="70">
        <v>558181949.76999998</v>
      </c>
      <c r="L104" s="65">
        <f t="shared" si="55"/>
        <v>2.2945101133210605E-3</v>
      </c>
      <c r="M104" s="69">
        <v>9220.83</v>
      </c>
      <c r="N104" s="69">
        <v>9257.74</v>
      </c>
      <c r="O104" s="66">
        <v>15</v>
      </c>
      <c r="P104" s="89">
        <v>-5.1999999999999998E-3</v>
      </c>
      <c r="Q104" s="89">
        <v>0.35680000000000001</v>
      </c>
      <c r="R104" s="94">
        <f t="shared" si="40"/>
        <v>-5.1093139779438386E-3</v>
      </c>
      <c r="S104" s="94">
        <f t="shared" si="41"/>
        <v>-5.1687972284071466E-3</v>
      </c>
      <c r="T104" s="94">
        <f t="shared" si="42"/>
        <v>0</v>
      </c>
      <c r="U104" s="95">
        <f t="shared" si="43"/>
        <v>-3.5999999999999999E-3</v>
      </c>
      <c r="V104" s="96">
        <f t="shared" si="44"/>
        <v>-7.0999999999999952E-3</v>
      </c>
    </row>
    <row r="105" spans="1:22" ht="15" customHeight="1">
      <c r="A105" s="174">
        <v>94</v>
      </c>
      <c r="B105" s="175" t="s">
        <v>167</v>
      </c>
      <c r="C105" s="176" t="s">
        <v>51</v>
      </c>
      <c r="D105" s="70">
        <v>6314329322.8500004</v>
      </c>
      <c r="E105" s="65">
        <f t="shared" si="54"/>
        <v>2.6084938103594527E-2</v>
      </c>
      <c r="F105" s="100">
        <v>157.53</v>
      </c>
      <c r="G105" s="100">
        <v>157.53</v>
      </c>
      <c r="H105" s="66">
        <v>5077</v>
      </c>
      <c r="I105" s="89">
        <v>2.8999999999999998E-3</v>
      </c>
      <c r="J105" s="89">
        <v>0.14249999999999999</v>
      </c>
      <c r="K105" s="70">
        <v>6340202998.8900003</v>
      </c>
      <c r="L105" s="65">
        <f t="shared" si="55"/>
        <v>2.6062576741250797E-2</v>
      </c>
      <c r="M105" s="100">
        <v>158</v>
      </c>
      <c r="N105" s="100">
        <v>158</v>
      </c>
      <c r="O105" s="66">
        <v>5101</v>
      </c>
      <c r="P105" s="89">
        <v>3.0000000000000001E-3</v>
      </c>
      <c r="Q105" s="89">
        <v>0.1459</v>
      </c>
      <c r="R105" s="94">
        <f t="shared" si="40"/>
        <v>4.09761270232921E-3</v>
      </c>
      <c r="S105" s="94">
        <f t="shared" si="41"/>
        <v>2.9835586872341705E-3</v>
      </c>
      <c r="T105" s="94">
        <f t="shared" si="42"/>
        <v>4.727201103013591E-3</v>
      </c>
      <c r="U105" s="95">
        <f t="shared" si="43"/>
        <v>1.0000000000000026E-4</v>
      </c>
      <c r="V105" s="96">
        <f t="shared" si="44"/>
        <v>3.4000000000000141E-3</v>
      </c>
    </row>
    <row r="106" spans="1:22" ht="15" customHeight="1">
      <c r="A106" s="174">
        <v>95</v>
      </c>
      <c r="B106" s="175" t="s">
        <v>168</v>
      </c>
      <c r="C106" s="176" t="s">
        <v>51</v>
      </c>
      <c r="D106" s="70">
        <v>6150835546.3400002</v>
      </c>
      <c r="E106" s="65">
        <f t="shared" si="54"/>
        <v>2.5409533825082591E-2</v>
      </c>
      <c r="F106" s="100">
        <v>382.12</v>
      </c>
      <c r="G106" s="100">
        <v>382.65</v>
      </c>
      <c r="H106" s="66">
        <v>10657</v>
      </c>
      <c r="I106" s="89">
        <v>-3.7000000000000002E-3</v>
      </c>
      <c r="J106" s="89">
        <v>8.0199999999999994E-2</v>
      </c>
      <c r="K106" s="70">
        <v>6106490633.54</v>
      </c>
      <c r="L106" s="65">
        <f t="shared" si="55"/>
        <v>2.5101858849665933E-2</v>
      </c>
      <c r="M106" s="100">
        <v>380.08</v>
      </c>
      <c r="N106" s="100">
        <v>380.58</v>
      </c>
      <c r="O106" s="66">
        <v>10671</v>
      </c>
      <c r="P106" s="89">
        <v>-5.4000000000000003E-3</v>
      </c>
      <c r="Q106" s="89">
        <v>7.4300000000000005E-2</v>
      </c>
      <c r="R106" s="94">
        <f t="shared" si="40"/>
        <v>-7.2095754253074179E-3</v>
      </c>
      <c r="S106" s="94">
        <f t="shared" si="41"/>
        <v>-5.4096432771461997E-3</v>
      </c>
      <c r="T106" s="94">
        <f t="shared" si="42"/>
        <v>1.3136905320446654E-3</v>
      </c>
      <c r="U106" s="95">
        <f t="shared" si="43"/>
        <v>-1.7000000000000001E-3</v>
      </c>
      <c r="V106" s="96">
        <f t="shared" si="44"/>
        <v>-5.8999999999999886E-3</v>
      </c>
    </row>
    <row r="107" spans="1:22" ht="15" customHeight="1">
      <c r="A107" s="82">
        <v>96</v>
      </c>
      <c r="B107" s="62" t="s">
        <v>169</v>
      </c>
      <c r="C107" s="63" t="s">
        <v>120</v>
      </c>
      <c r="D107" s="70">
        <v>91751764.540000007</v>
      </c>
      <c r="E107" s="65">
        <f t="shared" si="54"/>
        <v>3.79032986173302E-4</v>
      </c>
      <c r="F107" s="100">
        <v>112.12560000000001</v>
      </c>
      <c r="G107" s="100">
        <v>112.12560000000001</v>
      </c>
      <c r="H107" s="66">
        <v>22</v>
      </c>
      <c r="I107" s="89">
        <v>1.1999999999999999E-3</v>
      </c>
      <c r="J107" s="89">
        <v>0.3095</v>
      </c>
      <c r="K107" s="70">
        <v>91751764.540000007</v>
      </c>
      <c r="L107" s="65">
        <f t="shared" si="55"/>
        <v>3.7716259319892033E-4</v>
      </c>
      <c r="M107" s="100">
        <v>112.12560000000001</v>
      </c>
      <c r="N107" s="100">
        <v>112.12560000000001</v>
      </c>
      <c r="O107" s="66">
        <v>22</v>
      </c>
      <c r="P107" s="89">
        <v>6.7999999999999996E-3</v>
      </c>
      <c r="Q107" s="89">
        <v>0.30759999999999998</v>
      </c>
      <c r="R107" s="94">
        <f t="shared" ref="R107" si="56">((K107-D107)/D107)</f>
        <v>0</v>
      </c>
      <c r="S107" s="94">
        <f t="shared" ref="S107" si="57">((N107-G107)/G107)</f>
        <v>0</v>
      </c>
      <c r="T107" s="94">
        <f t="shared" ref="T107" si="58">((O107-H107)/H107)</f>
        <v>0</v>
      </c>
      <c r="U107" s="95">
        <f t="shared" ref="U107" si="59">P107-I107</f>
        <v>5.5999999999999999E-3</v>
      </c>
      <c r="V107" s="96">
        <f t="shared" ref="V107" si="60">Q107-J107</f>
        <v>-1.9000000000000128E-3</v>
      </c>
    </row>
    <row r="108" spans="1:22">
      <c r="A108" s="82">
        <v>97</v>
      </c>
      <c r="B108" s="62" t="s">
        <v>170</v>
      </c>
      <c r="C108" s="63" t="s">
        <v>54</v>
      </c>
      <c r="D108" s="70">
        <v>84900457811.410004</v>
      </c>
      <c r="E108" s="65">
        <f t="shared" si="54"/>
        <v>0.35072975667634143</v>
      </c>
      <c r="F108" s="70">
        <v>1.9528000000000001</v>
      </c>
      <c r="G108" s="70">
        <v>1.9528000000000001</v>
      </c>
      <c r="H108" s="66">
        <v>6769</v>
      </c>
      <c r="I108" s="89">
        <v>6.7599999999999993E-2</v>
      </c>
      <c r="J108" s="89">
        <v>8.5099999999999995E-2</v>
      </c>
      <c r="K108" s="70">
        <v>85035567177.789993</v>
      </c>
      <c r="L108" s="65">
        <f t="shared" si="55"/>
        <v>0.34955442210524557</v>
      </c>
      <c r="M108" s="70">
        <v>1.9559</v>
      </c>
      <c r="N108" s="70">
        <v>1.9559</v>
      </c>
      <c r="O108" s="66">
        <v>6787</v>
      </c>
      <c r="P108" s="89">
        <v>8.6199999999999999E-2</v>
      </c>
      <c r="Q108" s="89">
        <v>8.5000000000000006E-2</v>
      </c>
      <c r="R108" s="94">
        <f t="shared" si="40"/>
        <v>1.5913856045406613E-3</v>
      </c>
      <c r="S108" s="94">
        <f t="shared" si="41"/>
        <v>1.5874641540351703E-3</v>
      </c>
      <c r="T108" s="94">
        <f t="shared" si="42"/>
        <v>2.6591815630078296E-3</v>
      </c>
      <c r="U108" s="95">
        <f t="shared" si="43"/>
        <v>1.8600000000000005E-2</v>
      </c>
      <c r="V108" s="96">
        <f t="shared" si="44"/>
        <v>-9.9999999999988987E-5</v>
      </c>
    </row>
    <row r="109" spans="1:22">
      <c r="A109" s="82">
        <v>98</v>
      </c>
      <c r="B109" s="62" t="s">
        <v>171</v>
      </c>
      <c r="C109" s="63" t="s">
        <v>54</v>
      </c>
      <c r="D109" s="70">
        <v>63045026425.57</v>
      </c>
      <c r="E109" s="65">
        <f t="shared" si="54"/>
        <v>0.2604434339684093</v>
      </c>
      <c r="F109" s="70">
        <v>125.62009999999999</v>
      </c>
      <c r="G109" s="70">
        <v>125.62009999999999</v>
      </c>
      <c r="H109" s="66">
        <v>1016</v>
      </c>
      <c r="I109" s="89">
        <v>0.16350000000000001</v>
      </c>
      <c r="J109" s="89">
        <v>0.20380000000000001</v>
      </c>
      <c r="K109" s="70">
        <v>63574623274.790001</v>
      </c>
      <c r="L109" s="65">
        <f t="shared" si="55"/>
        <v>0.2613352440269508</v>
      </c>
      <c r="M109" s="70">
        <v>126.0129</v>
      </c>
      <c r="N109" s="70">
        <v>126.0129</v>
      </c>
      <c r="O109" s="66">
        <v>1047</v>
      </c>
      <c r="P109" s="89">
        <v>0.17680000000000001</v>
      </c>
      <c r="Q109" s="89">
        <v>0.2031</v>
      </c>
      <c r="R109" s="94">
        <f t="shared" ref="R109:R111" si="61">((K109-D109)/D109)</f>
        <v>8.4002954593925851E-3</v>
      </c>
      <c r="S109" s="94">
        <f t="shared" ref="S109:S111" si="62">((N109-G109)/G109)</f>
        <v>3.1268881333481528E-3</v>
      </c>
      <c r="T109" s="94">
        <f t="shared" ref="T109:T111" si="63">((O109-H109)/H109)</f>
        <v>3.0511811023622049E-2</v>
      </c>
      <c r="U109" s="95">
        <f t="shared" ref="U109:U111" si="64">P109-I109</f>
        <v>1.3300000000000006E-2</v>
      </c>
      <c r="V109" s="96">
        <f t="shared" ref="V109:V111" si="65">Q109-J109</f>
        <v>-7.0000000000000617E-4</v>
      </c>
    </row>
    <row r="110" spans="1:22">
      <c r="A110" s="82">
        <v>99</v>
      </c>
      <c r="B110" s="62" t="s">
        <v>172</v>
      </c>
      <c r="C110" s="62" t="s">
        <v>173</v>
      </c>
      <c r="D110" s="70">
        <v>110492314.01000001</v>
      </c>
      <c r="E110" s="65">
        <f t="shared" si="54"/>
        <v>4.5645151282240907E-4</v>
      </c>
      <c r="F110" s="70">
        <v>114.65</v>
      </c>
      <c r="G110" s="70">
        <v>114.65</v>
      </c>
      <c r="H110" s="102">
        <v>85</v>
      </c>
      <c r="I110" s="104">
        <v>1.9E-3</v>
      </c>
      <c r="J110" s="104">
        <v>3.8399999999999997E-2</v>
      </c>
      <c r="K110" s="70">
        <v>107835204.69</v>
      </c>
      <c r="L110" s="65">
        <f t="shared" si="55"/>
        <v>4.4327654779092242E-4</v>
      </c>
      <c r="M110" s="70">
        <v>115.024556968296</v>
      </c>
      <c r="N110" s="70">
        <v>115.024556968296</v>
      </c>
      <c r="O110" s="102">
        <v>81</v>
      </c>
      <c r="P110" s="104">
        <v>3.3E-3</v>
      </c>
      <c r="Q110" s="104">
        <v>4.19E-2</v>
      </c>
      <c r="R110" s="94">
        <f t="shared" si="61"/>
        <v>-2.4047910877851002E-2</v>
      </c>
      <c r="S110" s="94">
        <f t="shared" si="62"/>
        <v>3.2669600374704844E-3</v>
      </c>
      <c r="T110" s="94">
        <f t="shared" si="63"/>
        <v>-4.7058823529411764E-2</v>
      </c>
      <c r="U110" s="95">
        <f t="shared" si="64"/>
        <v>1.4E-3</v>
      </c>
      <c r="V110" s="96">
        <f t="shared" si="65"/>
        <v>3.5000000000000031E-3</v>
      </c>
    </row>
    <row r="111" spans="1:22">
      <c r="A111" s="82">
        <v>100</v>
      </c>
      <c r="B111" s="62" t="s">
        <v>174</v>
      </c>
      <c r="C111" s="63" t="s">
        <v>127</v>
      </c>
      <c r="D111" s="70">
        <v>347206958.54000002</v>
      </c>
      <c r="E111" s="65">
        <f t="shared" si="54"/>
        <v>1.4343363419260739E-3</v>
      </c>
      <c r="F111" s="70">
        <v>1.38</v>
      </c>
      <c r="G111" s="70">
        <v>1.38</v>
      </c>
      <c r="H111" s="66">
        <v>669</v>
      </c>
      <c r="I111" s="89">
        <v>7.1999999999999998E-3</v>
      </c>
      <c r="J111" s="89">
        <v>0.28420000000000001</v>
      </c>
      <c r="K111" s="70">
        <v>349866832.72000003</v>
      </c>
      <c r="L111" s="65">
        <f t="shared" si="55"/>
        <v>1.4381923068677374E-3</v>
      </c>
      <c r="M111" s="70">
        <v>1.39</v>
      </c>
      <c r="N111" s="70">
        <v>1.39</v>
      </c>
      <c r="O111" s="66">
        <v>675</v>
      </c>
      <c r="P111" s="89">
        <v>6.4000000000000003E-3</v>
      </c>
      <c r="Q111" s="89">
        <v>0.29449999999999998</v>
      </c>
      <c r="R111" s="94">
        <f t="shared" si="61"/>
        <v>7.6607744014830165E-3</v>
      </c>
      <c r="S111" s="94">
        <f t="shared" si="62"/>
        <v>7.2463768115942099E-3</v>
      </c>
      <c r="T111" s="94">
        <f t="shared" si="63"/>
        <v>8.9686098654708519E-3</v>
      </c>
      <c r="U111" s="95">
        <f t="shared" si="64"/>
        <v>-7.999999999999995E-4</v>
      </c>
      <c r="V111" s="96">
        <f t="shared" si="65"/>
        <v>1.0299999999999976E-2</v>
      </c>
    </row>
    <row r="112" spans="1:22">
      <c r="A112" s="82">
        <v>101</v>
      </c>
      <c r="B112" s="62" t="s">
        <v>175</v>
      </c>
      <c r="C112" s="63" t="s">
        <v>129</v>
      </c>
      <c r="D112" s="70">
        <v>1960035489.45</v>
      </c>
      <c r="E112" s="65">
        <f t="shared" si="54"/>
        <v>8.0970443271202834E-3</v>
      </c>
      <c r="F112" s="100">
        <v>29.832899999999999</v>
      </c>
      <c r="G112" s="100">
        <v>29.832899999999999</v>
      </c>
      <c r="H112" s="66">
        <v>1292</v>
      </c>
      <c r="I112" s="89">
        <v>0</v>
      </c>
      <c r="J112" s="89">
        <v>0.11360000000000001</v>
      </c>
      <c r="K112" s="70">
        <v>1961269734.48</v>
      </c>
      <c r="L112" s="65">
        <f t="shared" si="55"/>
        <v>8.0621618856882935E-3</v>
      </c>
      <c r="M112" s="100">
        <v>29.885300000000001</v>
      </c>
      <c r="N112" s="100">
        <v>29.885300000000001</v>
      </c>
      <c r="O112" s="66">
        <v>1293</v>
      </c>
      <c r="P112" s="89">
        <v>0</v>
      </c>
      <c r="Q112" s="89">
        <v>0.11360000000000001</v>
      </c>
      <c r="R112" s="94">
        <f t="shared" si="40"/>
        <v>6.2970545005096279E-4</v>
      </c>
      <c r="S112" s="94">
        <f t="shared" si="41"/>
        <v>1.7564500936885863E-3</v>
      </c>
      <c r="T112" s="94">
        <f t="shared" si="42"/>
        <v>7.7399380804953565E-4</v>
      </c>
      <c r="U112" s="95">
        <f t="shared" si="43"/>
        <v>0</v>
      </c>
      <c r="V112" s="96">
        <f t="shared" si="44"/>
        <v>0</v>
      </c>
    </row>
    <row r="113" spans="1:28">
      <c r="A113" s="73"/>
      <c r="B113" s="74"/>
      <c r="C113" s="75" t="s">
        <v>57</v>
      </c>
      <c r="D113" s="99">
        <f>SUM(D74:D112)</f>
        <v>242068020164.47491</v>
      </c>
      <c r="E113" s="77">
        <f>(D113/$D$229)</f>
        <v>3.4071429438483992E-2</v>
      </c>
      <c r="F113" s="78"/>
      <c r="G113" s="84"/>
      <c r="H113" s="80">
        <f>SUM(H74:H112)</f>
        <v>55623</v>
      </c>
      <c r="I113" s="92"/>
      <c r="J113" s="92"/>
      <c r="K113" s="99">
        <f>SUM(K74:K112)</f>
        <v>243268463507.48514</v>
      </c>
      <c r="L113" s="77">
        <f>(K113/$K$229)</f>
        <v>3.3969384459576653E-2</v>
      </c>
      <c r="M113" s="78"/>
      <c r="N113" s="84"/>
      <c r="O113" s="80">
        <f>SUM(O74:O112)</f>
        <v>55918</v>
      </c>
      <c r="P113" s="92"/>
      <c r="Q113" s="92"/>
      <c r="R113" s="94">
        <f t="shared" si="40"/>
        <v>4.9591157980908556E-3</v>
      </c>
      <c r="S113" s="94" t="e">
        <f t="shared" si="41"/>
        <v>#DIV/0!</v>
      </c>
      <c r="T113" s="94">
        <f t="shared" si="42"/>
        <v>5.3035614763676893E-3</v>
      </c>
      <c r="U113" s="95">
        <f t="shared" si="43"/>
        <v>0</v>
      </c>
      <c r="V113" s="96">
        <f t="shared" si="44"/>
        <v>0</v>
      </c>
    </row>
    <row r="114" spans="1:28" ht="3.75" customHeight="1">
      <c r="A114" s="73"/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</row>
    <row r="115" spans="1:28" ht="15" customHeight="1">
      <c r="A115" s="191" t="s">
        <v>176</v>
      </c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</row>
    <row r="116" spans="1:28">
      <c r="A116" s="190" t="s">
        <v>177</v>
      </c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Z116" s="105"/>
      <c r="AB116" s="107"/>
    </row>
    <row r="117" spans="1:28" ht="16.5" customHeight="1">
      <c r="A117" s="82">
        <v>102</v>
      </c>
      <c r="B117" s="62" t="s">
        <v>178</v>
      </c>
      <c r="C117" s="63" t="s">
        <v>21</v>
      </c>
      <c r="D117" s="70">
        <v>2762367828.3712301</v>
      </c>
      <c r="E117" s="65">
        <f t="shared" ref="E117:E122" si="66">(D117/$D$155)</f>
        <v>1.450727564722177E-3</v>
      </c>
      <c r="F117" s="70">
        <v>162130.59871595999</v>
      </c>
      <c r="G117" s="70">
        <v>162130.59871595999</v>
      </c>
      <c r="H117" s="66">
        <v>174</v>
      </c>
      <c r="I117" s="89">
        <v>8.9999999999999998E-4</v>
      </c>
      <c r="J117" s="89">
        <v>5.33E-2</v>
      </c>
      <c r="K117" s="70">
        <f>1969105.2*W136</f>
        <v>2828772816.1845598</v>
      </c>
      <c r="L117" s="65">
        <f t="shared" ref="L117:L133" si="67">(K117/$K$155)</f>
        <v>1.4768902973794282E-3</v>
      </c>
      <c r="M117" s="70">
        <f>114.1635*W136</f>
        <v>164004.74967029999</v>
      </c>
      <c r="N117" s="70">
        <f>114.1635*W136</f>
        <v>164004.74967029999</v>
      </c>
      <c r="O117" s="66">
        <v>174</v>
      </c>
      <c r="P117" s="89">
        <v>1.1000000000000001E-3</v>
      </c>
      <c r="Q117" s="89">
        <v>5.45E-2</v>
      </c>
      <c r="R117" s="95">
        <f>((K117-D117)/D117)</f>
        <v>2.4039154790071512E-2</v>
      </c>
      <c r="S117" s="95">
        <f>((N117-G117)/G117)</f>
        <v>1.1559514176737033E-2</v>
      </c>
      <c r="T117" s="95">
        <f>((O117-H117)/H117)</f>
        <v>0</v>
      </c>
      <c r="U117" s="95">
        <f>P117-I117</f>
        <v>2.0000000000000009E-4</v>
      </c>
      <c r="V117" s="96">
        <f>Q117-J117</f>
        <v>1.1999999999999997E-3</v>
      </c>
      <c r="X117" s="105"/>
      <c r="Y117" s="108"/>
      <c r="Z117" s="105"/>
      <c r="AA117" s="109"/>
    </row>
    <row r="118" spans="1:28" ht="16.5" customHeight="1">
      <c r="A118" s="174">
        <v>103</v>
      </c>
      <c r="B118" s="175" t="s">
        <v>179</v>
      </c>
      <c r="C118" s="176" t="s">
        <v>61</v>
      </c>
      <c r="D118" s="70">
        <v>5320729423.9104004</v>
      </c>
      <c r="E118" s="65">
        <f t="shared" si="66"/>
        <v>2.7943160792769824E-3</v>
      </c>
      <c r="F118" s="70">
        <v>142173.43</v>
      </c>
      <c r="G118" s="70">
        <v>142173.43</v>
      </c>
      <c r="H118" s="66">
        <v>90</v>
      </c>
      <c r="I118" s="89">
        <v>-3.6029999999999999E-3</v>
      </c>
      <c r="J118" s="89">
        <v>7.1981000000000003E-2</v>
      </c>
      <c r="K118" s="70">
        <f>3791484.58*W136</f>
        <v>5446762576.6703243</v>
      </c>
      <c r="L118" s="65">
        <f t="shared" si="67"/>
        <v>2.8437316547971726E-3</v>
      </c>
      <c r="M118" s="70">
        <f>100*W136</f>
        <v>143657.78</v>
      </c>
      <c r="N118" s="70">
        <f>100*W136</f>
        <v>143657.78</v>
      </c>
      <c r="O118" s="66">
        <v>93</v>
      </c>
      <c r="P118" s="89">
        <v>0.73488100000000001</v>
      </c>
      <c r="Q118" s="89">
        <v>0.80686199999999997</v>
      </c>
      <c r="R118" s="95">
        <f>((K118-D118)/D118)</f>
        <v>2.3687194502609667E-2</v>
      </c>
      <c r="S118" s="95">
        <f>((N118-G118)/G118)</f>
        <v>1.0440417734874976E-2</v>
      </c>
      <c r="T118" s="95">
        <f>((O118-H118)/H118)</f>
        <v>3.3333333333333333E-2</v>
      </c>
      <c r="U118" s="95">
        <f>P118-I118</f>
        <v>0.73848400000000003</v>
      </c>
      <c r="V118" s="96">
        <f>Q118-J118</f>
        <v>0.73488100000000001</v>
      </c>
      <c r="X118" s="105"/>
      <c r="Y118" s="108"/>
      <c r="Z118" s="105"/>
      <c r="AA118" s="109"/>
    </row>
    <row r="119" spans="1:28">
      <c r="A119" s="82">
        <v>104</v>
      </c>
      <c r="B119" s="62" t="s">
        <v>180</v>
      </c>
      <c r="C119" s="63" t="s">
        <v>25</v>
      </c>
      <c r="D119" s="70">
        <v>16553837271.087</v>
      </c>
      <c r="E119" s="65">
        <f t="shared" si="66"/>
        <v>8.6936677239146803E-3</v>
      </c>
      <c r="F119" s="70">
        <v>1721.5780638700001</v>
      </c>
      <c r="G119" s="70">
        <v>1721.5780638700001</v>
      </c>
      <c r="H119" s="66">
        <v>323</v>
      </c>
      <c r="I119" s="89">
        <v>9.9199999999999997E-2</v>
      </c>
      <c r="J119" s="89">
        <v>7.9299999999999995E-2</v>
      </c>
      <c r="K119" s="70">
        <f>11724775.63*W136</f>
        <v>16843552380.039015</v>
      </c>
      <c r="L119" s="65">
        <f t="shared" si="67"/>
        <v>8.7939473050488992E-3</v>
      </c>
      <c r="M119" s="70">
        <f>1.2113*W136</f>
        <v>1740.1266891400001</v>
      </c>
      <c r="N119" s="70">
        <f>1.2113*W136</f>
        <v>1740.1266891400001</v>
      </c>
      <c r="O119" s="66">
        <v>324</v>
      </c>
      <c r="P119" s="89">
        <v>1.72E-2</v>
      </c>
      <c r="Q119" s="89">
        <v>7.7899999999999997E-2</v>
      </c>
      <c r="R119" s="95">
        <f t="shared" ref="R119:R131" si="68">((K119-D119)/D119)</f>
        <v>1.7501386790725104E-2</v>
      </c>
      <c r="S119" s="95">
        <f t="shared" ref="S119:S131" si="69">((N119-G119)/G119)</f>
        <v>1.0774199357712453E-2</v>
      </c>
      <c r="T119" s="95">
        <f t="shared" ref="T119:T131" si="70">((O119-H119)/H119)</f>
        <v>3.0959752321981426E-3</v>
      </c>
      <c r="U119" s="95">
        <f t="shared" ref="U119:U131" si="71">P119-I119</f>
        <v>-8.199999999999999E-2</v>
      </c>
      <c r="V119" s="96">
        <f t="shared" ref="V119:V131" si="72">Q119-J119</f>
        <v>-1.3999999999999985E-3</v>
      </c>
    </row>
    <row r="120" spans="1:28">
      <c r="A120" s="82">
        <v>105</v>
      </c>
      <c r="B120" s="62" t="s">
        <v>181</v>
      </c>
      <c r="C120" s="63" t="s">
        <v>25</v>
      </c>
      <c r="D120" s="70">
        <v>4009937046.4127798</v>
      </c>
      <c r="E120" s="65">
        <f t="shared" si="66"/>
        <v>2.1059201987092759E-3</v>
      </c>
      <c r="F120" s="70">
        <v>1480.87844688</v>
      </c>
      <c r="G120" s="70">
        <v>1480.87844688</v>
      </c>
      <c r="H120" s="66">
        <v>96</v>
      </c>
      <c r="I120" s="89">
        <v>2.5000000000000001E-2</v>
      </c>
      <c r="J120" s="89">
        <v>4.99E-2</v>
      </c>
      <c r="K120" s="70">
        <f>2826235.61*W136</f>
        <v>4060107334.8954577</v>
      </c>
      <c r="L120" s="65">
        <f t="shared" si="67"/>
        <v>2.1197648305013007E-3</v>
      </c>
      <c r="M120" s="70">
        <f>1.0422*W136</f>
        <v>1497.20138316</v>
      </c>
      <c r="N120" s="70">
        <f>1.0422*W136</f>
        <v>1497.20138316</v>
      </c>
      <c r="O120" s="66">
        <v>97</v>
      </c>
      <c r="P120" s="89">
        <v>0.03</v>
      </c>
      <c r="Q120" s="89">
        <v>4.9500000000000002E-2</v>
      </c>
      <c r="R120" s="95">
        <f t="shared" si="68"/>
        <v>1.2511490305704278E-2</v>
      </c>
      <c r="S120" s="95">
        <f t="shared" ref="S120" si="73">((N120-G120)/G120)</f>
        <v>1.1022468666749876E-2</v>
      </c>
      <c r="T120" s="95">
        <f t="shared" ref="T120" si="74">((O120-H120)/H120)</f>
        <v>1.0416666666666666E-2</v>
      </c>
      <c r="U120" s="95">
        <f t="shared" ref="U120" si="75">P120-I120</f>
        <v>4.9999999999999975E-3</v>
      </c>
      <c r="V120" s="96">
        <f t="shared" ref="V120" si="76">Q120-J120</f>
        <v>-3.9999999999999758E-4</v>
      </c>
    </row>
    <row r="121" spans="1:28">
      <c r="A121" s="82">
        <v>106</v>
      </c>
      <c r="B121" s="62" t="s">
        <v>182</v>
      </c>
      <c r="C121" s="63" t="s">
        <v>29</v>
      </c>
      <c r="D121" s="70">
        <v>36974832186.993401</v>
      </c>
      <c r="E121" s="65">
        <f t="shared" si="66"/>
        <v>1.941827142052838E-2</v>
      </c>
      <c r="F121" s="70">
        <v>1557.3677522200001</v>
      </c>
      <c r="G121" s="70">
        <v>1557.3677522200001</v>
      </c>
      <c r="H121" s="66">
        <v>581</v>
      </c>
      <c r="I121" s="89">
        <v>2E-3</v>
      </c>
      <c r="J121" s="89">
        <v>8.4000000000000005E-2</v>
      </c>
      <c r="K121" s="70">
        <f>26414319.14*W136</f>
        <v>37946224478.639091</v>
      </c>
      <c r="L121" s="65">
        <f t="shared" si="67"/>
        <v>1.9811562962583067E-2</v>
      </c>
      <c r="M121" s="70">
        <f>1.0972*W136</f>
        <v>1576.2131621599999</v>
      </c>
      <c r="N121" s="70">
        <f>1.0972*W136</f>
        <v>1576.2131621599999</v>
      </c>
      <c r="O121" s="66">
        <v>585</v>
      </c>
      <c r="P121" s="89">
        <v>1.6000000000000001E-3</v>
      </c>
      <c r="Q121" s="89">
        <v>8.5699999999999998E-2</v>
      </c>
      <c r="R121" s="95">
        <f t="shared" si="68"/>
        <v>2.6271716034654422E-2</v>
      </c>
      <c r="S121" s="95">
        <f t="shared" ref="S121:T124" si="77">((N121-G121)/G121)</f>
        <v>1.2100809146160922E-2</v>
      </c>
      <c r="T121" s="95">
        <f t="shared" si="77"/>
        <v>6.8846815834767644E-3</v>
      </c>
      <c r="U121" s="95">
        <f t="shared" si="71"/>
        <v>-3.9999999999999996E-4</v>
      </c>
      <c r="V121" s="96">
        <f t="shared" si="72"/>
        <v>1.6999999999999932E-3</v>
      </c>
    </row>
    <row r="122" spans="1:28">
      <c r="A122" s="82">
        <v>107</v>
      </c>
      <c r="B122" s="62" t="s">
        <v>183</v>
      </c>
      <c r="C122" s="63" t="s">
        <v>70</v>
      </c>
      <c r="D122" s="70">
        <v>1312218604.4779999</v>
      </c>
      <c r="E122" s="65">
        <f t="shared" si="66"/>
        <v>6.8914489985932143E-4</v>
      </c>
      <c r="F122" s="70">
        <v>1579.40463387</v>
      </c>
      <c r="G122" s="70">
        <v>1592.342416</v>
      </c>
      <c r="H122" s="66">
        <v>60</v>
      </c>
      <c r="I122" s="89">
        <v>1E-3</v>
      </c>
      <c r="J122" s="89">
        <v>0.12790000000000001</v>
      </c>
      <c r="K122" s="70">
        <f>929210.6*W136</f>
        <v>1334883319.4846799</v>
      </c>
      <c r="L122" s="65">
        <f t="shared" si="67"/>
        <v>6.9693692310706257E-4</v>
      </c>
      <c r="M122" s="70">
        <f>1.1129*W136</f>
        <v>1598.76743362</v>
      </c>
      <c r="N122" s="70">
        <f>1.12*W136</f>
        <v>1608.9671360000002</v>
      </c>
      <c r="O122" s="66">
        <v>61</v>
      </c>
      <c r="P122" s="89">
        <v>8.3000000000000001E-4</v>
      </c>
      <c r="Q122" s="89">
        <v>0.12720000000000001</v>
      </c>
      <c r="R122" s="95">
        <f t="shared" si="68"/>
        <v>1.7272057360973044E-2</v>
      </c>
      <c r="S122" s="95">
        <f t="shared" si="77"/>
        <v>1.0440417734875094E-2</v>
      </c>
      <c r="T122" s="95">
        <f t="shared" si="77"/>
        <v>1.6666666666666666E-2</v>
      </c>
      <c r="U122" s="95">
        <f t="shared" si="71"/>
        <v>-1.7000000000000001E-4</v>
      </c>
      <c r="V122" s="96">
        <f t="shared" si="72"/>
        <v>-7.0000000000000617E-4</v>
      </c>
    </row>
    <row r="123" spans="1:28">
      <c r="A123" s="174">
        <v>108</v>
      </c>
      <c r="B123" s="175" t="s">
        <v>184</v>
      </c>
      <c r="C123" s="176" t="s">
        <v>31</v>
      </c>
      <c r="D123" s="70">
        <v>1123736999.33478</v>
      </c>
      <c r="E123" s="65">
        <v>0</v>
      </c>
      <c r="F123" s="70">
        <v>2014.4553296700001</v>
      </c>
      <c r="G123" s="70">
        <v>2014.4553296700001</v>
      </c>
      <c r="H123" s="66">
        <v>66</v>
      </c>
      <c r="I123" s="89">
        <v>3.2400000000000001E-4</v>
      </c>
      <c r="J123" s="89">
        <v>0.1535</v>
      </c>
      <c r="K123" s="70">
        <f>799673.57*W136</f>
        <v>1148793297.908746</v>
      </c>
      <c r="L123" s="65">
        <f t="shared" si="67"/>
        <v>5.9978011159778012E-4</v>
      </c>
      <c r="M123" s="70">
        <f>1.421*W136</f>
        <v>2041.3770538000001</v>
      </c>
      <c r="N123" s="70">
        <f>1.421*W136</f>
        <v>2041.3770538000001</v>
      </c>
      <c r="O123" s="66">
        <v>67</v>
      </c>
      <c r="P123" s="89">
        <v>4.2200000000000001E-4</v>
      </c>
      <c r="Q123" s="89">
        <v>0.158</v>
      </c>
      <c r="R123" s="95">
        <f t="shared" si="68"/>
        <v>2.2297297845313126E-2</v>
      </c>
      <c r="S123" s="95">
        <f t="shared" si="77"/>
        <v>1.3364269603541042E-2</v>
      </c>
      <c r="T123" s="95">
        <f t="shared" si="77"/>
        <v>1.5151515151515152E-2</v>
      </c>
      <c r="U123" s="95">
        <f t="shared" si="71"/>
        <v>9.7999999999999997E-5</v>
      </c>
      <c r="V123" s="96">
        <f t="shared" si="72"/>
        <v>4.500000000000004E-3</v>
      </c>
    </row>
    <row r="124" spans="1:28">
      <c r="A124" s="82">
        <v>109</v>
      </c>
      <c r="B124" s="62" t="s">
        <v>185</v>
      </c>
      <c r="C124" s="63" t="s">
        <v>80</v>
      </c>
      <c r="D124" s="70">
        <v>2118770534.38274</v>
      </c>
      <c r="E124" s="65">
        <f t="shared" ref="E124:E133" si="78">(D124/$D$155)</f>
        <v>1.1127261134381778E-3</v>
      </c>
      <c r="F124" s="70">
        <v>154969.0387</v>
      </c>
      <c r="G124" s="70">
        <v>155352.906961</v>
      </c>
      <c r="H124" s="66">
        <v>86</v>
      </c>
      <c r="I124" s="89">
        <v>1.2999999999999999E-3</v>
      </c>
      <c r="J124" s="89">
        <v>5.2499999999999998E-2</v>
      </c>
      <c r="K124" s="70">
        <f>1458740.27*W136</f>
        <v>2095593887.848006</v>
      </c>
      <c r="L124" s="65">
        <f t="shared" si="67"/>
        <v>1.0941006865248478E-3</v>
      </c>
      <c r="M124" s="70">
        <f>109.1*W136</f>
        <v>156730.63798</v>
      </c>
      <c r="N124" s="70">
        <f>109.43*W136</f>
        <v>157204.70865400002</v>
      </c>
      <c r="O124" s="66">
        <v>86</v>
      </c>
      <c r="P124" s="89">
        <v>1.2999999999999999E-3</v>
      </c>
      <c r="Q124" s="89">
        <v>5.3800000000000001E-2</v>
      </c>
      <c r="R124" s="95">
        <f t="shared" si="68"/>
        <v>-1.093872420756788E-2</v>
      </c>
      <c r="S124" s="95">
        <f t="shared" si="77"/>
        <v>1.1919968085726871E-2</v>
      </c>
      <c r="T124" s="95">
        <f t="shared" si="77"/>
        <v>0</v>
      </c>
      <c r="U124" s="95">
        <f t="shared" si="71"/>
        <v>0</v>
      </c>
      <c r="V124" s="96">
        <f t="shared" si="72"/>
        <v>1.3000000000000025E-3</v>
      </c>
    </row>
    <row r="125" spans="1:28">
      <c r="A125" s="82">
        <v>110</v>
      </c>
      <c r="B125" s="62" t="s">
        <v>186</v>
      </c>
      <c r="C125" s="63" t="s">
        <v>83</v>
      </c>
      <c r="D125" s="70">
        <v>4691023420.3299999</v>
      </c>
      <c r="E125" s="65">
        <f t="shared" si="78"/>
        <v>2.4636099916652636E-3</v>
      </c>
      <c r="F125" s="70">
        <v>165401.48000000001</v>
      </c>
      <c r="G125" s="70">
        <v>165401.48000000001</v>
      </c>
      <c r="H125" s="66">
        <v>61</v>
      </c>
      <c r="I125" s="89">
        <v>8.9999999999999993E-3</v>
      </c>
      <c r="J125" s="89">
        <v>9.4899999999999998E-2</v>
      </c>
      <c r="K125" s="70">
        <v>4789426268.0299997</v>
      </c>
      <c r="L125" s="65">
        <f t="shared" si="67"/>
        <v>2.5005391542217694E-3</v>
      </c>
      <c r="M125" s="70">
        <v>166832.91</v>
      </c>
      <c r="N125" s="70">
        <v>166832.91</v>
      </c>
      <c r="O125" s="66">
        <v>61</v>
      </c>
      <c r="P125" s="89">
        <v>8.9999999999999993E-3</v>
      </c>
      <c r="Q125" s="89">
        <v>9.3399999999999997E-2</v>
      </c>
      <c r="R125" s="95">
        <f t="shared" si="68"/>
        <v>2.0976839994773986E-2</v>
      </c>
      <c r="S125" s="95">
        <f t="shared" si="69"/>
        <v>8.6542756449337274E-3</v>
      </c>
      <c r="T125" s="95">
        <f t="shared" si="70"/>
        <v>0</v>
      </c>
      <c r="U125" s="95">
        <f t="shared" si="71"/>
        <v>0</v>
      </c>
      <c r="V125" s="96">
        <f t="shared" si="72"/>
        <v>-1.5000000000000013E-3</v>
      </c>
      <c r="X125" s="106"/>
    </row>
    <row r="126" spans="1:28">
      <c r="A126" s="174">
        <v>111</v>
      </c>
      <c r="B126" s="175" t="s">
        <v>187</v>
      </c>
      <c r="C126" s="176" t="s">
        <v>33</v>
      </c>
      <c r="D126" s="70">
        <v>54968114088.9953</v>
      </c>
      <c r="E126" s="65">
        <f t="shared" si="78"/>
        <v>2.8867900020656593E-2</v>
      </c>
      <c r="F126" s="70">
        <v>179678.780834</v>
      </c>
      <c r="G126" s="70">
        <v>179678.780834</v>
      </c>
      <c r="H126" s="66">
        <v>2517</v>
      </c>
      <c r="I126" s="89">
        <v>-6.2600000000000003E-2</v>
      </c>
      <c r="J126" s="89">
        <v>6.8599999999999994E-2</v>
      </c>
      <c r="K126" s="70">
        <f>39655221.64*W136</f>
        <v>56967811062.103592</v>
      </c>
      <c r="L126" s="65">
        <f t="shared" si="67"/>
        <v>2.9742652693490801E-2</v>
      </c>
      <c r="M126" s="70">
        <f>126.53*W136</f>
        <v>181770.18903400001</v>
      </c>
      <c r="N126" s="70">
        <f>126.53*W136</f>
        <v>181770.18903400001</v>
      </c>
      <c r="O126" s="66">
        <v>2514</v>
      </c>
      <c r="P126" s="89">
        <v>1.1999999999999999E-3</v>
      </c>
      <c r="Q126" s="89">
        <v>6.9800000000000001E-2</v>
      </c>
      <c r="R126" s="95">
        <f t="shared" si="68"/>
        <v>3.6379217410855903E-2</v>
      </c>
      <c r="S126" s="95">
        <f t="shared" si="69"/>
        <v>1.1639706092686573E-2</v>
      </c>
      <c r="T126" s="95">
        <f t="shared" si="70"/>
        <v>-1.1918951132300357E-3</v>
      </c>
      <c r="U126" s="95">
        <f t="shared" si="71"/>
        <v>6.3800000000000009E-2</v>
      </c>
      <c r="V126" s="96">
        <f t="shared" si="72"/>
        <v>1.2000000000000066E-3</v>
      </c>
    </row>
    <row r="127" spans="1:28">
      <c r="A127" s="174">
        <v>112</v>
      </c>
      <c r="B127" s="178" t="s">
        <v>188</v>
      </c>
      <c r="C127" s="178" t="s">
        <v>33</v>
      </c>
      <c r="D127" s="70">
        <v>164764623944.64401</v>
      </c>
      <c r="E127" s="65">
        <f t="shared" si="78"/>
        <v>8.6530323439408391E-2</v>
      </c>
      <c r="F127" s="70">
        <v>174617.40672599999</v>
      </c>
      <c r="G127" s="70">
        <v>174617.40672599999</v>
      </c>
      <c r="H127" s="66">
        <v>977</v>
      </c>
      <c r="I127" s="89">
        <v>1.8E-3</v>
      </c>
      <c r="J127" s="89">
        <v>7.2900000000000006E-2</v>
      </c>
      <c r="K127" s="70">
        <f>116331001.65*W136</f>
        <v>167118534422.15338</v>
      </c>
      <c r="L127" s="65">
        <f t="shared" si="67"/>
        <v>8.7251878478262754E-2</v>
      </c>
      <c r="M127" s="70">
        <f>122.97*W136</f>
        <v>176655.97206599999</v>
      </c>
      <c r="N127" s="70">
        <f>122.97*W136</f>
        <v>176655.97206599999</v>
      </c>
      <c r="O127" s="66">
        <v>977</v>
      </c>
      <c r="P127" s="89">
        <v>1.1999999999999999E-3</v>
      </c>
      <c r="Q127" s="89">
        <v>7.4200000000000002E-2</v>
      </c>
      <c r="R127" s="95">
        <f t="shared" si="68"/>
        <v>1.4286504112073307E-2</v>
      </c>
      <c r="S127" s="95">
        <f t="shared" si="69"/>
        <v>1.1674468074072394E-2</v>
      </c>
      <c r="T127" s="95">
        <f t="shared" si="70"/>
        <v>0</v>
      </c>
      <c r="U127" s="95">
        <f t="shared" si="71"/>
        <v>-6.0000000000000006E-4</v>
      </c>
      <c r="V127" s="96">
        <f t="shared" si="72"/>
        <v>1.2999999999999956E-3</v>
      </c>
      <c r="X127" s="105"/>
    </row>
    <row r="128" spans="1:28">
      <c r="A128" s="174">
        <v>113</v>
      </c>
      <c r="B128" s="175" t="s">
        <v>189</v>
      </c>
      <c r="C128" s="176" t="s">
        <v>89</v>
      </c>
      <c r="D128" s="70">
        <v>2261859788.7494302</v>
      </c>
      <c r="E128" s="65">
        <f t="shared" si="78"/>
        <v>1.1878730664953662E-3</v>
      </c>
      <c r="F128" s="70">
        <v>1421.7343000000001</v>
      </c>
      <c r="G128" s="70">
        <v>1421.7343000000001</v>
      </c>
      <c r="H128" s="66">
        <v>16</v>
      </c>
      <c r="I128" s="89">
        <v>8.7400000000000005E-2</v>
      </c>
      <c r="J128" s="89">
        <v>8.6599999999999996E-2</v>
      </c>
      <c r="K128" s="70">
        <f>1593399.5*W136</f>
        <v>2289042348.2311001</v>
      </c>
      <c r="L128" s="65">
        <f t="shared" si="67"/>
        <v>1.1950993077460932E-3</v>
      </c>
      <c r="M128" s="70">
        <f>1*W136</f>
        <v>1436.5778</v>
      </c>
      <c r="N128" s="70">
        <f>1*W136</f>
        <v>1436.5778</v>
      </c>
      <c r="O128" s="66">
        <v>16</v>
      </c>
      <c r="P128" s="89">
        <v>8.48E-2</v>
      </c>
      <c r="Q128" s="89">
        <v>8.6599999999999996E-2</v>
      </c>
      <c r="R128" s="95">
        <f t="shared" ref="R128" si="79">((K128-D128)/D128)</f>
        <v>1.2017791561120148E-2</v>
      </c>
      <c r="S128" s="95">
        <f t="shared" ref="S128" si="80">((N128-G128)/G128)</f>
        <v>1.0440417734874897E-2</v>
      </c>
      <c r="T128" s="95">
        <f t="shared" si="70"/>
        <v>0</v>
      </c>
      <c r="U128" s="95">
        <f t="shared" si="71"/>
        <v>-2.6000000000000051E-3</v>
      </c>
      <c r="V128" s="96">
        <f t="shared" si="72"/>
        <v>0</v>
      </c>
    </row>
    <row r="129" spans="1:24">
      <c r="A129" s="82">
        <v>114</v>
      </c>
      <c r="B129" s="62" t="s">
        <v>190</v>
      </c>
      <c r="C129" s="63" t="s">
        <v>37</v>
      </c>
      <c r="D129" s="70">
        <v>222715815.48243999</v>
      </c>
      <c r="E129" s="65">
        <f t="shared" si="78"/>
        <v>1.1696486228282739E-4</v>
      </c>
      <c r="F129" s="70">
        <v>189431.87813200001</v>
      </c>
      <c r="G129" s="70">
        <v>189431.87813200001</v>
      </c>
      <c r="H129" s="66">
        <v>9</v>
      </c>
      <c r="I129" s="89">
        <v>1.9E-3</v>
      </c>
      <c r="J129" s="89">
        <v>0.17510000000000001</v>
      </c>
      <c r="K129" s="70">
        <f>145026.66*W136</f>
        <v>208342080.164148</v>
      </c>
      <c r="L129" s="65">
        <f t="shared" si="67"/>
        <v>1.0877451698128939E-4</v>
      </c>
      <c r="M129" s="70">
        <f>133.54*W136</f>
        <v>191840.59941199998</v>
      </c>
      <c r="N129" s="70">
        <f>133.54*W136</f>
        <v>191840.59941199998</v>
      </c>
      <c r="O129" s="66">
        <v>9</v>
      </c>
      <c r="P129" s="89">
        <v>2.2000000000000001E-3</v>
      </c>
      <c r="Q129" s="89">
        <v>0.17780000000000001</v>
      </c>
      <c r="R129" s="95">
        <f t="shared" si="68"/>
        <v>-6.4538458066644516E-2</v>
      </c>
      <c r="S129" s="95">
        <f t="shared" si="69"/>
        <v>1.2715501233227084E-2</v>
      </c>
      <c r="T129" s="95">
        <f t="shared" si="70"/>
        <v>0</v>
      </c>
      <c r="U129" s="95">
        <f t="shared" si="71"/>
        <v>3.0000000000000014E-4</v>
      </c>
      <c r="V129" s="96">
        <f t="shared" si="72"/>
        <v>2.7000000000000079E-3</v>
      </c>
    </row>
    <row r="130" spans="1:24">
      <c r="A130" s="174">
        <v>115</v>
      </c>
      <c r="B130" s="175" t="s">
        <v>191</v>
      </c>
      <c r="C130" s="176" t="s">
        <v>43</v>
      </c>
      <c r="D130" s="70">
        <v>14678145526.523899</v>
      </c>
      <c r="E130" s="65">
        <f t="shared" si="78"/>
        <v>7.7086006054766683E-3</v>
      </c>
      <c r="F130" s="70">
        <v>2061.5147350000002</v>
      </c>
      <c r="G130" s="70">
        <v>2061.5147350000002</v>
      </c>
      <c r="H130" s="85">
        <v>111</v>
      </c>
      <c r="I130" s="92">
        <v>5.9999999999999995E-4</v>
      </c>
      <c r="J130" s="92">
        <v>5.3600000000000002E-2</v>
      </c>
      <c r="K130" s="70">
        <f>10465766.69*W136</f>
        <v>15034888086.833481</v>
      </c>
      <c r="L130" s="65">
        <f t="shared" si="67"/>
        <v>7.8496513437158223E-3</v>
      </c>
      <c r="M130" s="70">
        <f>1.45*W136</f>
        <v>2083.0378099999998</v>
      </c>
      <c r="N130" s="70">
        <f>1.45*W136</f>
        <v>2083.0378099999998</v>
      </c>
      <c r="O130" s="85">
        <v>113</v>
      </c>
      <c r="P130" s="92">
        <v>-8.0000000000000004E-4</v>
      </c>
      <c r="Q130" s="92">
        <v>5.1900000000000002E-2</v>
      </c>
      <c r="R130" s="95">
        <f t="shared" si="68"/>
        <v>2.4304334608546838E-2</v>
      </c>
      <c r="S130" s="95">
        <f t="shared" si="69"/>
        <v>1.0440417734874743E-2</v>
      </c>
      <c r="T130" s="95">
        <f t="shared" si="70"/>
        <v>1.8018018018018018E-2</v>
      </c>
      <c r="U130" s="95">
        <f t="shared" si="71"/>
        <v>-1.4E-3</v>
      </c>
      <c r="V130" s="96">
        <f t="shared" si="72"/>
        <v>-1.7000000000000001E-3</v>
      </c>
    </row>
    <row r="131" spans="1:24">
      <c r="A131" s="174">
        <v>116</v>
      </c>
      <c r="B131" s="175" t="s">
        <v>192</v>
      </c>
      <c r="C131" s="176" t="s">
        <v>105</v>
      </c>
      <c r="D131" s="70">
        <v>34053515018.358501</v>
      </c>
      <c r="E131" s="65">
        <f t="shared" si="78"/>
        <v>1.78840675761643E-2</v>
      </c>
      <c r="F131" s="70">
        <v>148073.62734499999</v>
      </c>
      <c r="G131" s="70">
        <v>148073.62734499999</v>
      </c>
      <c r="H131" s="66">
        <v>806</v>
      </c>
      <c r="I131" s="92">
        <v>2.0999999999999999E-3</v>
      </c>
      <c r="J131" s="89">
        <v>9.2799999999999994E-2</v>
      </c>
      <c r="K131" s="70">
        <f>23326935*W136</f>
        <v>33510956963.042999</v>
      </c>
      <c r="L131" s="65">
        <f t="shared" si="67"/>
        <v>1.7495928591880511E-2</v>
      </c>
      <c r="M131" s="70">
        <f>104.21*W136</f>
        <v>149705.77253799999</v>
      </c>
      <c r="N131" s="70">
        <f>104.21*W136</f>
        <v>149705.77253799999</v>
      </c>
      <c r="O131" s="66">
        <v>810</v>
      </c>
      <c r="P131" s="92">
        <v>5.9999999999999995E-4</v>
      </c>
      <c r="Q131" s="89">
        <v>9.1300000000000006E-2</v>
      </c>
      <c r="R131" s="95">
        <f t="shared" si="68"/>
        <v>-1.5932512547471387E-2</v>
      </c>
      <c r="S131" s="95">
        <f t="shared" si="69"/>
        <v>1.1022524552581082E-2</v>
      </c>
      <c r="T131" s="95">
        <f t="shared" si="70"/>
        <v>4.9627791563275434E-3</v>
      </c>
      <c r="U131" s="95">
        <f t="shared" si="71"/>
        <v>-1.5E-3</v>
      </c>
      <c r="V131" s="96">
        <f t="shared" si="72"/>
        <v>-1.4999999999999875E-3</v>
      </c>
    </row>
    <row r="132" spans="1:24">
      <c r="A132" s="82">
        <v>117</v>
      </c>
      <c r="B132" s="62" t="s">
        <v>193</v>
      </c>
      <c r="C132" s="63" t="s">
        <v>47</v>
      </c>
      <c r="D132" s="70">
        <v>2554786459.81635</v>
      </c>
      <c r="E132" s="65">
        <f t="shared" si="78"/>
        <v>1.3417109413049833E-3</v>
      </c>
      <c r="F132" s="70">
        <v>198203.97876299999</v>
      </c>
      <c r="G132" s="70">
        <v>205781.82258199999</v>
      </c>
      <c r="H132" s="66">
        <v>51</v>
      </c>
      <c r="I132" s="89">
        <v>0</v>
      </c>
      <c r="J132" s="89">
        <v>-1</v>
      </c>
      <c r="K132" s="70">
        <f>1903946.21*W136</f>
        <v>2735166857.6801381</v>
      </c>
      <c r="L132" s="65">
        <f t="shared" si="67"/>
        <v>1.4280190231996421E-3</v>
      </c>
      <c r="M132" s="70">
        <f>152.34*W136</f>
        <v>218848.26205200001</v>
      </c>
      <c r="N132" s="70">
        <f>158.19*W136</f>
        <v>227252.24218199999</v>
      </c>
      <c r="O132" s="66">
        <v>50</v>
      </c>
      <c r="P132" s="89">
        <v>3.5000000000000001E-3</v>
      </c>
      <c r="Q132" s="89">
        <v>0.1133</v>
      </c>
      <c r="R132" s="95">
        <f t="shared" ref="R132:R133" si="81">((K132-D132)/D132)</f>
        <v>7.0604882521866322E-2</v>
      </c>
      <c r="S132" s="95">
        <f t="shared" ref="S132:S133" si="82">((N132-G132)/G132)</f>
        <v>0.10433584138095801</v>
      </c>
      <c r="T132" s="95">
        <f t="shared" ref="T132:T133" si="83">((O132-H132)/H132)</f>
        <v>-1.9607843137254902E-2</v>
      </c>
      <c r="U132" s="95">
        <f t="shared" ref="U132:U133" si="84">P132-I132</f>
        <v>3.5000000000000001E-3</v>
      </c>
      <c r="V132" s="96">
        <f t="shared" ref="V132:V133" si="85">Q132-J132</f>
        <v>1.1133</v>
      </c>
    </row>
    <row r="133" spans="1:24">
      <c r="A133" s="82">
        <v>118</v>
      </c>
      <c r="B133" s="62" t="s">
        <v>194</v>
      </c>
      <c r="C133" s="63" t="s">
        <v>54</v>
      </c>
      <c r="D133" s="64">
        <v>171037099689.948</v>
      </c>
      <c r="E133" s="65">
        <f t="shared" si="78"/>
        <v>8.982447325150246E-2</v>
      </c>
      <c r="F133" s="70">
        <v>180794.28959999999</v>
      </c>
      <c r="G133" s="70">
        <v>180794.28959999999</v>
      </c>
      <c r="H133" s="66">
        <v>4048</v>
      </c>
      <c r="I133" s="89">
        <v>5.5E-2</v>
      </c>
      <c r="J133" s="89">
        <v>8.1299999999999997E-2</v>
      </c>
      <c r="K133" s="64">
        <f>115272615.57*1438.64</f>
        <v>165835795663.62479</v>
      </c>
      <c r="L133" s="65">
        <f t="shared" si="67"/>
        <v>8.6582166009412515E-2</v>
      </c>
      <c r="M133" s="70">
        <f>123.6052*1438.64</f>
        <v>177823.38492800001</v>
      </c>
      <c r="N133" s="70">
        <f>123.6052*1438.64</f>
        <v>177823.38492800001</v>
      </c>
      <c r="O133" s="66">
        <v>4053</v>
      </c>
      <c r="P133" s="89">
        <v>2.6100000000000002E-2</v>
      </c>
      <c r="Q133" s="89">
        <v>7.9500000000000001E-2</v>
      </c>
      <c r="R133" s="95">
        <f t="shared" si="81"/>
        <v>-3.0410384856572124E-2</v>
      </c>
      <c r="S133" s="95">
        <f t="shared" si="82"/>
        <v>-1.6432513872938027E-2</v>
      </c>
      <c r="T133" s="95">
        <f t="shared" si="83"/>
        <v>1.2351778656126482E-3</v>
      </c>
      <c r="U133" s="95">
        <f t="shared" si="84"/>
        <v>-2.8899999999999999E-2</v>
      </c>
      <c r="V133" s="96">
        <f t="shared" si="85"/>
        <v>-1.799999999999996E-3</v>
      </c>
    </row>
    <row r="134" spans="1:24" ht="6" customHeight="1">
      <c r="A134" s="110"/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</row>
    <row r="135" spans="1:24">
      <c r="A135" s="190" t="s">
        <v>195</v>
      </c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</row>
    <row r="136" spans="1:24">
      <c r="A136" s="174">
        <v>119</v>
      </c>
      <c r="B136" s="175" t="s">
        <v>196</v>
      </c>
      <c r="C136" s="176" t="s">
        <v>65</v>
      </c>
      <c r="D136" s="64">
        <v>1471058016.2455499</v>
      </c>
      <c r="E136" s="65">
        <f>(D136/$D$155)</f>
        <v>7.7256344776186869E-4</v>
      </c>
      <c r="F136" s="70">
        <v>165262.395032</v>
      </c>
      <c r="G136" s="70">
        <v>165262.395032</v>
      </c>
      <c r="H136" s="66">
        <v>23</v>
      </c>
      <c r="I136" s="89">
        <v>8.0999999999999996E-3</v>
      </c>
      <c r="J136" s="89">
        <v>0.14510000000000001</v>
      </c>
      <c r="K136" s="64">
        <f>1025053.23*W136</f>
        <v>1472568714.036294</v>
      </c>
      <c r="L136" s="65">
        <f t="shared" ref="L136:L154" si="86">(K136/$K$155)</f>
        <v>7.6882188401332927E-4</v>
      </c>
      <c r="M136" s="70">
        <f>115.16*W136</f>
        <v>165436.29944800001</v>
      </c>
      <c r="N136" s="70">
        <f>115.16*W136</f>
        <v>165436.29944800001</v>
      </c>
      <c r="O136" s="66">
        <v>23</v>
      </c>
      <c r="P136" s="89">
        <v>-9.5999999999999992E-3</v>
      </c>
      <c r="Q136" s="89">
        <v>0.1298</v>
      </c>
      <c r="R136" s="95">
        <f>((K136-D136)/D136)</f>
        <v>1.026946438590971E-3</v>
      </c>
      <c r="S136" s="95">
        <f>((N136-G136)/G136)</f>
        <v>1.0522927249501104E-3</v>
      </c>
      <c r="T136" s="95">
        <f>((O136-H136)/H136)</f>
        <v>0</v>
      </c>
      <c r="U136" s="95">
        <f>P136-I136</f>
        <v>-1.77E-2</v>
      </c>
      <c r="V136" s="96">
        <f>Q136-J136</f>
        <v>-1.5300000000000008E-2</v>
      </c>
      <c r="W136" s="118">
        <v>1436.5778</v>
      </c>
    </row>
    <row r="137" spans="1:24">
      <c r="A137" s="174">
        <v>120</v>
      </c>
      <c r="B137" s="176" t="s">
        <v>197</v>
      </c>
      <c r="C137" s="176" t="s">
        <v>27</v>
      </c>
      <c r="D137" s="70">
        <v>25595700640.0723</v>
      </c>
      <c r="E137" s="65">
        <f t="shared" ref="E137:E154" si="87">(D137/$D$155)</f>
        <v>1.3442231724376931E-2</v>
      </c>
      <c r="F137" s="64">
        <v>191749.30504100001</v>
      </c>
      <c r="G137" s="64">
        <v>191749.30504100001</v>
      </c>
      <c r="H137" s="66">
        <v>637</v>
      </c>
      <c r="I137" s="89">
        <v>5.0000000000000001E-4</v>
      </c>
      <c r="J137" s="89">
        <v>5.2999999999999999E-2</v>
      </c>
      <c r="K137" s="70">
        <f>18128307.42*W136</f>
        <v>26042723991.147278</v>
      </c>
      <c r="L137" s="65">
        <f t="shared" si="86"/>
        <v>1.3596795811879172E-2</v>
      </c>
      <c r="M137" s="64">
        <f>134.98*W136</f>
        <v>193909.27144399998</v>
      </c>
      <c r="N137" s="64">
        <f>134.98*W136</f>
        <v>193909.27144399998</v>
      </c>
      <c r="O137" s="66">
        <v>637</v>
      </c>
      <c r="P137" s="89">
        <v>5.0000000000000001E-4</v>
      </c>
      <c r="Q137" s="89">
        <v>5.3800000000000001E-2</v>
      </c>
      <c r="R137" s="95">
        <f t="shared" ref="R137:R155" si="88">((K137-D137)/D137)</f>
        <v>1.7464782752425377E-2</v>
      </c>
      <c r="S137" s="95">
        <f t="shared" ref="S137:S155" si="89">((N137-G137)/G137)</f>
        <v>1.126453314935417E-2</v>
      </c>
      <c r="T137" s="95">
        <f t="shared" ref="T137:T155" si="90">((O137-H137)/H137)</f>
        <v>0</v>
      </c>
      <c r="U137" s="95">
        <f t="shared" ref="U137:U155" si="91">P137-I137</f>
        <v>0</v>
      </c>
      <c r="V137" s="96">
        <f t="shared" ref="V137:V155" si="92">Q137-J137</f>
        <v>8.000000000000021E-4</v>
      </c>
    </row>
    <row r="138" spans="1:24">
      <c r="A138" s="82">
        <v>121</v>
      </c>
      <c r="B138" s="63" t="s">
        <v>198</v>
      </c>
      <c r="C138" s="63" t="s">
        <v>139</v>
      </c>
      <c r="D138" s="70">
        <v>350284650.493806</v>
      </c>
      <c r="E138" s="65">
        <f t="shared" si="87"/>
        <v>1.8396087325925312E-4</v>
      </c>
      <c r="F138" s="64">
        <v>142173.43</v>
      </c>
      <c r="G138" s="64">
        <v>142173.43</v>
      </c>
      <c r="H138" s="66">
        <v>13</v>
      </c>
      <c r="I138" s="89">
        <v>7.0000000000000001E-3</v>
      </c>
      <c r="J138" s="89">
        <v>7.0000000000000001E-3</v>
      </c>
      <c r="K138" s="70">
        <f>246096.66*W136</f>
        <v>353536998.41014802</v>
      </c>
      <c r="L138" s="65">
        <f t="shared" si="86"/>
        <v>1.8458016837875603E-4</v>
      </c>
      <c r="M138" s="64">
        <f>100*W136</f>
        <v>143657.78</v>
      </c>
      <c r="N138" s="64">
        <f>100*W136</f>
        <v>143657.78</v>
      </c>
      <c r="O138" s="66">
        <v>13</v>
      </c>
      <c r="P138" s="89">
        <v>8.6E-3</v>
      </c>
      <c r="Q138" s="89">
        <v>8.6E-3</v>
      </c>
      <c r="R138" s="95">
        <v>0</v>
      </c>
      <c r="S138" s="95">
        <f t="shared" ref="S138" si="93">((N138-G138)/G138)</f>
        <v>1.0440417734874976E-2</v>
      </c>
      <c r="T138" s="95">
        <f t="shared" ref="T138" si="94">((O138-H138)/H138)</f>
        <v>0</v>
      </c>
      <c r="U138" s="95">
        <f t="shared" ref="U138" si="95">P138-I138</f>
        <v>1.5999999999999999E-3</v>
      </c>
      <c r="V138" s="96">
        <f t="shared" ref="V138" si="96">Q138-J138</f>
        <v>1.5999999999999999E-3</v>
      </c>
    </row>
    <row r="139" spans="1:24">
      <c r="A139" s="82">
        <v>122</v>
      </c>
      <c r="B139" s="62" t="s">
        <v>199</v>
      </c>
      <c r="C139" s="63" t="s">
        <v>74</v>
      </c>
      <c r="D139" s="64">
        <v>16163715616.27</v>
      </c>
      <c r="E139" s="65">
        <f t="shared" si="87"/>
        <v>8.4887854369052225E-3</v>
      </c>
      <c r="F139" s="64">
        <v>169197.62</v>
      </c>
      <c r="G139" s="64">
        <v>169197.62</v>
      </c>
      <c r="H139" s="66">
        <v>445</v>
      </c>
      <c r="I139" s="89">
        <v>1.1999999999999999E-3</v>
      </c>
      <c r="J139" s="89">
        <v>6.4899999999999999E-2</v>
      </c>
      <c r="K139" s="64">
        <v>16528857419.76</v>
      </c>
      <c r="L139" s="65">
        <f t="shared" ref="L139:L140" si="97">(K139/$K$113)</f>
        <v>6.7944924637761042E-2</v>
      </c>
      <c r="M139" s="64">
        <v>169399.08</v>
      </c>
      <c r="N139" s="64">
        <v>169399.08</v>
      </c>
      <c r="O139" s="66">
        <v>444</v>
      </c>
      <c r="P139" s="89">
        <v>1.1999999999999999E-3</v>
      </c>
      <c r="Q139" s="89">
        <v>6.4899999999999999E-2</v>
      </c>
      <c r="R139" s="95">
        <f t="shared" si="88"/>
        <v>2.2590214537210551E-2</v>
      </c>
      <c r="S139" s="95">
        <f t="shared" si="89"/>
        <v>1.1906786868514571E-3</v>
      </c>
      <c r="T139" s="95">
        <f t="shared" si="90"/>
        <v>-2.2471910112359553E-3</v>
      </c>
      <c r="U139" s="95">
        <f t="shared" si="91"/>
        <v>0</v>
      </c>
      <c r="V139" s="96">
        <f t="shared" si="92"/>
        <v>0</v>
      </c>
    </row>
    <row r="140" spans="1:24">
      <c r="A140" s="82">
        <v>123</v>
      </c>
      <c r="B140" s="62" t="s">
        <v>200</v>
      </c>
      <c r="C140" s="63" t="s">
        <v>76</v>
      </c>
      <c r="D140" s="70">
        <v>180407632.92289501</v>
      </c>
      <c r="E140" s="65">
        <f t="shared" ref="E140" si="98">(D140/$D$113)</f>
        <v>7.4527660779113124E-4</v>
      </c>
      <c r="F140" s="69">
        <v>1424.5777685999999</v>
      </c>
      <c r="G140" s="69">
        <v>1424.5777685999999</v>
      </c>
      <c r="H140" s="66">
        <v>3</v>
      </c>
      <c r="I140" s="89">
        <v>1.1000000000000001E-3</v>
      </c>
      <c r="J140" s="89">
        <v>5.8500000000000003E-2</v>
      </c>
      <c r="K140" s="70">
        <f>127050.05*W136</f>
        <v>182517281.31889001</v>
      </c>
      <c r="L140" s="65">
        <f t="shared" si="97"/>
        <v>7.502710326169102E-4</v>
      </c>
      <c r="M140" s="69">
        <f>1.0033*W136</f>
        <v>1441.3185067400002</v>
      </c>
      <c r="N140" s="69">
        <f>1.0033*W136</f>
        <v>1441.3185067400002</v>
      </c>
      <c r="O140" s="66">
        <v>3</v>
      </c>
      <c r="P140" s="89">
        <v>1.2999999999999999E-3</v>
      </c>
      <c r="Q140" s="89">
        <v>5.9799999999999999E-2</v>
      </c>
      <c r="R140" s="94">
        <f t="shared" si="88"/>
        <v>1.1693786797239562E-2</v>
      </c>
      <c r="S140" s="94">
        <f t="shared" si="89"/>
        <v>1.1751368376646941E-2</v>
      </c>
      <c r="T140" s="94">
        <f t="shared" si="90"/>
        <v>0</v>
      </c>
      <c r="U140" s="95">
        <f t="shared" si="91"/>
        <v>1.9999999999999987E-4</v>
      </c>
      <c r="V140" s="96">
        <f t="shared" si="92"/>
        <v>1.2999999999999956E-3</v>
      </c>
    </row>
    <row r="141" spans="1:24">
      <c r="A141" s="82">
        <v>124</v>
      </c>
      <c r="B141" s="62" t="s">
        <v>201</v>
      </c>
      <c r="C141" s="63" t="s">
        <v>72</v>
      </c>
      <c r="D141" s="64">
        <v>9425907631.1901093</v>
      </c>
      <c r="E141" s="65">
        <f t="shared" si="87"/>
        <v>4.9502545905175267E-3</v>
      </c>
      <c r="F141" s="64">
        <v>1899.9967482222801</v>
      </c>
      <c r="G141" s="64">
        <v>1899.9967482222801</v>
      </c>
      <c r="H141" s="66">
        <v>296</v>
      </c>
      <c r="I141" s="89">
        <v>6.21618295321252E-2</v>
      </c>
      <c r="J141" s="89">
        <v>6.6760026910494097E-2</v>
      </c>
      <c r="K141" s="64">
        <v>10155307641.888201</v>
      </c>
      <c r="L141" s="65">
        <f t="shared" si="86"/>
        <v>5.3020430758513419E-3</v>
      </c>
      <c r="M141" s="64">
        <v>1918.02979150791</v>
      </c>
      <c r="N141" s="64">
        <v>1918.02979150791</v>
      </c>
      <c r="O141" s="66">
        <v>306</v>
      </c>
      <c r="P141" s="89">
        <v>6.1699999999999998E-2</v>
      </c>
      <c r="Q141" s="89">
        <v>6.6699999999999995E-2</v>
      </c>
      <c r="R141" s="95">
        <f t="shared" si="88"/>
        <v>7.7382469597359921E-2</v>
      </c>
      <c r="S141" s="95">
        <f t="shared" si="89"/>
        <v>9.4910916571317311E-3</v>
      </c>
      <c r="T141" s="94">
        <f t="shared" si="90"/>
        <v>3.3783783783783786E-2</v>
      </c>
      <c r="U141" s="95">
        <f t="shared" si="91"/>
        <v>-4.6182953212520195E-4</v>
      </c>
      <c r="V141" s="96">
        <f t="shared" si="92"/>
        <v>-6.0026910494101471E-5</v>
      </c>
    </row>
    <row r="142" spans="1:24">
      <c r="A142" s="174">
        <v>125</v>
      </c>
      <c r="B142" s="175" t="s">
        <v>202</v>
      </c>
      <c r="C142" s="176" t="s">
        <v>95</v>
      </c>
      <c r="D142" s="64">
        <v>479305389.00701803</v>
      </c>
      <c r="E142" s="65">
        <f t="shared" si="87"/>
        <v>2.5171938820412631E-4</v>
      </c>
      <c r="F142" s="64">
        <v>1450.1689859999999</v>
      </c>
      <c r="G142" s="64">
        <v>1450.1689859999999</v>
      </c>
      <c r="H142" s="66">
        <v>15</v>
      </c>
      <c r="I142" s="89">
        <v>2.9999999999999997E-4</v>
      </c>
      <c r="J142" s="89">
        <v>2.4500000000000001E-2</v>
      </c>
      <c r="K142" s="64">
        <f>337204.64*W136</f>
        <v>484420699.88099205</v>
      </c>
      <c r="L142" s="65">
        <f t="shared" si="86"/>
        <v>2.5291399415700244E-4</v>
      </c>
      <c r="M142" s="64">
        <f>1.02*W136</f>
        <v>1465.309356</v>
      </c>
      <c r="N142" s="64">
        <f>1.02*W136</f>
        <v>1465.309356</v>
      </c>
      <c r="O142" s="66">
        <v>9</v>
      </c>
      <c r="P142" s="89">
        <v>1E-4</v>
      </c>
      <c r="Q142" s="89">
        <v>2.47E-2</v>
      </c>
      <c r="R142" s="95">
        <f t="shared" si="88"/>
        <v>1.0672341666283927E-2</v>
      </c>
      <c r="S142" s="95">
        <f t="shared" si="89"/>
        <v>1.0440417734874986E-2</v>
      </c>
      <c r="T142" s="94">
        <f t="shared" si="90"/>
        <v>-0.4</v>
      </c>
      <c r="U142" s="95">
        <f t="shared" si="91"/>
        <v>-1.9999999999999998E-4</v>
      </c>
      <c r="V142" s="96">
        <f t="shared" si="92"/>
        <v>1.9999999999999879E-4</v>
      </c>
    </row>
    <row r="143" spans="1:24">
      <c r="A143" s="174">
        <v>126</v>
      </c>
      <c r="B143" s="175" t="s">
        <v>203</v>
      </c>
      <c r="C143" s="176" t="s">
        <v>39</v>
      </c>
      <c r="D143" s="64">
        <v>103224581665.716</v>
      </c>
      <c r="E143" s="65">
        <f t="shared" si="87"/>
        <v>5.4211008556259842E-2</v>
      </c>
      <c r="F143" s="64">
        <v>142173</v>
      </c>
      <c r="G143" s="64">
        <v>142173</v>
      </c>
      <c r="H143" s="66">
        <v>2097</v>
      </c>
      <c r="I143" s="89">
        <v>6.25E-2</v>
      </c>
      <c r="J143" s="89">
        <v>5.2400000000000002E-2</v>
      </c>
      <c r="K143" s="64">
        <v>103026600957.76801</v>
      </c>
      <c r="L143" s="65">
        <f t="shared" si="86"/>
        <v>5.3789751674629446E-2</v>
      </c>
      <c r="M143" s="64">
        <f>100*1421.73</f>
        <v>142173</v>
      </c>
      <c r="N143" s="64">
        <f>100*1421.73</f>
        <v>142173</v>
      </c>
      <c r="O143" s="66">
        <v>2103</v>
      </c>
      <c r="P143" s="89">
        <v>5.6800000000000003E-2</v>
      </c>
      <c r="Q143" s="89">
        <v>5.2499999999999998E-2</v>
      </c>
      <c r="R143" s="95">
        <f t="shared" si="88"/>
        <v>-1.9179608650693463E-3</v>
      </c>
      <c r="S143" s="95">
        <f t="shared" si="89"/>
        <v>0</v>
      </c>
      <c r="T143" s="95">
        <f t="shared" si="90"/>
        <v>2.8612303290414878E-3</v>
      </c>
      <c r="U143" s="95">
        <f t="shared" si="91"/>
        <v>-5.6999999999999967E-3</v>
      </c>
      <c r="V143" s="96">
        <f t="shared" si="92"/>
        <v>9.9999999999995925E-5</v>
      </c>
    </row>
    <row r="144" spans="1:24" ht="15.6">
      <c r="A144" s="82">
        <v>127</v>
      </c>
      <c r="B144" s="62" t="s">
        <v>204</v>
      </c>
      <c r="C144" s="63" t="s">
        <v>153</v>
      </c>
      <c r="D144" s="64">
        <v>1343721805.4003501</v>
      </c>
      <c r="E144" s="65">
        <f t="shared" si="87"/>
        <v>7.0568960526952809E-4</v>
      </c>
      <c r="F144" s="64">
        <v>1606.559759</v>
      </c>
      <c r="G144" s="64">
        <v>1606.559759</v>
      </c>
      <c r="H144" s="66">
        <v>53</v>
      </c>
      <c r="I144" s="89">
        <v>1.9E-3</v>
      </c>
      <c r="J144" s="89">
        <v>9.2100000000000001E-2</v>
      </c>
      <c r="K144" s="64">
        <f>835510.46*W136</f>
        <v>1200275778.503788</v>
      </c>
      <c r="L144" s="65">
        <f t="shared" si="86"/>
        <v>6.2665889650437311E-4</v>
      </c>
      <c r="M144" s="64">
        <f>1.13*W136</f>
        <v>1623.3329139999998</v>
      </c>
      <c r="N144" s="64">
        <f>1.13*W136</f>
        <v>1623.3329139999998</v>
      </c>
      <c r="O144" s="66">
        <v>53</v>
      </c>
      <c r="P144" s="89">
        <v>1.9E-3</v>
      </c>
      <c r="Q144" s="89">
        <v>9.1700000000000004E-2</v>
      </c>
      <c r="R144" s="95">
        <f t="shared" si="88"/>
        <v>-0.10675277153355685</v>
      </c>
      <c r="S144" s="95">
        <f t="shared" si="89"/>
        <v>1.0440417734874847E-2</v>
      </c>
      <c r="T144" s="95">
        <f t="shared" si="90"/>
        <v>0</v>
      </c>
      <c r="U144" s="95">
        <f t="shared" si="91"/>
        <v>0</v>
      </c>
      <c r="V144" s="96">
        <f t="shared" si="92"/>
        <v>-3.9999999999999758E-4</v>
      </c>
      <c r="X144" s="119"/>
    </row>
    <row r="145" spans="1:24" ht="15.6">
      <c r="A145" s="82">
        <v>128</v>
      </c>
      <c r="B145" s="62" t="s">
        <v>205</v>
      </c>
      <c r="C145" s="63" t="s">
        <v>45</v>
      </c>
      <c r="D145" s="70">
        <v>8113703324.6433401</v>
      </c>
      <c r="E145" s="65">
        <f t="shared" si="87"/>
        <v>4.2611171995796246E-3</v>
      </c>
      <c r="F145" s="64">
        <v>15340.513096999999</v>
      </c>
      <c r="G145" s="64">
        <v>15340.513096999999</v>
      </c>
      <c r="H145" s="66">
        <v>157</v>
      </c>
      <c r="I145" s="89">
        <v>7.0599999999999996E-2</v>
      </c>
      <c r="J145" s="89">
        <v>9.0300000000000005E-2</v>
      </c>
      <c r="K145" s="70">
        <f>5141931.75*W136</f>
        <v>7386785001.1651497</v>
      </c>
      <c r="L145" s="65">
        <f t="shared" si="86"/>
        <v>3.8566091397058033E-3</v>
      </c>
      <c r="M145" s="64">
        <f>10.77*W136</f>
        <v>15471.942906</v>
      </c>
      <c r="N145" s="64">
        <f>10.77*W136</f>
        <v>15471.942906</v>
      </c>
      <c r="O145" s="66">
        <v>160</v>
      </c>
      <c r="P145" s="89">
        <v>6.1499999999999999E-2</v>
      </c>
      <c r="Q145" s="89">
        <v>8.2699999999999996E-2</v>
      </c>
      <c r="R145" s="95">
        <f t="shared" si="88"/>
        <v>-8.9591434933337807E-2</v>
      </c>
      <c r="S145" s="95">
        <f t="shared" si="89"/>
        <v>8.5674975907881219E-3</v>
      </c>
      <c r="T145" s="95">
        <f t="shared" si="90"/>
        <v>1.9108280254777069E-2</v>
      </c>
      <c r="U145" s="95">
        <f t="shared" si="91"/>
        <v>-9.099999999999997E-3</v>
      </c>
      <c r="V145" s="96">
        <f t="shared" si="92"/>
        <v>-7.6000000000000095E-3</v>
      </c>
      <c r="X145" s="119"/>
    </row>
    <row r="146" spans="1:24" ht="15.6">
      <c r="A146" s="174">
        <v>129</v>
      </c>
      <c r="B146" s="176" t="s">
        <v>206</v>
      </c>
      <c r="C146" s="180" t="s">
        <v>49</v>
      </c>
      <c r="D146" s="64">
        <v>27504516109.02</v>
      </c>
      <c r="E146" s="65">
        <f t="shared" si="87"/>
        <v>1.4444694607244813E-2</v>
      </c>
      <c r="F146" s="64">
        <v>1549.6903870000001</v>
      </c>
      <c r="G146" s="64">
        <v>1549.6903870000001</v>
      </c>
      <c r="H146" s="66">
        <v>460</v>
      </c>
      <c r="I146" s="89">
        <v>2.3E-3</v>
      </c>
      <c r="J146" s="89">
        <v>0.10059999999999999</v>
      </c>
      <c r="K146" s="64">
        <v>27700291578.93</v>
      </c>
      <c r="L146" s="65">
        <f t="shared" si="86"/>
        <v>1.4462204823744905E-2</v>
      </c>
      <c r="M146" s="64">
        <f>1.09*W136</f>
        <v>1565.8698020000002</v>
      </c>
      <c r="N146" s="64">
        <f>1.09*W136</f>
        <v>1565.8698020000002</v>
      </c>
      <c r="O146" s="66">
        <v>460</v>
      </c>
      <c r="P146" s="89">
        <v>4.0000000000000002E-4</v>
      </c>
      <c r="Q146" s="89">
        <v>0.1036</v>
      </c>
      <c r="R146" s="95">
        <f t="shared" si="88"/>
        <v>7.1179390734962258E-3</v>
      </c>
      <c r="S146" s="95">
        <f t="shared" si="89"/>
        <v>1.0440417734874974E-2</v>
      </c>
      <c r="T146" s="95">
        <f t="shared" si="90"/>
        <v>0</v>
      </c>
      <c r="U146" s="95">
        <f t="shared" si="91"/>
        <v>-1.9E-3</v>
      </c>
      <c r="V146" s="96">
        <f t="shared" si="92"/>
        <v>3.0000000000000027E-3</v>
      </c>
      <c r="X146" s="119"/>
    </row>
    <row r="147" spans="1:24">
      <c r="A147" s="82">
        <v>130</v>
      </c>
      <c r="B147" s="62" t="s">
        <v>207</v>
      </c>
      <c r="C147" s="63" t="s">
        <v>107</v>
      </c>
      <c r="D147" s="70">
        <v>433983891.852</v>
      </c>
      <c r="E147" s="65">
        <f t="shared" si="87"/>
        <v>2.2791765386520954E-4</v>
      </c>
      <c r="F147" s="64">
        <v>1812.0360000000001</v>
      </c>
      <c r="G147" s="64">
        <v>1812.0360000000001</v>
      </c>
      <c r="H147" s="66">
        <v>2</v>
      </c>
      <c r="I147" s="89">
        <v>6.4479999999999997E-3</v>
      </c>
      <c r="J147" s="89">
        <v>0.14149200000000001</v>
      </c>
      <c r="K147" s="70">
        <f>302397.87*1438.64</f>
        <v>435041671.69680005</v>
      </c>
      <c r="L147" s="65">
        <f t="shared" si="86"/>
        <v>2.2713341283848469E-4</v>
      </c>
      <c r="M147" s="64">
        <f>1.26*1438.64</f>
        <v>1812.6864</v>
      </c>
      <c r="N147" s="64">
        <f>1.26*1438.64</f>
        <v>1812.6864</v>
      </c>
      <c r="O147" s="66">
        <v>2</v>
      </c>
      <c r="P147" s="89">
        <v>-5.8129999999999996E-3</v>
      </c>
      <c r="Q147" s="89">
        <v>0.134857</v>
      </c>
      <c r="R147" s="95">
        <f t="shared" si="88"/>
        <v>2.4373712127564078E-3</v>
      </c>
      <c r="S147" s="95">
        <f t="shared" si="89"/>
        <v>3.5893326622649357E-4</v>
      </c>
      <c r="T147" s="95">
        <f t="shared" si="90"/>
        <v>0</v>
      </c>
      <c r="U147" s="95">
        <f t="shared" ref="U147" si="99">P147-I147</f>
        <v>-1.2260999999999999E-2</v>
      </c>
      <c r="V147" s="96">
        <f t="shared" ref="V147" si="100">Q147-J147</f>
        <v>-6.635000000000002E-3</v>
      </c>
    </row>
    <row r="148" spans="1:24">
      <c r="A148" s="82">
        <v>131</v>
      </c>
      <c r="B148" s="62" t="s">
        <v>208</v>
      </c>
      <c r="C148" s="63" t="s">
        <v>112</v>
      </c>
      <c r="D148" s="70">
        <v>998924210.48130906</v>
      </c>
      <c r="E148" s="65">
        <f t="shared" si="87"/>
        <v>5.2461039848847443E-4</v>
      </c>
      <c r="F148" s="64">
        <v>1482.30018118</v>
      </c>
      <c r="G148" s="64">
        <v>1482.30018118</v>
      </c>
      <c r="H148" s="66">
        <v>9</v>
      </c>
      <c r="I148" s="89">
        <v>5.16E-2</v>
      </c>
      <c r="J148" s="89">
        <v>6.6400000000000001E-2</v>
      </c>
      <c r="K148" s="70">
        <f>701678.32*W136</f>
        <v>1008015497.2532959</v>
      </c>
      <c r="L148" s="65">
        <f t="shared" si="86"/>
        <v>5.2628061857207915E-4</v>
      </c>
      <c r="M148" s="64">
        <f>1.0412*W136</f>
        <v>1495.7648053599999</v>
      </c>
      <c r="N148" s="64">
        <f>1.0412*W136</f>
        <v>1495.7648053599999</v>
      </c>
      <c r="O148" s="66">
        <v>9</v>
      </c>
      <c r="P148" s="89">
        <v>-8.3400000000000002E-2</v>
      </c>
      <c r="Q148" s="89">
        <v>6.2399999999999997E-2</v>
      </c>
      <c r="R148" s="95">
        <f t="shared" ref="R148" si="101">((K148-D148)/D148)</f>
        <v>9.1010776158948151E-3</v>
      </c>
      <c r="S148" s="95">
        <f t="shared" ref="S148" si="102">((N148-G148)/G148)</f>
        <v>9.0836015207670182E-3</v>
      </c>
      <c r="T148" s="95">
        <f t="shared" si="90"/>
        <v>0</v>
      </c>
      <c r="U148" s="95">
        <f t="shared" si="91"/>
        <v>-0.13500000000000001</v>
      </c>
      <c r="V148" s="96">
        <f t="shared" si="92"/>
        <v>-4.0000000000000036E-3</v>
      </c>
    </row>
    <row r="149" spans="1:24">
      <c r="A149" s="174">
        <v>132</v>
      </c>
      <c r="B149" s="175" t="s">
        <v>209</v>
      </c>
      <c r="C149" s="176" t="s">
        <v>51</v>
      </c>
      <c r="D149" s="70">
        <v>1012729229378.39</v>
      </c>
      <c r="E149" s="65">
        <f t="shared" si="87"/>
        <v>0.53186045448746666</v>
      </c>
      <c r="F149" s="64">
        <v>2370.4899999999998</v>
      </c>
      <c r="G149" s="64">
        <v>2370.4899999999998</v>
      </c>
      <c r="H149" s="66">
        <v>12469</v>
      </c>
      <c r="I149" s="89">
        <v>8.0000000000000004E-4</v>
      </c>
      <c r="J149" s="89">
        <v>5.5100000000000003E-2</v>
      </c>
      <c r="K149" s="70">
        <v>1026412993679.48</v>
      </c>
      <c r="L149" s="65">
        <f t="shared" si="86"/>
        <v>0.53588587347712036</v>
      </c>
      <c r="M149" s="64">
        <v>2392.17</v>
      </c>
      <c r="N149" s="64">
        <v>2392.17</v>
      </c>
      <c r="O149" s="66">
        <v>12524</v>
      </c>
      <c r="P149" s="89">
        <v>8.0000000000000004E-4</v>
      </c>
      <c r="Q149" s="89">
        <v>5.6000000000000001E-2</v>
      </c>
      <c r="R149" s="95">
        <f t="shared" si="88"/>
        <v>1.3511769882941975E-2</v>
      </c>
      <c r="S149" s="95">
        <f t="shared" si="89"/>
        <v>9.1457884234906264E-3</v>
      </c>
      <c r="T149" s="95">
        <f t="shared" si="90"/>
        <v>4.4109391290400191E-3</v>
      </c>
      <c r="U149" s="95">
        <f t="shared" si="91"/>
        <v>0</v>
      </c>
      <c r="V149" s="96">
        <f t="shared" si="92"/>
        <v>8.9999999999999802E-4</v>
      </c>
    </row>
    <row r="150" spans="1:24">
      <c r="A150" s="82">
        <v>133</v>
      </c>
      <c r="B150" s="62" t="s">
        <v>210</v>
      </c>
      <c r="C150" s="62" t="s">
        <v>118</v>
      </c>
      <c r="D150" s="70">
        <v>532258920.87655699</v>
      </c>
      <c r="E150" s="65">
        <f t="shared" si="87"/>
        <v>2.7952927924887916E-4</v>
      </c>
      <c r="F150" s="64">
        <v>150945.530631</v>
      </c>
      <c r="G150" s="64">
        <v>150945.530631</v>
      </c>
      <c r="H150" s="66">
        <v>30</v>
      </c>
      <c r="I150" s="89">
        <v>0</v>
      </c>
      <c r="J150" s="89">
        <v>7.6399999999999996E-2</v>
      </c>
      <c r="K150" s="70">
        <f>392108.7*W136</f>
        <v>563294653.60686004</v>
      </c>
      <c r="L150" s="65">
        <f t="shared" si="86"/>
        <v>2.9409375108453375E-4</v>
      </c>
      <c r="M150" s="64">
        <f>111.2*W136</f>
        <v>159747.45136000001</v>
      </c>
      <c r="N150" s="64">
        <f>111.2*W136</f>
        <v>159747.45136000001</v>
      </c>
      <c r="O150" s="66">
        <v>30</v>
      </c>
      <c r="P150" s="89">
        <v>0</v>
      </c>
      <c r="Q150" s="89">
        <v>7.6399999999999996E-2</v>
      </c>
      <c r="R150" s="95">
        <f t="shared" ref="R150" si="103">((K150-D150)/D150)</f>
        <v>5.8309464647753544E-2</v>
      </c>
      <c r="S150" s="95">
        <f t="shared" ref="S150" si="104">((N150-G150)/G150)</f>
        <v>5.8311900274259171E-2</v>
      </c>
      <c r="T150" s="95">
        <f t="shared" ref="T150" si="105">((O150-H150)/H150)</f>
        <v>0</v>
      </c>
      <c r="U150" s="95">
        <f t="shared" ref="U150" si="106">P150-I150</f>
        <v>0</v>
      </c>
      <c r="V150" s="96">
        <f t="shared" ref="V150" si="107">Q150-J150</f>
        <v>0</v>
      </c>
    </row>
    <row r="151" spans="1:24" ht="16.5" customHeight="1">
      <c r="A151" s="82">
        <v>134</v>
      </c>
      <c r="B151" s="62" t="s">
        <v>211</v>
      </c>
      <c r="C151" s="63" t="s">
        <v>54</v>
      </c>
      <c r="D151" s="70">
        <v>169536662792.02802</v>
      </c>
      <c r="E151" s="65">
        <f t="shared" si="87"/>
        <v>8.9036480738491533E-2</v>
      </c>
      <c r="F151" s="64">
        <v>1809.2014200000001</v>
      </c>
      <c r="G151" s="64">
        <v>1809.2014200000001</v>
      </c>
      <c r="H151" s="66">
        <v>872</v>
      </c>
      <c r="I151" s="89">
        <v>0.1022</v>
      </c>
      <c r="J151" s="89">
        <v>9.5299999999999996E-2</v>
      </c>
      <c r="K151" s="70">
        <f>115053226.64*1438.64</f>
        <v>165520173973.3696</v>
      </c>
      <c r="L151" s="65">
        <f t="shared" si="86"/>
        <v>8.6417381262714782E-2</v>
      </c>
      <c r="M151" s="64">
        <f>1.2379*1438.64</f>
        <v>1780.892456</v>
      </c>
      <c r="N151" s="64">
        <f>1.2379*1438.64</f>
        <v>1780.892456</v>
      </c>
      <c r="O151" s="66">
        <v>878</v>
      </c>
      <c r="P151" s="89">
        <v>6.08E-2</v>
      </c>
      <c r="Q151" s="89">
        <v>9.4E-2</v>
      </c>
      <c r="R151" s="95">
        <f t="shared" si="88"/>
        <v>-2.3690974875360593E-2</v>
      </c>
      <c r="S151" s="95">
        <f t="shared" si="89"/>
        <v>-1.5647215222725205E-2</v>
      </c>
      <c r="T151" s="95">
        <f t="shared" si="90"/>
        <v>6.8807339449541288E-3</v>
      </c>
      <c r="U151" s="95">
        <f t="shared" si="91"/>
        <v>-4.1399999999999999E-2</v>
      </c>
      <c r="V151" s="96">
        <f t="shared" si="92"/>
        <v>-1.2999999999999956E-3</v>
      </c>
    </row>
    <row r="152" spans="1:24" ht="16.5" customHeight="1">
      <c r="A152" s="82">
        <v>135</v>
      </c>
      <c r="B152" s="62" t="s">
        <v>212</v>
      </c>
      <c r="C152" s="63" t="s">
        <v>114</v>
      </c>
      <c r="D152" s="64">
        <v>1965344888.6208701</v>
      </c>
      <c r="E152" s="65">
        <f t="shared" si="87"/>
        <v>1.032150742136781E-3</v>
      </c>
      <c r="F152" s="64">
        <v>154670.47449699999</v>
      </c>
      <c r="G152" s="64">
        <v>154670.47449699999</v>
      </c>
      <c r="H152" s="66">
        <v>31</v>
      </c>
      <c r="I152" s="89">
        <v>1.6000000000000001E-3</v>
      </c>
      <c r="J152" s="89">
        <v>6.7599999999999993E-2</v>
      </c>
      <c r="K152" s="64">
        <f>1387529.64862261*W136</f>
        <v>1993294290.0530419</v>
      </c>
      <c r="L152" s="65">
        <f t="shared" si="86"/>
        <v>1.0406905001200647E-3</v>
      </c>
      <c r="M152" s="64">
        <f>109.2*W136</f>
        <v>156874.29576000001</v>
      </c>
      <c r="N152" s="64">
        <f>109.2*W136</f>
        <v>156874.29576000001</v>
      </c>
      <c r="O152" s="66">
        <v>31</v>
      </c>
      <c r="P152" s="89">
        <v>3.8E-3</v>
      </c>
      <c r="Q152" s="89">
        <v>7.0800000000000002E-2</v>
      </c>
      <c r="R152" s="95">
        <f t="shared" si="88"/>
        <v>1.4221117928967974E-2</v>
      </c>
      <c r="S152" s="95">
        <f t="shared" si="89"/>
        <v>1.4248493580736803E-2</v>
      </c>
      <c r="T152" s="95">
        <f t="shared" si="90"/>
        <v>0</v>
      </c>
      <c r="U152" s="95">
        <f t="shared" si="91"/>
        <v>2.1999999999999997E-3</v>
      </c>
      <c r="V152" s="96">
        <f t="shared" si="92"/>
        <v>3.2000000000000084E-3</v>
      </c>
    </row>
    <row r="153" spans="1:24" ht="16.5" customHeight="1">
      <c r="A153" s="82">
        <v>136</v>
      </c>
      <c r="B153" s="62" t="s">
        <v>213</v>
      </c>
      <c r="C153" s="63" t="s">
        <v>125</v>
      </c>
      <c r="D153" s="64">
        <v>3006959713.1370001</v>
      </c>
      <c r="E153" s="65">
        <f t="shared" si="87"/>
        <v>1.5791811999305897E-3</v>
      </c>
      <c r="F153" s="64">
        <v>1563.9077299999999</v>
      </c>
      <c r="G153" s="64">
        <v>1563.9077299999999</v>
      </c>
      <c r="H153" s="66">
        <v>32</v>
      </c>
      <c r="I153" s="89">
        <v>0.1052</v>
      </c>
      <c r="J153" s="89">
        <v>0.11020000000000001</v>
      </c>
      <c r="K153" s="64">
        <f>2105281.84*W136</f>
        <v>3024401154.087152</v>
      </c>
      <c r="L153" s="65">
        <f t="shared" si="86"/>
        <v>1.5790270234140411E-3</v>
      </c>
      <c r="M153" s="64">
        <f>1.1*W136</f>
        <v>1580.2355800000003</v>
      </c>
      <c r="N153" s="64">
        <f>1.1*W136</f>
        <v>1580.2355800000003</v>
      </c>
      <c r="O153" s="66">
        <v>34</v>
      </c>
      <c r="P153" s="89">
        <v>0.10589999999999999</v>
      </c>
      <c r="Q153" s="89">
        <v>0.1036</v>
      </c>
      <c r="R153" s="95">
        <f t="shared" ref="R153" si="108">((K153-D153)/D153)</f>
        <v>5.8003573755752783E-3</v>
      </c>
      <c r="S153" s="95">
        <f t="shared" ref="S153" si="109">((N153-G153)/G153)</f>
        <v>1.0440417734875161E-2</v>
      </c>
      <c r="T153" s="95">
        <f t="shared" si="90"/>
        <v>6.25E-2</v>
      </c>
      <c r="U153" s="95">
        <f t="shared" si="91"/>
        <v>6.999999999999923E-4</v>
      </c>
      <c r="V153" s="96">
        <f t="shared" si="92"/>
        <v>-6.6000000000000086E-3</v>
      </c>
    </row>
    <row r="154" spans="1:24">
      <c r="A154" s="82">
        <v>137</v>
      </c>
      <c r="B154" s="62" t="s">
        <v>214</v>
      </c>
      <c r="C154" s="63" t="s">
        <v>127</v>
      </c>
      <c r="D154" s="64">
        <v>1661250138.3597901</v>
      </c>
      <c r="E154" s="65">
        <f t="shared" si="87"/>
        <v>8.7244766712986756E-4</v>
      </c>
      <c r="F154" s="64">
        <v>2033.0800489999999</v>
      </c>
      <c r="G154" s="64">
        <v>2033.0800489999999</v>
      </c>
      <c r="H154" s="66">
        <v>117</v>
      </c>
      <c r="I154" s="89">
        <v>4.4000000000000003E-3</v>
      </c>
      <c r="J154" s="89">
        <v>0.14949999999999999</v>
      </c>
      <c r="K154" s="64">
        <f>1163656.55*W136</f>
        <v>1671683166.55459</v>
      </c>
      <c r="L154" s="65">
        <f t="shared" si="86"/>
        <v>8.7277869571266158E-4</v>
      </c>
      <c r="M154" s="64">
        <f>1.42*W136</f>
        <v>2039.940476</v>
      </c>
      <c r="N154" s="64">
        <f>1.42*W136</f>
        <v>2039.940476</v>
      </c>
      <c r="O154" s="66">
        <v>117</v>
      </c>
      <c r="P154" s="89">
        <v>-4.1999999999999997E-3</v>
      </c>
      <c r="Q154" s="89">
        <v>0.14499999999999999</v>
      </c>
      <c r="R154" s="95">
        <f t="shared" si="88"/>
        <v>6.2802271337059398E-3</v>
      </c>
      <c r="S154" s="95">
        <f t="shared" si="89"/>
        <v>3.3744008276380823E-3</v>
      </c>
      <c r="T154" s="95">
        <f t="shared" si="90"/>
        <v>0</v>
      </c>
      <c r="U154" s="95">
        <f t="shared" si="91"/>
        <v>-8.6E-3</v>
      </c>
      <c r="V154" s="96">
        <f t="shared" si="92"/>
        <v>-4.500000000000004E-3</v>
      </c>
    </row>
    <row r="155" spans="1:24">
      <c r="A155" s="73"/>
      <c r="B155" s="74"/>
      <c r="C155" s="111" t="s">
        <v>57</v>
      </c>
      <c r="D155" s="99">
        <f>SUM(D117:D154)</f>
        <v>1904125830062.5452</v>
      </c>
      <c r="E155" s="77">
        <f>(D155/$D$229)</f>
        <v>0.26800850776112473</v>
      </c>
      <c r="F155" s="78"/>
      <c r="G155" s="84"/>
      <c r="H155" s="80">
        <f>SUM(H117:H154)</f>
        <v>27833</v>
      </c>
      <c r="I155" s="116"/>
      <c r="J155" s="116"/>
      <c r="K155" s="99">
        <f>SUM(K117:K154)</f>
        <v>1915357437992.4436</v>
      </c>
      <c r="L155" s="77">
        <f>(K155/$K$229)</f>
        <v>0.26745560131625168</v>
      </c>
      <c r="M155" s="78"/>
      <c r="N155" s="84"/>
      <c r="O155" s="80">
        <f>SUM(O117:O154)</f>
        <v>27926</v>
      </c>
      <c r="P155" s="116"/>
      <c r="Q155" s="116"/>
      <c r="R155" s="95">
        <f t="shared" si="88"/>
        <v>5.8985639250161903E-3</v>
      </c>
      <c r="S155" s="95" t="e">
        <f t="shared" si="89"/>
        <v>#DIV/0!</v>
      </c>
      <c r="T155" s="95">
        <f t="shared" si="90"/>
        <v>3.3413573815255274E-3</v>
      </c>
      <c r="U155" s="95">
        <f t="shared" si="91"/>
        <v>0</v>
      </c>
      <c r="V155" s="96">
        <f t="shared" si="92"/>
        <v>0</v>
      </c>
    </row>
    <row r="156" spans="1:24" ht="6" customHeight="1">
      <c r="A156" s="73"/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</row>
    <row r="157" spans="1:24">
      <c r="A157" s="189" t="s">
        <v>215</v>
      </c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</row>
    <row r="158" spans="1:24">
      <c r="A158" s="82">
        <v>138</v>
      </c>
      <c r="B158" s="62" t="s">
        <v>216</v>
      </c>
      <c r="C158" s="63" t="s">
        <v>217</v>
      </c>
      <c r="D158" s="112">
        <v>2562566467.9454598</v>
      </c>
      <c r="E158" s="65">
        <f>(D158/$D$164)</f>
        <v>6.920855041176171E-3</v>
      </c>
      <c r="F158" s="100">
        <v>120.76</v>
      </c>
      <c r="G158" s="100">
        <v>120.76</v>
      </c>
      <c r="H158" s="66">
        <v>8</v>
      </c>
      <c r="I158" s="89">
        <v>2.2000000000000001E-3</v>
      </c>
      <c r="J158" s="89">
        <v>0.14530000000000001</v>
      </c>
      <c r="K158" s="112">
        <v>2570766680.64288</v>
      </c>
      <c r="L158" s="65">
        <f>(K158/$K$164)</f>
        <v>6.9232881211707528E-3</v>
      </c>
      <c r="M158" s="100">
        <v>121.15</v>
      </c>
      <c r="N158" s="100">
        <v>121.15</v>
      </c>
      <c r="O158" s="66">
        <v>8</v>
      </c>
      <c r="P158" s="89">
        <v>3.2000000000000002E-3</v>
      </c>
      <c r="Q158" s="89">
        <v>0.14899999999999999</v>
      </c>
      <c r="R158" s="95">
        <f t="shared" ref="R158:R164" si="110">((K158-D158)/D158)</f>
        <v>3.1999999999979115E-3</v>
      </c>
      <c r="S158" s="95">
        <f t="shared" ref="S158:T164" si="111">((N158-G158)/G158)</f>
        <v>3.2295462073534328E-3</v>
      </c>
      <c r="T158" s="95">
        <f t="shared" si="111"/>
        <v>0</v>
      </c>
      <c r="U158" s="95">
        <f t="shared" ref="U158:V164" si="112">P158-I158</f>
        <v>1E-3</v>
      </c>
      <c r="V158" s="96">
        <f t="shared" si="112"/>
        <v>3.6999999999999811E-3</v>
      </c>
    </row>
    <row r="159" spans="1:24">
      <c r="A159" s="82">
        <v>139</v>
      </c>
      <c r="B159" s="62" t="s">
        <v>218</v>
      </c>
      <c r="C159" s="63" t="s">
        <v>25</v>
      </c>
      <c r="D159" s="112">
        <v>264509498219.53</v>
      </c>
      <c r="E159" s="65">
        <v>0</v>
      </c>
      <c r="F159" s="100">
        <v>105.8038</v>
      </c>
      <c r="G159" s="100">
        <v>105.8038</v>
      </c>
      <c r="H159" s="66">
        <v>45</v>
      </c>
      <c r="I159" s="89">
        <v>0.25380000000000003</v>
      </c>
      <c r="J159" s="89">
        <v>9.2899999999999996E-2</v>
      </c>
      <c r="K159" s="112">
        <v>265277092543.89999</v>
      </c>
      <c r="L159" s="65">
        <f t="shared" ref="L159:L163" si="113">(K159/$K$164)</f>
        <v>0.71441323612013485</v>
      </c>
      <c r="M159" s="100">
        <v>106.1108</v>
      </c>
      <c r="N159" s="100">
        <v>106.1108</v>
      </c>
      <c r="O159" s="66">
        <v>45</v>
      </c>
      <c r="P159" s="89">
        <v>0.15129999999999999</v>
      </c>
      <c r="Q159" s="89">
        <v>9.4899999999999998E-2</v>
      </c>
      <c r="R159" s="95">
        <f t="shared" ref="R159" si="114">((K159-D159)/D159)</f>
        <v>2.9019537276991436E-3</v>
      </c>
      <c r="S159" s="95">
        <f t="shared" ref="S159" si="115">((N159-G159)/G159)</f>
        <v>2.9015971070982531E-3</v>
      </c>
      <c r="T159" s="95">
        <f t="shared" ref="T159" si="116">((O159-H159)/H159)</f>
        <v>0</v>
      </c>
      <c r="U159" s="95">
        <f t="shared" ref="U159" si="117">P159-I159</f>
        <v>-0.10250000000000004</v>
      </c>
      <c r="V159" s="96">
        <f t="shared" ref="V159" si="118">Q159-J159</f>
        <v>2.0000000000000018E-3</v>
      </c>
    </row>
    <row r="160" spans="1:24">
      <c r="A160" s="174">
        <v>140</v>
      </c>
      <c r="B160" s="175" t="s">
        <v>219</v>
      </c>
      <c r="C160" s="176" t="s">
        <v>49</v>
      </c>
      <c r="D160" s="70">
        <v>57062508820</v>
      </c>
      <c r="E160" s="65">
        <f>(D160/$D$164)</f>
        <v>0.15411165203675098</v>
      </c>
      <c r="F160" s="100">
        <v>102.5</v>
      </c>
      <c r="G160" s="100">
        <v>102.5</v>
      </c>
      <c r="H160" s="66">
        <v>645</v>
      </c>
      <c r="I160" s="89">
        <v>8.3900000000000002E-2</v>
      </c>
      <c r="J160" s="89">
        <v>8.3900000000000002E-2</v>
      </c>
      <c r="K160" s="70">
        <v>57062508820</v>
      </c>
      <c r="L160" s="65">
        <f t="shared" si="113"/>
        <v>0.15367407413998119</v>
      </c>
      <c r="M160" s="100">
        <v>102.5</v>
      </c>
      <c r="N160" s="100">
        <v>102.5</v>
      </c>
      <c r="O160" s="66">
        <v>645</v>
      </c>
      <c r="P160" s="89">
        <v>8.3900000000000002E-2</v>
      </c>
      <c r="Q160" s="89">
        <v>8.3900000000000002E-2</v>
      </c>
      <c r="R160" s="95">
        <f t="shared" si="110"/>
        <v>0</v>
      </c>
      <c r="S160" s="95">
        <f t="shared" si="111"/>
        <v>0</v>
      </c>
      <c r="T160" s="95">
        <f t="shared" si="111"/>
        <v>0</v>
      </c>
      <c r="U160" s="95">
        <f t="shared" si="112"/>
        <v>0</v>
      </c>
      <c r="V160" s="96">
        <f t="shared" si="112"/>
        <v>0</v>
      </c>
    </row>
    <row r="161" spans="1:22" ht="15.75" customHeight="1">
      <c r="A161" s="82">
        <v>141</v>
      </c>
      <c r="B161" s="62" t="s">
        <v>221</v>
      </c>
      <c r="C161" s="63" t="s">
        <v>163</v>
      </c>
      <c r="D161" s="70">
        <v>2745454783.6599998</v>
      </c>
      <c r="E161" s="65">
        <f>(D161/$D$164)</f>
        <v>7.4147909205447959E-3</v>
      </c>
      <c r="F161" s="100">
        <v>418.75</v>
      </c>
      <c r="G161" s="100">
        <v>418.75</v>
      </c>
      <c r="H161" s="66">
        <v>3871</v>
      </c>
      <c r="I161" s="89">
        <v>3.0213170667716098</v>
      </c>
      <c r="J161" s="89">
        <v>0.14199999999999999</v>
      </c>
      <c r="K161" s="70">
        <v>2865390669.8194599</v>
      </c>
      <c r="L161" s="65">
        <f t="shared" si="113"/>
        <v>7.7167349865891518E-3</v>
      </c>
      <c r="M161" s="100">
        <v>164.769533490973</v>
      </c>
      <c r="N161" s="100">
        <v>164.769533490973</v>
      </c>
      <c r="O161" s="66">
        <v>3871</v>
      </c>
      <c r="P161" s="89">
        <v>2.7585000000000002</v>
      </c>
      <c r="Q161" s="89">
        <v>0.18509999999999999</v>
      </c>
      <c r="R161" s="95">
        <f t="shared" si="110"/>
        <v>4.3685252757858957E-2</v>
      </c>
      <c r="S161" s="95">
        <f t="shared" si="111"/>
        <v>-0.60652051703648235</v>
      </c>
      <c r="T161" s="95">
        <f t="shared" si="111"/>
        <v>0</v>
      </c>
      <c r="U161" s="95">
        <f t="shared" si="112"/>
        <v>-0.26281706677160965</v>
      </c>
      <c r="V161" s="96">
        <f t="shared" si="112"/>
        <v>4.3099999999999999E-2</v>
      </c>
    </row>
    <row r="162" spans="1:22">
      <c r="A162" s="82">
        <v>142</v>
      </c>
      <c r="B162" s="62" t="s">
        <v>220</v>
      </c>
      <c r="C162" s="63" t="s">
        <v>163</v>
      </c>
      <c r="D162" s="70">
        <v>10422702552.129999</v>
      </c>
      <c r="E162" s="65">
        <f>(D162/$D$164)</f>
        <v>2.814912877495902E-2</v>
      </c>
      <c r="F162" s="100">
        <v>51.8</v>
      </c>
      <c r="G162" s="100">
        <v>51.8</v>
      </c>
      <c r="H162" s="66">
        <v>5970</v>
      </c>
      <c r="I162" s="89">
        <v>0.121322918397873</v>
      </c>
      <c r="J162" s="89">
        <v>0.14793669626476899</v>
      </c>
      <c r="K162" s="70">
        <v>10440307418.43</v>
      </c>
      <c r="L162" s="65">
        <f t="shared" si="113"/>
        <v>2.8116614734290744E-2</v>
      </c>
      <c r="M162" s="100">
        <v>60.55</v>
      </c>
      <c r="N162" s="100">
        <v>60.55</v>
      </c>
      <c r="O162" s="66">
        <v>5970</v>
      </c>
      <c r="P162" s="89">
        <v>4.3099999999999999E-2</v>
      </c>
      <c r="Q162" s="89">
        <v>0.14860000000000001</v>
      </c>
      <c r="R162" s="95">
        <f t="shared" si="110"/>
        <v>1.6890884309466729E-3</v>
      </c>
      <c r="S162" s="95">
        <f t="shared" si="111"/>
        <v>0.16891891891891891</v>
      </c>
      <c r="T162" s="95">
        <f t="shared" si="111"/>
        <v>0</v>
      </c>
      <c r="U162" s="95">
        <f t="shared" si="112"/>
        <v>-7.8222918397873001E-2</v>
      </c>
      <c r="V162" s="96">
        <f t="shared" si="112"/>
        <v>6.6330373523101893E-4</v>
      </c>
    </row>
    <row r="163" spans="1:22">
      <c r="A163" s="174">
        <v>143</v>
      </c>
      <c r="B163" s="175" t="s">
        <v>329</v>
      </c>
      <c r="C163" s="176" t="s">
        <v>51</v>
      </c>
      <c r="D163" s="70">
        <v>32964592009.080002</v>
      </c>
      <c r="E163" s="65">
        <f>(D163/$D$164)</f>
        <v>8.9029168858699326E-2</v>
      </c>
      <c r="F163" s="100">
        <v>7.05</v>
      </c>
      <c r="G163" s="100">
        <v>7.05</v>
      </c>
      <c r="H163" s="66">
        <v>210195</v>
      </c>
      <c r="I163" s="89">
        <v>-4.0800000000000003E-2</v>
      </c>
      <c r="J163" s="89">
        <v>0.41</v>
      </c>
      <c r="K163" s="70">
        <v>33105571165.779999</v>
      </c>
      <c r="L163" s="65">
        <f t="shared" si="113"/>
        <v>8.9156051897833447E-2</v>
      </c>
      <c r="M163" s="100">
        <v>6.8</v>
      </c>
      <c r="N163" s="100">
        <v>6.8</v>
      </c>
      <c r="O163" s="66">
        <v>210195</v>
      </c>
      <c r="P163" s="89">
        <v>-3.5499999999999997E-2</v>
      </c>
      <c r="Q163" s="89">
        <v>0.36</v>
      </c>
      <c r="R163" s="95">
        <f t="shared" si="110"/>
        <v>4.2766844091734748E-3</v>
      </c>
      <c r="S163" s="95">
        <f t="shared" si="111"/>
        <v>-3.5460992907801421E-2</v>
      </c>
      <c r="T163" s="95">
        <f t="shared" si="111"/>
        <v>0</v>
      </c>
      <c r="U163" s="95">
        <f t="shared" si="112"/>
        <v>5.3000000000000061E-3</v>
      </c>
      <c r="V163" s="96">
        <f t="shared" si="112"/>
        <v>-4.9999999999999989E-2</v>
      </c>
    </row>
    <row r="164" spans="1:22">
      <c r="A164" s="73"/>
      <c r="B164" s="113"/>
      <c r="C164" s="75" t="s">
        <v>57</v>
      </c>
      <c r="D164" s="76">
        <f>SUM(D158:D163)</f>
        <v>370267322852.34546</v>
      </c>
      <c r="E164" s="77">
        <f>(D164/$D$229)</f>
        <v>5.2115669617855097E-2</v>
      </c>
      <c r="F164" s="78"/>
      <c r="G164" s="114"/>
      <c r="H164" s="80">
        <f>SUM(H158:H163)</f>
        <v>220734</v>
      </c>
      <c r="I164" s="117"/>
      <c r="J164" s="117"/>
      <c r="K164" s="76">
        <f>SUM(K158:K163)</f>
        <v>371321637298.57227</v>
      </c>
      <c r="L164" s="77">
        <f>(K164/$K$229)</f>
        <v>5.1850401296124317E-2</v>
      </c>
      <c r="M164" s="78"/>
      <c r="N164" s="114"/>
      <c r="O164" s="80">
        <f>SUM(O158:O163)</f>
        <v>220734</v>
      </c>
      <c r="P164" s="117"/>
      <c r="Q164" s="117"/>
      <c r="R164" s="95">
        <f t="shared" si="110"/>
        <v>2.8474412435451246E-3</v>
      </c>
      <c r="S164" s="95" t="e">
        <f t="shared" si="111"/>
        <v>#DIV/0!</v>
      </c>
      <c r="T164" s="95">
        <f t="shared" si="111"/>
        <v>0</v>
      </c>
      <c r="U164" s="95">
        <f t="shared" si="112"/>
        <v>0</v>
      </c>
      <c r="V164" s="96">
        <f t="shared" si="112"/>
        <v>0</v>
      </c>
    </row>
    <row r="165" spans="1:22" ht="5.25" customHeight="1">
      <c r="A165" s="73"/>
      <c r="B165" s="187"/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  <c r="U165" s="187"/>
      <c r="V165" s="187"/>
    </row>
    <row r="166" spans="1:22" ht="15" customHeight="1">
      <c r="A166" s="189" t="s">
        <v>222</v>
      </c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</row>
    <row r="167" spans="1:22">
      <c r="A167" s="179">
        <v>144</v>
      </c>
      <c r="B167" s="175" t="s">
        <v>223</v>
      </c>
      <c r="C167" s="176" t="s">
        <v>61</v>
      </c>
      <c r="D167" s="64">
        <v>564157826.89999998</v>
      </c>
      <c r="E167" s="65">
        <f t="shared" ref="E167:E194" si="119">(D167/$D$195)</f>
        <v>6.9670353556252973E-3</v>
      </c>
      <c r="F167" s="64">
        <v>7.32</v>
      </c>
      <c r="G167" s="64">
        <v>7.43</v>
      </c>
      <c r="H167" s="68">
        <v>11922</v>
      </c>
      <c r="I167" s="90">
        <v>-5.1739E-2</v>
      </c>
      <c r="J167" s="90">
        <v>0.28035199999999999</v>
      </c>
      <c r="K167" s="64">
        <v>553947289.34000003</v>
      </c>
      <c r="L167" s="93">
        <f t="shared" ref="L167:L194" si="120">(K167/$K$195)</f>
        <v>6.9315061566685232E-3</v>
      </c>
      <c r="M167" s="64">
        <v>7.48</v>
      </c>
      <c r="N167" s="64">
        <v>7.59</v>
      </c>
      <c r="O167" s="68">
        <v>11925</v>
      </c>
      <c r="P167" s="90">
        <v>2.8722000000000001E-2</v>
      </c>
      <c r="Q167" s="90">
        <v>0.30907499999999999</v>
      </c>
      <c r="R167" s="95">
        <f>((K167-D167)/D167)</f>
        <v>-1.8098725344476724E-2</v>
      </c>
      <c r="S167" s="95">
        <f>((N167-G167)/G167)</f>
        <v>2.1534320323014826E-2</v>
      </c>
      <c r="T167" s="95">
        <f>((O167-H167)/H167)</f>
        <v>2.5163563160543532E-4</v>
      </c>
      <c r="U167" s="95">
        <f>P167-I167</f>
        <v>8.0461000000000005E-2</v>
      </c>
      <c r="V167" s="96">
        <f>Q167-J167</f>
        <v>2.8722999999999999E-2</v>
      </c>
    </row>
    <row r="168" spans="1:22">
      <c r="A168" s="115">
        <v>145</v>
      </c>
      <c r="B168" s="62" t="s">
        <v>224</v>
      </c>
      <c r="C168" s="62" t="s">
        <v>225</v>
      </c>
      <c r="D168" s="64">
        <v>1095075587.92519</v>
      </c>
      <c r="E168" s="65">
        <f t="shared" si="119"/>
        <v>1.3523574387117942E-2</v>
      </c>
      <c r="F168" s="64">
        <v>2202.38381989458</v>
      </c>
      <c r="G168" s="64">
        <v>2227.3109852038901</v>
      </c>
      <c r="H168" s="68">
        <v>161</v>
      </c>
      <c r="I168" s="90">
        <v>-1.6500000000000001E-2</v>
      </c>
      <c r="J168" s="90">
        <v>0.46239999999999998</v>
      </c>
      <c r="K168" s="64">
        <v>1082550732.59832</v>
      </c>
      <c r="L168" s="93">
        <f t="shared" si="120"/>
        <v>1.3545886426940658E-2</v>
      </c>
      <c r="M168" s="64">
        <v>2192.1452926540501</v>
      </c>
      <c r="N168" s="64">
        <v>2192.8865928510399</v>
      </c>
      <c r="O168" s="68">
        <v>161</v>
      </c>
      <c r="P168" s="90">
        <v>-4.5999999999999999E-3</v>
      </c>
      <c r="Q168" s="90">
        <v>0.44569999999999999</v>
      </c>
      <c r="R168" s="95">
        <f>((K168-D168)/D168)</f>
        <v>-1.1437434515913617E-2</v>
      </c>
      <c r="S168" s="95">
        <f>((N168-G168)/G168)</f>
        <v>-1.5455584146772817E-2</v>
      </c>
      <c r="T168" s="95">
        <f>((O168-H168)/H168)</f>
        <v>0</v>
      </c>
      <c r="U168" s="95">
        <f>P168-I168</f>
        <v>1.1900000000000001E-2</v>
      </c>
      <c r="V168" s="96">
        <f>Q168-J168</f>
        <v>-1.6699999999999993E-2</v>
      </c>
    </row>
    <row r="169" spans="1:22">
      <c r="A169" s="115">
        <v>146</v>
      </c>
      <c r="B169" s="62" t="s">
        <v>226</v>
      </c>
      <c r="C169" s="63" t="s">
        <v>25</v>
      </c>
      <c r="D169" s="64">
        <v>9681033268.7800007</v>
      </c>
      <c r="E169" s="65">
        <f t="shared" si="119"/>
        <v>0.11955537590109611</v>
      </c>
      <c r="F169" s="64">
        <v>1046.7366</v>
      </c>
      <c r="G169" s="64">
        <v>1078.2964999999999</v>
      </c>
      <c r="H169" s="68">
        <v>22097</v>
      </c>
      <c r="I169" s="90">
        <v>0.1132</v>
      </c>
      <c r="J169" s="90">
        <v>0.38040000000000002</v>
      </c>
      <c r="K169" s="64">
        <v>9596935051.9899998</v>
      </c>
      <c r="L169" s="93">
        <f t="shared" si="120"/>
        <v>0.1200858198571082</v>
      </c>
      <c r="M169" s="64">
        <v>1034.7328</v>
      </c>
      <c r="N169" s="64">
        <v>1065.9308000000001</v>
      </c>
      <c r="O169" s="68">
        <v>22145</v>
      </c>
      <c r="P169" s="90">
        <v>-0.59799999999999998</v>
      </c>
      <c r="Q169" s="90">
        <v>0.35410000000000003</v>
      </c>
      <c r="R169" s="95">
        <f t="shared" ref="R169:R194" si="121">((K169-D169)/D169)</f>
        <v>-8.6869050498159205E-3</v>
      </c>
      <c r="S169" s="95">
        <f t="shared" ref="S169:T194" si="122">((N169-G169)/G169)</f>
        <v>-1.1467810569727189E-2</v>
      </c>
      <c r="T169" s="95">
        <f t="shared" si="122"/>
        <v>2.1722405756437525E-3</v>
      </c>
      <c r="U169" s="95">
        <f t="shared" ref="U169:V194" si="123">P169-I169</f>
        <v>-0.71119999999999994</v>
      </c>
      <c r="V169" s="96">
        <f t="shared" si="123"/>
        <v>-2.629999999999999E-2</v>
      </c>
    </row>
    <row r="170" spans="1:22">
      <c r="A170" s="115">
        <v>147</v>
      </c>
      <c r="B170" s="62" t="s">
        <v>227</v>
      </c>
      <c r="C170" s="63" t="s">
        <v>129</v>
      </c>
      <c r="D170" s="64">
        <v>5843346559.9799995</v>
      </c>
      <c r="E170" s="65">
        <f t="shared" si="119"/>
        <v>7.2162079718462044E-2</v>
      </c>
      <c r="F170" s="64">
        <v>34.265500000000003</v>
      </c>
      <c r="G170" s="64">
        <v>34.6815</v>
      </c>
      <c r="H170" s="66">
        <v>6165</v>
      </c>
      <c r="I170" s="89">
        <v>0</v>
      </c>
      <c r="J170" s="89">
        <v>0.61129999999999995</v>
      </c>
      <c r="K170" s="64">
        <v>5691291044.5500002</v>
      </c>
      <c r="L170" s="93">
        <f t="shared" si="120"/>
        <v>7.12147521503219E-2</v>
      </c>
      <c r="M170" s="64">
        <v>33.556399999999996</v>
      </c>
      <c r="N170" s="64">
        <v>33.956299999999999</v>
      </c>
      <c r="O170" s="66">
        <v>6174</v>
      </c>
      <c r="P170" s="89">
        <v>-1.49E-2</v>
      </c>
      <c r="Q170" s="89">
        <v>0.57779999999999998</v>
      </c>
      <c r="R170" s="95">
        <f t="shared" si="121"/>
        <v>-2.6021991656527695E-2</v>
      </c>
      <c r="S170" s="95">
        <f t="shared" si="122"/>
        <v>-2.0910283580583337E-2</v>
      </c>
      <c r="T170" s="95">
        <f t="shared" si="122"/>
        <v>1.4598540145985401E-3</v>
      </c>
      <c r="U170" s="95">
        <f t="shared" si="123"/>
        <v>-1.49E-2</v>
      </c>
      <c r="V170" s="96">
        <f t="shared" si="123"/>
        <v>-3.3499999999999974E-2</v>
      </c>
    </row>
    <row r="171" spans="1:22">
      <c r="A171" s="179">
        <v>148</v>
      </c>
      <c r="B171" s="175" t="s">
        <v>228</v>
      </c>
      <c r="C171" s="176" t="s">
        <v>137</v>
      </c>
      <c r="D171" s="70">
        <v>2469577940.8200002</v>
      </c>
      <c r="E171" s="65">
        <f t="shared" si="119"/>
        <v>3.0497913893544282E-2</v>
      </c>
      <c r="F171" s="64">
        <v>5.9002999999999997</v>
      </c>
      <c r="G171" s="64">
        <v>6.0362</v>
      </c>
      <c r="H171" s="66">
        <v>2737</v>
      </c>
      <c r="I171" s="89">
        <v>0.34749999999999998</v>
      </c>
      <c r="J171" s="89">
        <v>0.4173</v>
      </c>
      <c r="K171" s="70">
        <v>2450462217</v>
      </c>
      <c r="L171" s="93">
        <f t="shared" si="120"/>
        <v>3.0662473254551584E-2</v>
      </c>
      <c r="M171" s="64">
        <v>5.8391999999999999</v>
      </c>
      <c r="N171" s="64">
        <v>5.9692999999999996</v>
      </c>
      <c r="O171" s="66">
        <v>2737</v>
      </c>
      <c r="P171" s="89">
        <v>0.57789999999999997</v>
      </c>
      <c r="Q171" s="89">
        <v>0.3911</v>
      </c>
      <c r="R171" s="95">
        <f t="shared" si="121"/>
        <v>-7.7404820896857275E-3</v>
      </c>
      <c r="S171" s="95">
        <f t="shared" si="122"/>
        <v>-1.1083131771644479E-2</v>
      </c>
      <c r="T171" s="95">
        <f t="shared" si="122"/>
        <v>0</v>
      </c>
      <c r="U171" s="95">
        <f t="shared" si="123"/>
        <v>0.23039999999999999</v>
      </c>
      <c r="V171" s="96">
        <f t="shared" si="123"/>
        <v>-2.6200000000000001E-2</v>
      </c>
    </row>
    <row r="172" spans="1:22">
      <c r="A172" s="115">
        <v>149</v>
      </c>
      <c r="B172" s="62" t="s">
        <v>229</v>
      </c>
      <c r="C172" s="63" t="s">
        <v>29</v>
      </c>
      <c r="D172" s="70">
        <v>926908799.15999997</v>
      </c>
      <c r="E172" s="65">
        <f t="shared" si="119"/>
        <v>1.1446808086795521E-2</v>
      </c>
      <c r="F172" s="64">
        <v>1.1617</v>
      </c>
      <c r="G172" s="64">
        <v>1.1693</v>
      </c>
      <c r="H172" s="66">
        <v>209</v>
      </c>
      <c r="I172" s="89">
        <v>-5.4000000000000003E-3</v>
      </c>
      <c r="J172" s="89">
        <v>0.16550000000000001</v>
      </c>
      <c r="K172" s="70">
        <v>931134618.50999999</v>
      </c>
      <c r="L172" s="93">
        <f t="shared" si="120"/>
        <v>1.1651226506729676E-2</v>
      </c>
      <c r="M172" s="64">
        <v>1.1348</v>
      </c>
      <c r="N172" s="64">
        <v>1.1416999999999999</v>
      </c>
      <c r="O172" s="66">
        <v>214</v>
      </c>
      <c r="P172" s="89">
        <v>-2.3300000000000001E-2</v>
      </c>
      <c r="Q172" s="89">
        <v>0.13819999999999999</v>
      </c>
      <c r="R172" s="95">
        <f t="shared" ref="R172" si="124">((K172-D172)/D172)</f>
        <v>4.5590454571470488E-3</v>
      </c>
      <c r="S172" s="95">
        <f t="shared" ref="S172" si="125">((N172-G172)/G172)</f>
        <v>-2.3603865560591866E-2</v>
      </c>
      <c r="T172" s="95">
        <f t="shared" ref="T172" si="126">((O172-H172)/H172)</f>
        <v>2.3923444976076555E-2</v>
      </c>
      <c r="U172" s="95">
        <f t="shared" ref="U172" si="127">P172-I172</f>
        <v>-1.7899999999999999E-2</v>
      </c>
      <c r="V172" s="96">
        <f t="shared" ref="V172" si="128">Q172-J172</f>
        <v>-2.7300000000000019E-2</v>
      </c>
    </row>
    <row r="173" spans="1:22">
      <c r="A173" s="115">
        <v>150</v>
      </c>
      <c r="B173" s="62" t="s">
        <v>230</v>
      </c>
      <c r="C173" s="63" t="s">
        <v>72</v>
      </c>
      <c r="D173" s="64">
        <v>6356879170.8104296</v>
      </c>
      <c r="E173" s="65">
        <f t="shared" si="119"/>
        <v>7.8503921815348099E-2</v>
      </c>
      <c r="F173" s="64">
        <v>11514.887669096001</v>
      </c>
      <c r="G173" s="64">
        <v>11603.718589857001</v>
      </c>
      <c r="H173" s="66">
        <v>1312</v>
      </c>
      <c r="I173" s="89">
        <v>-0.17929999999999999</v>
      </c>
      <c r="J173" s="89">
        <v>0.60860000000000003</v>
      </c>
      <c r="K173" s="64">
        <v>6279605926.5415201</v>
      </c>
      <c r="L173" s="93">
        <f t="shared" si="120"/>
        <v>7.8576297743301618E-2</v>
      </c>
      <c r="M173" s="64">
        <v>11347.4713988273</v>
      </c>
      <c r="N173" s="64">
        <v>11431.566016890099</v>
      </c>
      <c r="O173" s="66">
        <v>1331</v>
      </c>
      <c r="P173" s="89">
        <v>-0.7581</v>
      </c>
      <c r="Q173" s="89">
        <v>0.56920000000000004</v>
      </c>
      <c r="R173" s="95">
        <f t="shared" si="121"/>
        <v>-1.2155846004393693E-2</v>
      </c>
      <c r="S173" s="95">
        <f t="shared" si="122"/>
        <v>-1.4835983106086564E-2</v>
      </c>
      <c r="T173" s="95">
        <f t="shared" si="122"/>
        <v>1.4481707317073171E-2</v>
      </c>
      <c r="U173" s="95">
        <f t="shared" si="123"/>
        <v>-0.57879999999999998</v>
      </c>
      <c r="V173" s="96">
        <f t="shared" si="123"/>
        <v>-3.9399999999999991E-2</v>
      </c>
    </row>
    <row r="174" spans="1:22">
      <c r="A174" s="115">
        <v>151</v>
      </c>
      <c r="B174" s="62" t="s">
        <v>231</v>
      </c>
      <c r="C174" s="63" t="s">
        <v>74</v>
      </c>
      <c r="D174" s="64">
        <v>1259344385.71</v>
      </c>
      <c r="E174" s="65">
        <f t="shared" si="119"/>
        <v>1.5552202667047306E-2</v>
      </c>
      <c r="F174" s="64">
        <v>230.07</v>
      </c>
      <c r="G174" s="64">
        <v>231.77</v>
      </c>
      <c r="H174" s="66">
        <v>508</v>
      </c>
      <c r="I174" s="89">
        <v>-1.09E-2</v>
      </c>
      <c r="J174" s="89">
        <v>0.2485</v>
      </c>
      <c r="K174" s="64">
        <v>1237815497.72</v>
      </c>
      <c r="L174" s="93">
        <f t="shared" si="120"/>
        <v>1.5488704265505906E-2</v>
      </c>
      <c r="M174" s="64">
        <v>225.45</v>
      </c>
      <c r="N174" s="64">
        <v>227.13</v>
      </c>
      <c r="O174" s="66">
        <v>508</v>
      </c>
      <c r="P174" s="89">
        <v>-2.01E-2</v>
      </c>
      <c r="Q174" s="89">
        <v>0.22600000000000001</v>
      </c>
      <c r="R174" s="95">
        <f t="shared" si="121"/>
        <v>-1.7095314224045501E-2</v>
      </c>
      <c r="S174" s="95">
        <f t="shared" si="122"/>
        <v>-2.0019847262372242E-2</v>
      </c>
      <c r="T174" s="95">
        <f t="shared" si="122"/>
        <v>0</v>
      </c>
      <c r="U174" s="95">
        <f t="shared" si="123"/>
        <v>-9.1999999999999998E-3</v>
      </c>
      <c r="V174" s="96">
        <f t="shared" si="123"/>
        <v>-2.2499999999999992E-2</v>
      </c>
    </row>
    <row r="175" spans="1:22">
      <c r="A175" s="115">
        <v>152</v>
      </c>
      <c r="B175" s="62" t="s">
        <v>232</v>
      </c>
      <c r="C175" s="63" t="s">
        <v>233</v>
      </c>
      <c r="D175" s="64">
        <v>1061840043.27</v>
      </c>
      <c r="E175" s="65">
        <f t="shared" si="119"/>
        <v>1.3113133897532717E-2</v>
      </c>
      <c r="F175" s="64">
        <v>2.1156999999999999</v>
      </c>
      <c r="G175" s="64">
        <v>2.1515</v>
      </c>
      <c r="H175" s="66">
        <v>2804</v>
      </c>
      <c r="I175" s="89">
        <v>2.64E-2</v>
      </c>
      <c r="J175" s="89">
        <v>0.44519999999999998</v>
      </c>
      <c r="K175" s="64">
        <v>1068247743.91</v>
      </c>
      <c r="L175" s="93">
        <f t="shared" si="120"/>
        <v>1.3366914066104716E-2</v>
      </c>
      <c r="M175" s="64">
        <v>2.0608</v>
      </c>
      <c r="N175" s="64">
        <v>2.0939000000000001</v>
      </c>
      <c r="O175" s="66">
        <v>3018</v>
      </c>
      <c r="P175" s="89">
        <v>-2.5899999999999999E-2</v>
      </c>
      <c r="Q175" s="89">
        <v>0.40770000000000001</v>
      </c>
      <c r="R175" s="95">
        <f t="shared" si="121"/>
        <v>6.0345253323345087E-3</v>
      </c>
      <c r="S175" s="95">
        <f t="shared" si="122"/>
        <v>-2.6772019521264175E-2</v>
      </c>
      <c r="T175" s="95">
        <f t="shared" si="122"/>
        <v>7.6319543509272461E-2</v>
      </c>
      <c r="U175" s="95">
        <f t="shared" si="123"/>
        <v>-5.2299999999999999E-2</v>
      </c>
      <c r="V175" s="96">
        <f t="shared" si="123"/>
        <v>-3.7499999999999978E-2</v>
      </c>
    </row>
    <row r="176" spans="1:22">
      <c r="A176" s="179">
        <v>153</v>
      </c>
      <c r="B176" s="175" t="s">
        <v>234</v>
      </c>
      <c r="C176" s="176" t="s">
        <v>31</v>
      </c>
      <c r="D176" s="83">
        <v>172945658.50999999</v>
      </c>
      <c r="E176" s="65">
        <f t="shared" si="119"/>
        <v>2.1357826834770607E-3</v>
      </c>
      <c r="F176" s="64">
        <v>207.40610000000001</v>
      </c>
      <c r="G176" s="64">
        <v>208.90309999999999</v>
      </c>
      <c r="H176" s="66">
        <v>154</v>
      </c>
      <c r="I176" s="89">
        <v>2.0100000000000001E-3</v>
      </c>
      <c r="J176" s="89">
        <v>0.29770000000000002</v>
      </c>
      <c r="K176" s="83">
        <v>174115029.81</v>
      </c>
      <c r="L176" s="93">
        <f t="shared" si="120"/>
        <v>2.1786899662140668E-3</v>
      </c>
      <c r="M176" s="64">
        <v>205.8415</v>
      </c>
      <c r="N176" s="64">
        <v>207.2989</v>
      </c>
      <c r="O176" s="66">
        <v>155</v>
      </c>
      <c r="P176" s="89">
        <v>-1.547E-3</v>
      </c>
      <c r="Q176" s="89">
        <v>0.2878</v>
      </c>
      <c r="R176" s="95">
        <f t="shared" si="121"/>
        <v>6.7614955476456616E-3</v>
      </c>
      <c r="S176" s="95">
        <f t="shared" si="122"/>
        <v>-7.6791584232114877E-3</v>
      </c>
      <c r="T176" s="95">
        <f t="shared" si="122"/>
        <v>6.4935064935064939E-3</v>
      </c>
      <c r="U176" s="95">
        <f t="shared" si="123"/>
        <v>-3.5570000000000003E-3</v>
      </c>
      <c r="V176" s="96">
        <f t="shared" si="123"/>
        <v>-9.9000000000000199E-3</v>
      </c>
    </row>
    <row r="177" spans="1:22">
      <c r="A177" s="115">
        <v>154</v>
      </c>
      <c r="B177" s="62" t="s">
        <v>235</v>
      </c>
      <c r="C177" s="63" t="s">
        <v>80</v>
      </c>
      <c r="D177" s="83">
        <v>360830523.06</v>
      </c>
      <c r="E177" s="65">
        <f t="shared" si="119"/>
        <v>4.4560562517789813E-3</v>
      </c>
      <c r="F177" s="64">
        <v>164.98</v>
      </c>
      <c r="G177" s="64">
        <v>165.64</v>
      </c>
      <c r="H177" s="66">
        <v>52</v>
      </c>
      <c r="I177" s="89">
        <v>6.0000000000000001E-3</v>
      </c>
      <c r="J177" s="89">
        <v>0.43719999999999998</v>
      </c>
      <c r="K177" s="83">
        <v>357345932.12</v>
      </c>
      <c r="L177" s="93">
        <f t="shared" si="120"/>
        <v>4.4714462480742283E-3</v>
      </c>
      <c r="M177" s="64">
        <v>163.56</v>
      </c>
      <c r="N177" s="64">
        <v>164.32</v>
      </c>
      <c r="O177" s="66">
        <v>52</v>
      </c>
      <c r="P177" s="89">
        <v>-1.15E-2</v>
      </c>
      <c r="Q177" s="89">
        <v>0.42570000000000002</v>
      </c>
      <c r="R177" s="95">
        <f t="shared" si="121"/>
        <v>-9.6571401733122481E-3</v>
      </c>
      <c r="S177" s="95">
        <f t="shared" si="122"/>
        <v>-7.9690895918859781E-3</v>
      </c>
      <c r="T177" s="95">
        <f t="shared" si="122"/>
        <v>0</v>
      </c>
      <c r="U177" s="95">
        <f t="shared" si="123"/>
        <v>-1.7500000000000002E-2</v>
      </c>
      <c r="V177" s="96">
        <f t="shared" si="123"/>
        <v>-1.1499999999999955E-2</v>
      </c>
    </row>
    <row r="178" spans="1:22" ht="15.75" customHeight="1">
      <c r="A178" s="115">
        <v>155</v>
      </c>
      <c r="B178" s="62" t="s">
        <v>236</v>
      </c>
      <c r="C178" s="63" t="s">
        <v>83</v>
      </c>
      <c r="D178" s="70">
        <v>526220809.07999998</v>
      </c>
      <c r="E178" s="65">
        <f t="shared" si="119"/>
        <v>6.4985342875974366E-3</v>
      </c>
      <c r="F178" s="64">
        <v>1.83</v>
      </c>
      <c r="G178" s="64">
        <v>1.8517999999999999</v>
      </c>
      <c r="H178" s="66">
        <v>118</v>
      </c>
      <c r="I178" s="89">
        <v>0.43509999999999999</v>
      </c>
      <c r="J178" s="89">
        <v>0.52990000000000004</v>
      </c>
      <c r="K178" s="70">
        <v>506534919.92000002</v>
      </c>
      <c r="L178" s="93">
        <f t="shared" si="120"/>
        <v>6.338238282881237E-3</v>
      </c>
      <c r="M178" s="64">
        <v>1.76</v>
      </c>
      <c r="N178" s="64">
        <v>1.7844</v>
      </c>
      <c r="O178" s="66">
        <v>115</v>
      </c>
      <c r="P178" s="89">
        <v>0.43509999999999999</v>
      </c>
      <c r="Q178" s="89">
        <v>0.45479999999999998</v>
      </c>
      <c r="R178" s="95">
        <f t="shared" si="121"/>
        <v>-3.740994050466593E-2</v>
      </c>
      <c r="S178" s="95">
        <f t="shared" si="122"/>
        <v>-3.6397019116535215E-2</v>
      </c>
      <c r="T178" s="95">
        <f t="shared" si="122"/>
        <v>-2.5423728813559324E-2</v>
      </c>
      <c r="U178" s="95">
        <f t="shared" si="123"/>
        <v>0</v>
      </c>
      <c r="V178" s="96">
        <f t="shared" si="123"/>
        <v>-7.5100000000000056E-2</v>
      </c>
    </row>
    <row r="179" spans="1:22">
      <c r="A179" s="115">
        <v>156</v>
      </c>
      <c r="B179" s="62" t="s">
        <v>237</v>
      </c>
      <c r="C179" s="63" t="s">
        <v>33</v>
      </c>
      <c r="D179" s="64">
        <v>14274218612.309999</v>
      </c>
      <c r="E179" s="65">
        <f t="shared" si="119"/>
        <v>0.17627865998483488</v>
      </c>
      <c r="F179" s="64">
        <v>472.04</v>
      </c>
      <c r="G179" s="64">
        <v>476.8</v>
      </c>
      <c r="H179" s="66">
        <v>5530</v>
      </c>
      <c r="I179" s="89">
        <v>-4.7999999999999996E-3</v>
      </c>
      <c r="J179" s="89">
        <v>0.45639999999999997</v>
      </c>
      <c r="K179" s="64">
        <v>13988544845.309999</v>
      </c>
      <c r="L179" s="93">
        <f t="shared" si="120"/>
        <v>0.17503774561948829</v>
      </c>
      <c r="M179" s="64">
        <v>462.97</v>
      </c>
      <c r="N179" s="64">
        <v>467.56</v>
      </c>
      <c r="O179" s="66">
        <v>5530</v>
      </c>
      <c r="P179" s="89">
        <v>-1.9300000000000001E-2</v>
      </c>
      <c r="Q179" s="89">
        <v>0.4284</v>
      </c>
      <c r="R179" s="95">
        <f t="shared" si="121"/>
        <v>-2.0013268309736876E-2</v>
      </c>
      <c r="S179" s="95">
        <f t="shared" si="122"/>
        <v>-1.9379194630872502E-2</v>
      </c>
      <c r="T179" s="95">
        <f t="shared" si="122"/>
        <v>0</v>
      </c>
      <c r="U179" s="95">
        <f t="shared" si="123"/>
        <v>-1.4500000000000002E-2</v>
      </c>
      <c r="V179" s="96">
        <f t="shared" si="123"/>
        <v>-2.7999999999999969E-2</v>
      </c>
    </row>
    <row r="180" spans="1:22">
      <c r="A180" s="115">
        <v>157</v>
      </c>
      <c r="B180" s="62" t="s">
        <v>238</v>
      </c>
      <c r="C180" s="63" t="s">
        <v>93</v>
      </c>
      <c r="D180" s="64">
        <v>4387942776.0200005</v>
      </c>
      <c r="E180" s="65">
        <f t="shared" si="119"/>
        <v>5.4188652538912349E-2</v>
      </c>
      <c r="F180" s="64">
        <v>3.0484</v>
      </c>
      <c r="G180" s="64">
        <v>3.1093999999999999</v>
      </c>
      <c r="H180" s="66">
        <v>10206</v>
      </c>
      <c r="I180" s="89">
        <v>-8.9999999999999993E-3</v>
      </c>
      <c r="J180" s="89">
        <v>0.3165</v>
      </c>
      <c r="K180" s="64">
        <v>4321111978.9399996</v>
      </c>
      <c r="L180" s="93">
        <f t="shared" si="120"/>
        <v>5.4069791227542199E-2</v>
      </c>
      <c r="M180" s="64">
        <v>2.9984999999999999</v>
      </c>
      <c r="N180" s="64">
        <v>3.0573000000000001</v>
      </c>
      <c r="O180" s="66">
        <v>10207</v>
      </c>
      <c r="P180" s="89">
        <v>-1.66E-2</v>
      </c>
      <c r="Q180" s="89">
        <v>0.29470000000000002</v>
      </c>
      <c r="R180" s="95">
        <f t="shared" si="121"/>
        <v>-1.5230553471487719E-2</v>
      </c>
      <c r="S180" s="95">
        <f t="shared" si="122"/>
        <v>-1.675564417572516E-2</v>
      </c>
      <c r="T180" s="95">
        <f t="shared" si="122"/>
        <v>9.7981579463060945E-5</v>
      </c>
      <c r="U180" s="95">
        <f t="shared" si="123"/>
        <v>-7.6000000000000009E-3</v>
      </c>
      <c r="V180" s="96">
        <f t="shared" si="123"/>
        <v>-2.1799999999999986E-2</v>
      </c>
    </row>
    <row r="181" spans="1:22">
      <c r="A181" s="179">
        <v>158</v>
      </c>
      <c r="B181" s="175" t="s">
        <v>239</v>
      </c>
      <c r="C181" s="176" t="s">
        <v>95</v>
      </c>
      <c r="D181" s="64">
        <v>290737308.45999998</v>
      </c>
      <c r="E181" s="65">
        <f t="shared" si="119"/>
        <v>3.5904440400491015E-3</v>
      </c>
      <c r="F181" s="64">
        <v>331.41809999999998</v>
      </c>
      <c r="G181" s="64">
        <v>333.59690000000001</v>
      </c>
      <c r="H181" s="66">
        <v>62</v>
      </c>
      <c r="I181" s="89">
        <v>-2.1000000000000001E-2</v>
      </c>
      <c r="J181" s="89">
        <v>0.15359999999999999</v>
      </c>
      <c r="K181" s="64">
        <v>290284610.56999999</v>
      </c>
      <c r="L181" s="93">
        <f t="shared" si="120"/>
        <v>3.6323123229818595E-3</v>
      </c>
      <c r="M181" s="64">
        <v>330.9</v>
      </c>
      <c r="N181" s="64">
        <v>333.07</v>
      </c>
      <c r="O181" s="66">
        <v>32</v>
      </c>
      <c r="P181" s="89">
        <v>-2E-3</v>
      </c>
      <c r="Q181" s="89">
        <v>0.15210000000000001</v>
      </c>
      <c r="R181" s="95">
        <f t="shared" si="121"/>
        <v>-1.5570684491710786E-3</v>
      </c>
      <c r="S181" s="95">
        <f t="shared" si="122"/>
        <v>-1.5794511279931314E-3</v>
      </c>
      <c r="T181" s="95">
        <f t="shared" si="122"/>
        <v>-0.4838709677419355</v>
      </c>
      <c r="U181" s="95">
        <f t="shared" si="123"/>
        <v>1.9000000000000003E-2</v>
      </c>
      <c r="V181" s="96">
        <f t="shared" si="123"/>
        <v>-1.4999999999999736E-3</v>
      </c>
    </row>
    <row r="182" spans="1:22">
      <c r="A182" s="179">
        <v>159</v>
      </c>
      <c r="B182" s="175" t="s">
        <v>240</v>
      </c>
      <c r="C182" s="175" t="s">
        <v>97</v>
      </c>
      <c r="D182" s="86">
        <v>71349040.260417894</v>
      </c>
      <c r="E182" s="65">
        <f t="shared" si="119"/>
        <v>8.8112096009682116E-4</v>
      </c>
      <c r="F182" s="64">
        <v>1.3789425166962299</v>
      </c>
      <c r="G182" s="64">
        <v>1.4049235061616201</v>
      </c>
      <c r="H182" s="66">
        <v>30</v>
      </c>
      <c r="I182" s="89">
        <v>0</v>
      </c>
      <c r="J182" s="89">
        <v>0.16769999999999999</v>
      </c>
      <c r="K182" s="86">
        <v>70230003.205612004</v>
      </c>
      <c r="L182" s="93">
        <f t="shared" si="120"/>
        <v>8.7878343115018538E-4</v>
      </c>
      <c r="M182" s="64">
        <v>1.3580000000000001</v>
      </c>
      <c r="N182" s="64">
        <v>1.383</v>
      </c>
      <c r="O182" s="66">
        <v>30</v>
      </c>
      <c r="P182" s="89">
        <v>-1.5699999999999999E-2</v>
      </c>
      <c r="Q182" s="89">
        <v>0.14940000000000001</v>
      </c>
      <c r="R182" s="95">
        <f t="shared" si="121"/>
        <v>-1.5683981882888685E-2</v>
      </c>
      <c r="S182" s="95">
        <f t="shared" si="122"/>
        <v>-1.5604768562465808E-2</v>
      </c>
      <c r="T182" s="95">
        <f t="shared" si="122"/>
        <v>0</v>
      </c>
      <c r="U182" s="95">
        <f t="shared" si="123"/>
        <v>-1.5699999999999999E-2</v>
      </c>
      <c r="V182" s="96">
        <f t="shared" si="123"/>
        <v>-1.8299999999999983E-2</v>
      </c>
    </row>
    <row r="183" spans="1:22" ht="13.5" customHeight="1">
      <c r="A183" s="115">
        <v>160</v>
      </c>
      <c r="B183" s="62" t="s">
        <v>241</v>
      </c>
      <c r="C183" s="63" t="s">
        <v>39</v>
      </c>
      <c r="D183" s="70">
        <v>5035107027.5</v>
      </c>
      <c r="E183" s="65">
        <f t="shared" si="119"/>
        <v>6.2180771066689414E-2</v>
      </c>
      <c r="F183" s="64">
        <v>6.074268</v>
      </c>
      <c r="G183" s="64">
        <v>6.2090259999999997</v>
      </c>
      <c r="H183" s="66">
        <v>3244</v>
      </c>
      <c r="I183" s="89">
        <v>-4.7000000000000002E-3</v>
      </c>
      <c r="J183" s="89">
        <v>0.43290000000000001</v>
      </c>
      <c r="K183" s="70">
        <v>4970503403.2799997</v>
      </c>
      <c r="L183" s="93">
        <f t="shared" si="120"/>
        <v>6.2195583595374658E-2</v>
      </c>
      <c r="M183" s="64">
        <v>5.9616179999999996</v>
      </c>
      <c r="N183" s="64">
        <v>6.0986079999999996</v>
      </c>
      <c r="O183" s="66">
        <v>3313</v>
      </c>
      <c r="P183" s="89">
        <v>-1.8499999999999999E-2</v>
      </c>
      <c r="Q183" s="89">
        <v>0.40629999999999999</v>
      </c>
      <c r="R183" s="95">
        <f t="shared" si="121"/>
        <v>-1.2830635747593404E-2</v>
      </c>
      <c r="S183" s="95">
        <f t="shared" si="122"/>
        <v>-1.7783465554822953E-2</v>
      </c>
      <c r="T183" s="95">
        <f t="shared" si="122"/>
        <v>2.1270036991368681E-2</v>
      </c>
      <c r="U183" s="95">
        <f t="shared" si="123"/>
        <v>-1.38E-2</v>
      </c>
      <c r="V183" s="96">
        <f t="shared" si="123"/>
        <v>-2.6600000000000013E-2</v>
      </c>
    </row>
    <row r="184" spans="1:22" ht="13.5" customHeight="1">
      <c r="A184" s="115">
        <v>161</v>
      </c>
      <c r="B184" s="62" t="s">
        <v>242</v>
      </c>
      <c r="C184" s="63" t="s">
        <v>243</v>
      </c>
      <c r="D184" s="70">
        <v>107761553.37</v>
      </c>
      <c r="E184" s="65">
        <f t="shared" si="119"/>
        <v>1.330795242940008E-3</v>
      </c>
      <c r="F184" s="64">
        <v>2.7452999999999999</v>
      </c>
      <c r="G184" s="64">
        <v>2.7591000000000001</v>
      </c>
      <c r="H184" s="66">
        <v>108</v>
      </c>
      <c r="I184" s="89">
        <v>-5.8999999999999999E-3</v>
      </c>
      <c r="J184" s="89">
        <v>0.30520000000000003</v>
      </c>
      <c r="K184" s="70">
        <v>107827184.05</v>
      </c>
      <c r="L184" s="93">
        <f t="shared" si="120"/>
        <v>1.3492344930314574E-3</v>
      </c>
      <c r="M184" s="64">
        <v>2.7471000000000001</v>
      </c>
      <c r="N184" s="64">
        <v>2.7606999999999999</v>
      </c>
      <c r="O184" s="66">
        <v>108</v>
      </c>
      <c r="P184" s="89">
        <v>1E-3</v>
      </c>
      <c r="Q184" s="89">
        <v>0.30599999999999999</v>
      </c>
      <c r="R184" s="95">
        <f t="shared" si="121"/>
        <v>6.0903613531487321E-4</v>
      </c>
      <c r="S184" s="95">
        <f t="shared" si="122"/>
        <v>5.7989924250655058E-4</v>
      </c>
      <c r="T184" s="95">
        <f t="shared" si="122"/>
        <v>0</v>
      </c>
      <c r="U184" s="95">
        <f>P184-I184</f>
        <v>6.8999999999999999E-3</v>
      </c>
      <c r="V184" s="96">
        <f>Q184-J184</f>
        <v>7.999999999999674E-4</v>
      </c>
    </row>
    <row r="185" spans="1:22">
      <c r="A185" s="115">
        <v>162</v>
      </c>
      <c r="B185" s="62" t="s">
        <v>244</v>
      </c>
      <c r="C185" s="63" t="s">
        <v>153</v>
      </c>
      <c r="D185" s="70">
        <v>975887276.36000001</v>
      </c>
      <c r="E185" s="65">
        <f t="shared" si="119"/>
        <v>1.2051665036475975E-2</v>
      </c>
      <c r="F185" s="64">
        <v>360.01</v>
      </c>
      <c r="G185" s="64">
        <v>364.09</v>
      </c>
      <c r="H185" s="66">
        <v>158</v>
      </c>
      <c r="I185" s="89">
        <v>1.37E-2</v>
      </c>
      <c r="J185" s="89">
        <v>0.50470000000000004</v>
      </c>
      <c r="K185" s="70">
        <v>957937845.10000002</v>
      </c>
      <c r="L185" s="93">
        <f t="shared" si="120"/>
        <v>1.1986613525860182E-2</v>
      </c>
      <c r="M185" s="64">
        <v>351.31</v>
      </c>
      <c r="N185" s="64">
        <v>355.19</v>
      </c>
      <c r="O185" s="66">
        <v>158</v>
      </c>
      <c r="P185" s="89">
        <v>1.37E-2</v>
      </c>
      <c r="Q185" s="89">
        <v>0.52390000000000003</v>
      </c>
      <c r="R185" s="95">
        <f t="shared" si="121"/>
        <v>-1.8392935019042645E-2</v>
      </c>
      <c r="S185" s="95">
        <f t="shared" si="122"/>
        <v>-2.4444505479414371E-2</v>
      </c>
      <c r="T185" s="95">
        <f t="shared" si="122"/>
        <v>0</v>
      </c>
      <c r="U185" s="95">
        <f t="shared" si="123"/>
        <v>0</v>
      </c>
      <c r="V185" s="96">
        <f t="shared" si="123"/>
        <v>1.9199999999999995E-2</v>
      </c>
    </row>
    <row r="186" spans="1:22">
      <c r="A186" s="115">
        <v>163</v>
      </c>
      <c r="B186" s="62" t="s">
        <v>245</v>
      </c>
      <c r="C186" s="63" t="s">
        <v>35</v>
      </c>
      <c r="D186" s="70">
        <v>2232021615.25</v>
      </c>
      <c r="E186" s="65">
        <f t="shared" si="119"/>
        <v>2.7564225410849536E-2</v>
      </c>
      <c r="F186" s="64">
        <v>552.22</v>
      </c>
      <c r="G186" s="64">
        <v>552.22</v>
      </c>
      <c r="H186" s="66">
        <v>823</v>
      </c>
      <c r="I186" s="89">
        <v>9.1999999999999998E-3</v>
      </c>
      <c r="J186" s="89">
        <v>3.0300000000000001E-2</v>
      </c>
      <c r="K186" s="70">
        <v>2171324807.71</v>
      </c>
      <c r="L186" s="93">
        <f t="shared" si="120"/>
        <v>2.7169645131219847E-2</v>
      </c>
      <c r="M186" s="64">
        <v>552.22</v>
      </c>
      <c r="N186" s="64">
        <v>552.22</v>
      </c>
      <c r="O186" s="66">
        <v>823</v>
      </c>
      <c r="P186" s="89">
        <v>6.8399999999999997E-3</v>
      </c>
      <c r="Q186" s="89">
        <v>-3.6049999999999999E-2</v>
      </c>
      <c r="R186" s="95">
        <f t="shared" si="121"/>
        <v>-2.71936468380489E-2</v>
      </c>
      <c r="S186" s="95">
        <f t="shared" si="122"/>
        <v>0</v>
      </c>
      <c r="T186" s="95">
        <f t="shared" si="122"/>
        <v>0</v>
      </c>
      <c r="U186" s="95">
        <f t="shared" si="123"/>
        <v>-2.3600000000000001E-3</v>
      </c>
      <c r="V186" s="96">
        <f t="shared" si="123"/>
        <v>-6.6349999999999992E-2</v>
      </c>
    </row>
    <row r="187" spans="1:22">
      <c r="A187" s="115">
        <v>164</v>
      </c>
      <c r="B187" s="62" t="s">
        <v>246</v>
      </c>
      <c r="C187" s="63" t="s">
        <v>107</v>
      </c>
      <c r="D187" s="64">
        <v>48117930.869999997</v>
      </c>
      <c r="E187" s="65">
        <f t="shared" si="119"/>
        <v>5.9422968117439038E-4</v>
      </c>
      <c r="F187" s="64">
        <v>2.62</v>
      </c>
      <c r="G187" s="64">
        <v>2.62</v>
      </c>
      <c r="H187" s="66">
        <v>8</v>
      </c>
      <c r="I187" s="89">
        <v>-1.3374E-2</v>
      </c>
      <c r="J187" s="89">
        <v>0.39773399999999998</v>
      </c>
      <c r="K187" s="64">
        <v>45972538.640000001</v>
      </c>
      <c r="L187" s="93">
        <f t="shared" si="120"/>
        <v>5.7525136552343719E-4</v>
      </c>
      <c r="M187" s="64">
        <v>2.5499999999999998</v>
      </c>
      <c r="N187" s="64">
        <v>2.5499999999999998</v>
      </c>
      <c r="O187" s="66">
        <v>8</v>
      </c>
      <c r="P187" s="89">
        <v>-2.4291E-2</v>
      </c>
      <c r="Q187" s="89">
        <v>0.36378199999999999</v>
      </c>
      <c r="R187" s="95">
        <f t="shared" si="121"/>
        <v>-4.4586128106717506E-2</v>
      </c>
      <c r="S187" s="95">
        <f t="shared" si="122"/>
        <v>-2.6717557251908504E-2</v>
      </c>
      <c r="T187" s="95">
        <f t="shared" si="122"/>
        <v>0</v>
      </c>
      <c r="U187" s="95">
        <f t="shared" si="123"/>
        <v>-1.0917E-2</v>
      </c>
      <c r="V187" s="96">
        <f t="shared" si="123"/>
        <v>-3.3951999999999982E-2</v>
      </c>
    </row>
    <row r="188" spans="1:22">
      <c r="A188" s="115">
        <v>165</v>
      </c>
      <c r="B188" s="62" t="s">
        <v>247</v>
      </c>
      <c r="C188" s="63" t="s">
        <v>47</v>
      </c>
      <c r="D188" s="64">
        <v>413819362.39999998</v>
      </c>
      <c r="E188" s="65">
        <f t="shared" si="119"/>
        <v>5.1104389431685781E-3</v>
      </c>
      <c r="F188" s="64">
        <v>3.51</v>
      </c>
      <c r="G188" s="64">
        <v>3.58</v>
      </c>
      <c r="H188" s="66">
        <v>142</v>
      </c>
      <c r="I188" s="89">
        <v>-6.4000000000000003E-3</v>
      </c>
      <c r="J188" s="89">
        <v>0.3427</v>
      </c>
      <c r="K188" s="64">
        <v>406136527.99000001</v>
      </c>
      <c r="L188" s="93">
        <f t="shared" si="120"/>
        <v>5.0819597791781895E-3</v>
      </c>
      <c r="M188" s="64">
        <v>3.44</v>
      </c>
      <c r="N188" s="64">
        <v>3.51</v>
      </c>
      <c r="O188" s="66">
        <v>143</v>
      </c>
      <c r="P188" s="89">
        <v>8.0000000000000002E-3</v>
      </c>
      <c r="Q188" s="89">
        <v>0.31680000000000003</v>
      </c>
      <c r="R188" s="95">
        <f t="shared" si="121"/>
        <v>-1.8565671662733117E-2</v>
      </c>
      <c r="S188" s="95">
        <f t="shared" si="122"/>
        <v>-1.9553072625698404E-2</v>
      </c>
      <c r="T188" s="95">
        <f t="shared" si="122"/>
        <v>7.0422535211267607E-3</v>
      </c>
      <c r="U188" s="95">
        <f t="shared" si="123"/>
        <v>1.44E-2</v>
      </c>
      <c r="V188" s="96">
        <f t="shared" si="123"/>
        <v>-2.5899999999999979E-2</v>
      </c>
    </row>
    <row r="189" spans="1:22">
      <c r="A189" s="179">
        <v>166</v>
      </c>
      <c r="B189" s="175" t="s">
        <v>248</v>
      </c>
      <c r="C189" s="176" t="s">
        <v>51</v>
      </c>
      <c r="D189" s="70">
        <v>4517833775.3800001</v>
      </c>
      <c r="E189" s="65">
        <f t="shared" si="119"/>
        <v>5.5792734130567775E-2</v>
      </c>
      <c r="F189" s="64">
        <v>9678.2199999999993</v>
      </c>
      <c r="G189" s="64">
        <v>9771.64</v>
      </c>
      <c r="H189" s="66">
        <v>3246</v>
      </c>
      <c r="I189" s="89">
        <v>-1.2200000000000001E-2</v>
      </c>
      <c r="J189" s="89">
        <v>0.5181</v>
      </c>
      <c r="K189" s="70">
        <v>4490759306.7399998</v>
      </c>
      <c r="L189" s="65">
        <f t="shared" si="120"/>
        <v>5.6192577131069413E-2</v>
      </c>
      <c r="M189" s="64">
        <v>9378.42</v>
      </c>
      <c r="N189" s="64">
        <v>9474.1299999999992</v>
      </c>
      <c r="O189" s="66">
        <v>3300</v>
      </c>
      <c r="P189" s="89">
        <v>-3.04E-2</v>
      </c>
      <c r="Q189" s="89">
        <v>0.47189999999999999</v>
      </c>
      <c r="R189" s="95">
        <f t="shared" si="121"/>
        <v>-5.992798758454339E-3</v>
      </c>
      <c r="S189" s="95">
        <f t="shared" si="122"/>
        <v>-3.0446271045597283E-2</v>
      </c>
      <c r="T189" s="95">
        <f t="shared" si="122"/>
        <v>1.6635859519408502E-2</v>
      </c>
      <c r="U189" s="95">
        <f t="shared" si="123"/>
        <v>-1.8200000000000001E-2</v>
      </c>
      <c r="V189" s="96">
        <f t="shared" si="123"/>
        <v>-4.6200000000000019E-2</v>
      </c>
    </row>
    <row r="190" spans="1:22">
      <c r="A190" s="115">
        <v>167</v>
      </c>
      <c r="B190" s="62" t="s">
        <v>249</v>
      </c>
      <c r="C190" s="62" t="s">
        <v>118</v>
      </c>
      <c r="D190" s="70">
        <v>153580750.66999999</v>
      </c>
      <c r="E190" s="65">
        <f t="shared" si="119"/>
        <v>1.8966368431701775E-3</v>
      </c>
      <c r="F190" s="64">
        <v>1406.73</v>
      </c>
      <c r="G190" s="64">
        <v>1427.89</v>
      </c>
      <c r="H190" s="66">
        <v>39</v>
      </c>
      <c r="I190" s="89">
        <v>-1.4E-3</v>
      </c>
      <c r="J190" s="89">
        <v>0.26750000000000002</v>
      </c>
      <c r="K190" s="70">
        <v>155191826.38</v>
      </c>
      <c r="L190" s="65">
        <f t="shared" si="120"/>
        <v>1.9419051608669481E-3</v>
      </c>
      <c r="M190" s="64">
        <v>1399.1</v>
      </c>
      <c r="N190" s="64">
        <v>1419.53</v>
      </c>
      <c r="O190" s="66">
        <v>41</v>
      </c>
      <c r="P190" s="89">
        <v>-1.4E-3</v>
      </c>
      <c r="Q190" s="89">
        <v>0.25829999999999997</v>
      </c>
      <c r="R190" s="95">
        <f t="shared" si="121"/>
        <v>1.0490088783728748E-2</v>
      </c>
      <c r="S190" s="95">
        <f t="shared" si="122"/>
        <v>-5.854792736135225E-3</v>
      </c>
      <c r="T190" s="95">
        <f t="shared" si="122"/>
        <v>5.128205128205128E-2</v>
      </c>
      <c r="U190" s="95">
        <f t="shared" si="123"/>
        <v>0</v>
      </c>
      <c r="V190" s="96">
        <f t="shared" si="123"/>
        <v>-9.2000000000000415E-3</v>
      </c>
    </row>
    <row r="191" spans="1:22">
      <c r="A191" s="179">
        <v>168</v>
      </c>
      <c r="B191" s="175" t="s">
        <v>250</v>
      </c>
      <c r="C191" s="175" t="s">
        <v>97</v>
      </c>
      <c r="D191" s="70">
        <v>771413417.51579797</v>
      </c>
      <c r="E191" s="65">
        <f t="shared" si="119"/>
        <v>9.526526616086382E-3</v>
      </c>
      <c r="F191" s="64">
        <v>1.468</v>
      </c>
      <c r="G191" s="64">
        <v>1.468</v>
      </c>
      <c r="H191" s="66">
        <v>49</v>
      </c>
      <c r="I191" s="89">
        <v>1.2999999999999999E-3</v>
      </c>
      <c r="J191" s="89">
        <v>9.4200000000000006E-2</v>
      </c>
      <c r="K191" s="70">
        <v>773392531.96123397</v>
      </c>
      <c r="L191" s="65">
        <f t="shared" si="120"/>
        <v>9.6774101073729257E-3</v>
      </c>
      <c r="M191" s="64">
        <v>1.4710000000000001</v>
      </c>
      <c r="N191" s="64">
        <v>1.4710000000000001</v>
      </c>
      <c r="O191" s="66">
        <v>49</v>
      </c>
      <c r="P191" s="89">
        <v>2.5999999999999999E-3</v>
      </c>
      <c r="Q191" s="89">
        <v>9.7000000000000003E-2</v>
      </c>
      <c r="R191" s="95">
        <f t="shared" si="121"/>
        <v>2.5655691235049981E-3</v>
      </c>
      <c r="S191" s="95">
        <f t="shared" si="122"/>
        <v>2.0435967302453091E-3</v>
      </c>
      <c r="T191" s="95">
        <f t="shared" si="122"/>
        <v>0</v>
      </c>
      <c r="U191" s="95">
        <f t="shared" si="123"/>
        <v>1.2999999999999999E-3</v>
      </c>
      <c r="V191" s="96">
        <f t="shared" si="123"/>
        <v>2.7999999999999969E-3</v>
      </c>
    </row>
    <row r="192" spans="1:22">
      <c r="A192" s="115">
        <v>169</v>
      </c>
      <c r="B192" s="62" t="s">
        <v>251</v>
      </c>
      <c r="C192" s="63" t="s">
        <v>54</v>
      </c>
      <c r="D192" s="64">
        <v>3290148747.5500002</v>
      </c>
      <c r="E192" s="65">
        <f t="shared" si="119"/>
        <v>4.0631506923168671E-2</v>
      </c>
      <c r="F192" s="64">
        <v>2.2181000000000002</v>
      </c>
      <c r="G192" s="64">
        <v>2.2351999999999999</v>
      </c>
      <c r="H192" s="66">
        <v>2778</v>
      </c>
      <c r="I192" s="89">
        <v>-5.8999999999999999E-3</v>
      </c>
      <c r="J192" s="89">
        <v>0.32229999999999998</v>
      </c>
      <c r="K192" s="64">
        <v>3235792215.0100002</v>
      </c>
      <c r="L192" s="93">
        <f t="shared" si="120"/>
        <v>4.0489256092876277E-2</v>
      </c>
      <c r="M192" s="64">
        <v>2.1800999999999999</v>
      </c>
      <c r="N192" s="64">
        <v>2.1966999999999999</v>
      </c>
      <c r="O192" s="66">
        <v>2806</v>
      </c>
      <c r="P192" s="89">
        <v>-1.7100000000000001E-2</v>
      </c>
      <c r="Q192" s="89">
        <v>0.30309999999999998</v>
      </c>
      <c r="R192" s="95">
        <f t="shared" si="121"/>
        <v>-1.6520995465775339E-2</v>
      </c>
      <c r="S192" s="95">
        <f t="shared" si="122"/>
        <v>-1.7224409448818888E-2</v>
      </c>
      <c r="T192" s="95">
        <f t="shared" si="122"/>
        <v>1.0079193664506839E-2</v>
      </c>
      <c r="U192" s="95">
        <f t="shared" si="123"/>
        <v>-1.1200000000000002E-2</v>
      </c>
      <c r="V192" s="96">
        <f t="shared" si="123"/>
        <v>-1.9199999999999995E-2</v>
      </c>
    </row>
    <row r="193" spans="1:24">
      <c r="A193" s="115">
        <v>170</v>
      </c>
      <c r="B193" s="62" t="s">
        <v>252</v>
      </c>
      <c r="C193" s="63" t="s">
        <v>54</v>
      </c>
      <c r="D193" s="64">
        <v>2122159271</v>
      </c>
      <c r="E193" s="65">
        <f t="shared" si="119"/>
        <v>2.6207486569083362E-2</v>
      </c>
      <c r="F193" s="64">
        <v>1.7739</v>
      </c>
      <c r="G193" s="64">
        <v>1.7866</v>
      </c>
      <c r="H193" s="66">
        <v>1342</v>
      </c>
      <c r="I193" s="89">
        <v>1E-4</v>
      </c>
      <c r="J193" s="89">
        <v>0.36720000000000003</v>
      </c>
      <c r="K193" s="64">
        <v>2092395933.9300001</v>
      </c>
      <c r="L193" s="93">
        <f t="shared" si="120"/>
        <v>2.6182013302211676E-2</v>
      </c>
      <c r="M193" s="64">
        <v>1.7477</v>
      </c>
      <c r="N193" s="64">
        <v>1.7599</v>
      </c>
      <c r="O193" s="66">
        <v>1369</v>
      </c>
      <c r="P193" s="89">
        <v>-1.47E-2</v>
      </c>
      <c r="Q193" s="89">
        <v>0.35</v>
      </c>
      <c r="R193" s="95">
        <f t="shared" si="121"/>
        <v>-1.402502511320694E-2</v>
      </c>
      <c r="S193" s="95">
        <f t="shared" si="122"/>
        <v>-1.4944587484607605E-2</v>
      </c>
      <c r="T193" s="95">
        <f t="shared" si="122"/>
        <v>2.0119225037257823E-2</v>
      </c>
      <c r="U193" s="95">
        <f t="shared" si="123"/>
        <v>-1.4799999999999999E-2</v>
      </c>
      <c r="V193" s="96">
        <f t="shared" si="123"/>
        <v>-1.7200000000000049E-2</v>
      </c>
    </row>
    <row r="194" spans="1:24">
      <c r="A194" s="115">
        <v>171</v>
      </c>
      <c r="B194" s="62" t="s">
        <v>253</v>
      </c>
      <c r="C194" s="63" t="s">
        <v>123</v>
      </c>
      <c r="D194" s="70">
        <v>11965047975.200001</v>
      </c>
      <c r="E194" s="65">
        <f t="shared" si="119"/>
        <v>0.14776168706730972</v>
      </c>
      <c r="F194" s="64">
        <v>688.22</v>
      </c>
      <c r="G194" s="64">
        <v>696.93</v>
      </c>
      <c r="H194" s="66">
        <v>38</v>
      </c>
      <c r="I194" s="89">
        <v>-1.35E-2</v>
      </c>
      <c r="J194" s="89">
        <v>0.33119999999999999</v>
      </c>
      <c r="K194" s="70">
        <v>11909913106.530001</v>
      </c>
      <c r="L194" s="93">
        <f t="shared" si="120"/>
        <v>0.14902796278985009</v>
      </c>
      <c r="M194" s="64">
        <v>685.08</v>
      </c>
      <c r="N194" s="64">
        <v>693.71</v>
      </c>
      <c r="O194" s="66">
        <v>38</v>
      </c>
      <c r="P194" s="89">
        <v>-4.5999999999999999E-3</v>
      </c>
      <c r="Q194" s="89">
        <v>0.3251</v>
      </c>
      <c r="R194" s="95">
        <f t="shared" si="121"/>
        <v>-4.6079939490655053E-3</v>
      </c>
      <c r="S194" s="95">
        <f t="shared" si="122"/>
        <v>-4.6202631541186548E-3</v>
      </c>
      <c r="T194" s="95">
        <f t="shared" si="122"/>
        <v>0</v>
      </c>
      <c r="U194" s="95">
        <f t="shared" si="123"/>
        <v>8.8999999999999999E-3</v>
      </c>
      <c r="V194" s="96">
        <f t="shared" si="123"/>
        <v>-6.0999999999999943E-3</v>
      </c>
    </row>
    <row r="195" spans="1:24">
      <c r="A195" s="73"/>
      <c r="B195" s="74"/>
      <c r="C195" s="75" t="s">
        <v>57</v>
      </c>
      <c r="D195" s="120">
        <f>SUM(D167:D194)</f>
        <v>80975307014.121841</v>
      </c>
      <c r="E195" s="77">
        <f>(D195/$D$229)</f>
        <v>1.1397393415770679E-2</v>
      </c>
      <c r="F195" s="78"/>
      <c r="G195" s="121"/>
      <c r="H195" s="80">
        <f>SUM(H167:H194)</f>
        <v>76042</v>
      </c>
      <c r="I195" s="139"/>
      <c r="J195" s="139"/>
      <c r="K195" s="120">
        <f>SUM(K167:K194)</f>
        <v>79917304669.356689</v>
      </c>
      <c r="L195" s="77">
        <f>(K195/$K$229)</f>
        <v>1.1159447501517055E-2</v>
      </c>
      <c r="M195" s="78"/>
      <c r="N195" s="121"/>
      <c r="O195" s="80">
        <f>SUM(O167:O194)</f>
        <v>76490</v>
      </c>
      <c r="P195" s="139"/>
      <c r="Q195" s="139"/>
      <c r="R195" s="95">
        <f t="shared" ref="R195" si="129">((K195-D195)/D195)</f>
        <v>-1.3065740455675453E-2</v>
      </c>
      <c r="S195" s="95" t="e">
        <f t="shared" ref="S195" si="130">((N195-G195)/G195)</f>
        <v>#DIV/0!</v>
      </c>
      <c r="T195" s="95">
        <f t="shared" ref="T195" si="131">((O195-H195)/H195)</f>
        <v>5.8914810236448279E-3</v>
      </c>
      <c r="U195" s="95">
        <f t="shared" ref="U195" si="132">P195-I195</f>
        <v>0</v>
      </c>
      <c r="V195" s="96">
        <f t="shared" ref="V195" si="133">Q195-J195</f>
        <v>0</v>
      </c>
    </row>
    <row r="196" spans="1:24" ht="5.25" customHeight="1">
      <c r="A196" s="73"/>
      <c r="B196" s="187"/>
      <c r="C196" s="187"/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T196" s="187"/>
      <c r="U196" s="187"/>
      <c r="V196" s="187"/>
    </row>
    <row r="197" spans="1:24" ht="15" customHeight="1">
      <c r="A197" s="189" t="s">
        <v>254</v>
      </c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</row>
    <row r="198" spans="1:24">
      <c r="A198" s="82">
        <v>172</v>
      </c>
      <c r="B198" s="62" t="s">
        <v>255</v>
      </c>
      <c r="C198" s="63" t="s">
        <v>256</v>
      </c>
      <c r="D198" s="122">
        <v>1427585227.24</v>
      </c>
      <c r="E198" s="65">
        <f>(D198/$D$200)</f>
        <v>0.16612254177154454</v>
      </c>
      <c r="F198" s="123">
        <v>39.996499999999997</v>
      </c>
      <c r="G198" s="123">
        <v>40.376399999999997</v>
      </c>
      <c r="H198" s="66">
        <v>1499</v>
      </c>
      <c r="I198" s="89">
        <v>-6.8999999999999999E-3</v>
      </c>
      <c r="J198" s="89">
        <v>0.50219999999999998</v>
      </c>
      <c r="K198" s="122">
        <v>1405873202.6300001</v>
      </c>
      <c r="L198" s="93">
        <f>(K198/$K$200)</f>
        <v>0.16879903037598443</v>
      </c>
      <c r="M198" s="123">
        <v>39.391300000000001</v>
      </c>
      <c r="N198" s="123">
        <v>39.7575</v>
      </c>
      <c r="O198" s="66">
        <v>1500</v>
      </c>
      <c r="P198" s="89">
        <v>-1.0500000000000001E-2</v>
      </c>
      <c r="Q198" s="89">
        <v>0.47939999999999999</v>
      </c>
      <c r="R198" s="95">
        <f>((K198-D198)/D198)</f>
        <v>-1.5208916564635867E-2</v>
      </c>
      <c r="S198" s="95">
        <f t="shared" ref="S198:T200" si="134">((N198-G198)/G198)</f>
        <v>-1.532826106339338E-2</v>
      </c>
      <c r="T198" s="95">
        <f t="shared" si="134"/>
        <v>6.6711140760506999E-4</v>
      </c>
      <c r="U198" s="95">
        <f t="shared" ref="U198:V200" si="135">P198-I198</f>
        <v>-3.6000000000000008E-3</v>
      </c>
      <c r="V198" s="96">
        <f t="shared" si="135"/>
        <v>-2.2799999999999987E-2</v>
      </c>
    </row>
    <row r="199" spans="1:24">
      <c r="A199" s="174">
        <v>173</v>
      </c>
      <c r="B199" s="175" t="s">
        <v>257</v>
      </c>
      <c r="C199" s="176" t="s">
        <v>51</v>
      </c>
      <c r="D199" s="83">
        <v>7165981979.3299999</v>
      </c>
      <c r="E199" s="65">
        <f>(D199/$D$200)</f>
        <v>0.83387745822845549</v>
      </c>
      <c r="F199" s="123">
        <v>4.58</v>
      </c>
      <c r="G199" s="123">
        <v>4.6500000000000004</v>
      </c>
      <c r="H199" s="66">
        <v>11394</v>
      </c>
      <c r="I199" s="89">
        <v>-1.2699999999999999E-2</v>
      </c>
      <c r="J199" s="89">
        <v>0.60340000000000005</v>
      </c>
      <c r="K199" s="83">
        <v>6922807356.1300001</v>
      </c>
      <c r="L199" s="93">
        <f>(K199/$K$200)</f>
        <v>0.83120096962401557</v>
      </c>
      <c r="M199" s="123">
        <v>4.43</v>
      </c>
      <c r="N199" s="123">
        <v>4.49</v>
      </c>
      <c r="O199" s="66">
        <v>11432</v>
      </c>
      <c r="P199" s="89">
        <v>-3.44E-2</v>
      </c>
      <c r="Q199" s="89">
        <v>0.54830000000000001</v>
      </c>
      <c r="R199" s="95">
        <f>((K199-D199)/D199)</f>
        <v>-3.3934584806580265E-2</v>
      </c>
      <c r="S199" s="95">
        <f t="shared" si="134"/>
        <v>-3.4408602150537662E-2</v>
      </c>
      <c r="T199" s="95">
        <f t="shared" si="134"/>
        <v>3.3350886431455151E-3</v>
      </c>
      <c r="U199" s="95">
        <f t="shared" si="135"/>
        <v>-2.1700000000000001E-2</v>
      </c>
      <c r="V199" s="96">
        <f t="shared" si="135"/>
        <v>-5.5100000000000038E-2</v>
      </c>
    </row>
    <row r="200" spans="1:24">
      <c r="A200" s="73"/>
      <c r="B200" s="74"/>
      <c r="C200" s="111" t="s">
        <v>57</v>
      </c>
      <c r="D200" s="120">
        <f>SUM(D198:D199)</f>
        <v>8593567206.5699997</v>
      </c>
      <c r="E200" s="77">
        <f>(D200/$D$229)</f>
        <v>1.2095572083606003E-3</v>
      </c>
      <c r="F200" s="78"/>
      <c r="G200" s="121"/>
      <c r="H200" s="80">
        <f>SUM(H198:H199)</f>
        <v>12893</v>
      </c>
      <c r="I200" s="139"/>
      <c r="J200" s="139"/>
      <c r="K200" s="120">
        <f>SUM(K198:K199)</f>
        <v>8328680558.7600002</v>
      </c>
      <c r="L200" s="77">
        <f>(K200/$K$229)</f>
        <v>1.1629955969727041E-3</v>
      </c>
      <c r="M200" s="78"/>
      <c r="N200" s="121"/>
      <c r="O200" s="80">
        <f>SUM(O198:O199)</f>
        <v>12932</v>
      </c>
      <c r="P200" s="139"/>
      <c r="Q200" s="139"/>
      <c r="R200" s="95">
        <f>((K200-D200)/D200)</f>
        <v>-3.0823829201857746E-2</v>
      </c>
      <c r="S200" s="95" t="e">
        <f t="shared" si="134"/>
        <v>#DIV/0!</v>
      </c>
      <c r="T200" s="95">
        <f t="shared" si="134"/>
        <v>3.0248972310556116E-3</v>
      </c>
      <c r="U200" s="95">
        <f t="shared" si="135"/>
        <v>0</v>
      </c>
      <c r="V200" s="96">
        <f t="shared" si="135"/>
        <v>0</v>
      </c>
    </row>
    <row r="201" spans="1:24" ht="6" customHeight="1">
      <c r="A201" s="73"/>
      <c r="B201" s="187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187"/>
      <c r="S201" s="187"/>
      <c r="T201" s="187"/>
      <c r="U201" s="187"/>
      <c r="V201" s="187"/>
    </row>
    <row r="202" spans="1:24" ht="15" customHeight="1">
      <c r="A202" s="185" t="s">
        <v>258</v>
      </c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</row>
    <row r="203" spans="1:24">
      <c r="A203" s="188" t="s">
        <v>259</v>
      </c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</row>
    <row r="204" spans="1:24">
      <c r="A204" s="82">
        <v>174</v>
      </c>
      <c r="B204" s="62" t="s">
        <v>260</v>
      </c>
      <c r="C204" s="63" t="s">
        <v>261</v>
      </c>
      <c r="D204" s="87">
        <v>7756592644.7399998</v>
      </c>
      <c r="E204" s="65">
        <f>(D204/$D$228)</f>
        <v>0.10658781357516323</v>
      </c>
      <c r="F204" s="124">
        <v>2.91</v>
      </c>
      <c r="G204" s="124">
        <v>2.96</v>
      </c>
      <c r="H204" s="85">
        <v>15235</v>
      </c>
      <c r="I204" s="92">
        <v>4.0599999999999997E-2</v>
      </c>
      <c r="J204" s="92">
        <v>0.35959999999999998</v>
      </c>
      <c r="K204" s="87">
        <v>7773932256.1000004</v>
      </c>
      <c r="L204" s="65">
        <f>(K204/$K$228)</f>
        <v>0.10618937236760742</v>
      </c>
      <c r="M204" s="124">
        <v>2.89</v>
      </c>
      <c r="N204" s="124">
        <v>2.94</v>
      </c>
      <c r="O204" s="85">
        <v>15283</v>
      </c>
      <c r="P204" s="92">
        <v>-6.8999999999999999E-3</v>
      </c>
      <c r="Q204" s="92">
        <v>0.3387</v>
      </c>
      <c r="R204" s="94">
        <f>((K204-D204)/D204)</f>
        <v>2.2354675763151194E-3</v>
      </c>
      <c r="S204" s="94">
        <f>((N204-G204)/G204)</f>
        <v>-6.7567567567567632E-3</v>
      </c>
      <c r="T204" s="94">
        <f>((O204-H204)/H204)</f>
        <v>3.1506399737446667E-3</v>
      </c>
      <c r="U204" s="94">
        <f>P204-I204</f>
        <v>-4.7500000000000001E-2</v>
      </c>
      <c r="V204" s="143">
        <f>Q204-J204</f>
        <v>-2.0899999999999974E-2</v>
      </c>
    </row>
    <row r="205" spans="1:24">
      <c r="A205" s="174">
        <v>175</v>
      </c>
      <c r="B205" s="175" t="s">
        <v>262</v>
      </c>
      <c r="C205" s="176" t="s">
        <v>51</v>
      </c>
      <c r="D205" s="87">
        <v>4524054860.8900003</v>
      </c>
      <c r="E205" s="65">
        <f>(D205/$D$228)</f>
        <v>6.216764734233609E-2</v>
      </c>
      <c r="F205" s="124">
        <v>956.19</v>
      </c>
      <c r="G205" s="124">
        <v>969.42</v>
      </c>
      <c r="H205" s="85">
        <v>2210</v>
      </c>
      <c r="I205" s="92">
        <v>-2.5000000000000001E-3</v>
      </c>
      <c r="J205" s="92">
        <v>0.92079999999999995</v>
      </c>
      <c r="K205" s="87">
        <v>4300753775.0100002</v>
      </c>
      <c r="L205" s="65">
        <f>(K205/$K$228)</f>
        <v>5.87468901234088E-2</v>
      </c>
      <c r="M205" s="124">
        <v>933.35</v>
      </c>
      <c r="N205" s="124">
        <v>946.51</v>
      </c>
      <c r="O205" s="85">
        <v>2251</v>
      </c>
      <c r="P205" s="92">
        <v>-2.3599999999999999E-2</v>
      </c>
      <c r="Q205" s="92">
        <v>0.87539999999999996</v>
      </c>
      <c r="R205" s="94">
        <f>((K205-D205)/D205)</f>
        <v>-4.9358615831654823E-2</v>
      </c>
      <c r="S205" s="94">
        <f>((N205-G205)/G205)</f>
        <v>-2.363268758639183E-2</v>
      </c>
      <c r="T205" s="94">
        <f>((O205-H205)/H205)</f>
        <v>1.8552036199095023E-2</v>
      </c>
      <c r="U205" s="94">
        <f>P205-I205</f>
        <v>-2.1100000000000001E-2</v>
      </c>
      <c r="V205" s="143">
        <f>Q205-J205</f>
        <v>-4.5399999999999996E-2</v>
      </c>
    </row>
    <row r="206" spans="1:24" ht="6" customHeight="1">
      <c r="A206" s="110"/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</row>
    <row r="207" spans="1:24" ht="15" customHeight="1">
      <c r="A207" s="188" t="s">
        <v>195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</row>
    <row r="208" spans="1:24">
      <c r="A208" s="82">
        <v>176</v>
      </c>
      <c r="B208" s="62" t="s">
        <v>263</v>
      </c>
      <c r="C208" s="63" t="s">
        <v>25</v>
      </c>
      <c r="D208" s="70">
        <v>1223623553.3199999</v>
      </c>
      <c r="E208" s="65">
        <f>(D208/$D$228)</f>
        <v>1.6814517038727734E-2</v>
      </c>
      <c r="F208" s="123">
        <v>1.1237999999999999</v>
      </c>
      <c r="G208" s="123">
        <v>1.1237999999999999</v>
      </c>
      <c r="H208" s="66">
        <v>698</v>
      </c>
      <c r="I208" s="89">
        <v>0.27989999999999998</v>
      </c>
      <c r="J208" s="89">
        <v>0.13120000000000001</v>
      </c>
      <c r="K208" s="70">
        <v>1229516010.6600001</v>
      </c>
      <c r="L208" s="65">
        <f t="shared" ref="L208:L221" si="136">(K208/$K$228)</f>
        <v>1.679478662622275E-2</v>
      </c>
      <c r="M208" s="123">
        <v>1.1269</v>
      </c>
      <c r="N208" s="123">
        <v>1.1269</v>
      </c>
      <c r="O208" s="66">
        <v>705</v>
      </c>
      <c r="P208" s="89">
        <v>0.14380000000000001</v>
      </c>
      <c r="Q208" s="89">
        <v>0.1318</v>
      </c>
      <c r="R208" s="95">
        <f>((K208-D208)/D208)</f>
        <v>4.815580187233587E-3</v>
      </c>
      <c r="S208" s="95">
        <f>((N208-G208)/G208)</f>
        <v>2.7584979533725779E-3</v>
      </c>
      <c r="T208" s="95">
        <f>((O208-H208)/H208)</f>
        <v>1.0028653295128941E-2</v>
      </c>
      <c r="U208" s="95">
        <f>P208-I208</f>
        <v>-0.13609999999999997</v>
      </c>
      <c r="V208" s="96">
        <f>Q208-J208</f>
        <v>5.9999999999998943E-4</v>
      </c>
      <c r="X208" s="144"/>
    </row>
    <row r="209" spans="1:24">
      <c r="A209" s="82">
        <v>177</v>
      </c>
      <c r="B209" s="62" t="s">
        <v>264</v>
      </c>
      <c r="C209" s="63" t="s">
        <v>265</v>
      </c>
      <c r="D209" s="70">
        <v>359857793.60000002</v>
      </c>
      <c r="E209" s="65">
        <f>(D209/$D$228)</f>
        <v>4.945013509742211E-3</v>
      </c>
      <c r="F209" s="123">
        <v>1095.19</v>
      </c>
      <c r="G209" s="123">
        <v>1095.19</v>
      </c>
      <c r="H209" s="66">
        <v>17</v>
      </c>
      <c r="I209" s="89">
        <v>2.0999999999999999E-3</v>
      </c>
      <c r="J209" s="89">
        <v>7.5899999999999995E-2</v>
      </c>
      <c r="K209" s="70">
        <v>360030714.50999999</v>
      </c>
      <c r="L209" s="65">
        <f t="shared" si="136"/>
        <v>4.9179018220642384E-3</v>
      </c>
      <c r="M209" s="123">
        <v>1095.72</v>
      </c>
      <c r="N209" s="123">
        <v>1095.72</v>
      </c>
      <c r="O209" s="66">
        <v>17</v>
      </c>
      <c r="P209" s="89">
        <v>1.1999999999999999E-3</v>
      </c>
      <c r="Q209" s="89">
        <v>7.6799999999999993E-2</v>
      </c>
      <c r="R209" s="95">
        <f>((K209-D209)/D209)</f>
        <v>4.8052567729622907E-4</v>
      </c>
      <c r="S209" s="95">
        <f>((N209-G209)/G209)</f>
        <v>4.8393429450595119E-4</v>
      </c>
      <c r="T209" s="95">
        <f>((O209-H209)/H209)</f>
        <v>0</v>
      </c>
      <c r="U209" s="95">
        <f>P209-I209</f>
        <v>-8.9999999999999998E-4</v>
      </c>
      <c r="V209" s="96">
        <f>Q209-J209</f>
        <v>8.9999999999999802E-4</v>
      </c>
      <c r="X209" s="144"/>
    </row>
    <row r="210" spans="1:24">
      <c r="A210" s="82">
        <v>178</v>
      </c>
      <c r="B210" s="62" t="s">
        <v>266</v>
      </c>
      <c r="C210" s="63" t="s">
        <v>74</v>
      </c>
      <c r="D210" s="70">
        <v>312827514.68000001</v>
      </c>
      <c r="E210" s="65">
        <f>(D210/$D$228)</f>
        <v>4.2987433197880856E-3</v>
      </c>
      <c r="F210" s="123">
        <v>123.21</v>
      </c>
      <c r="G210" s="123">
        <v>123.21</v>
      </c>
      <c r="H210" s="66">
        <v>77</v>
      </c>
      <c r="I210" s="89">
        <v>3.0999999999999999E-3</v>
      </c>
      <c r="J210" s="89">
        <v>0.13450000000000001</v>
      </c>
      <c r="K210" s="70">
        <v>310724798.66000003</v>
      </c>
      <c r="L210" s="65">
        <f t="shared" si="136"/>
        <v>4.2443991356968342E-3</v>
      </c>
      <c r="M210" s="123">
        <v>123.4</v>
      </c>
      <c r="N210" s="123">
        <v>123.4</v>
      </c>
      <c r="O210" s="66">
        <v>78</v>
      </c>
      <c r="P210" s="89">
        <v>1.5E-3</v>
      </c>
      <c r="Q210" s="89">
        <v>0.13450000000000001</v>
      </c>
      <c r="R210" s="95">
        <f t="shared" ref="R210:R229" si="137">((K210-D210)/D210)</f>
        <v>-6.721646662541522E-3</v>
      </c>
      <c r="S210" s="95">
        <f t="shared" ref="S210:S228" si="138">((N210-G210)/G210)</f>
        <v>1.5420826231638011E-3</v>
      </c>
      <c r="T210" s="95">
        <f t="shared" ref="T210:T228" si="139">((O210-H210)/H210)</f>
        <v>1.2987012987012988E-2</v>
      </c>
      <c r="U210" s="95">
        <f t="shared" ref="U210:U228" si="140">P210-I210</f>
        <v>-1.5999999999999999E-3</v>
      </c>
      <c r="V210" s="96">
        <f t="shared" ref="V210:V228" si="141">Q210-J210</f>
        <v>0</v>
      </c>
    </row>
    <row r="211" spans="1:24">
      <c r="A211" s="82">
        <v>179</v>
      </c>
      <c r="B211" s="182" t="s">
        <v>267</v>
      </c>
      <c r="C211" s="63" t="s">
        <v>268</v>
      </c>
      <c r="D211" s="70">
        <v>52019367.890000001</v>
      </c>
      <c r="E211" s="65">
        <v>0</v>
      </c>
      <c r="F211" s="123">
        <v>102.26</v>
      </c>
      <c r="G211" s="123">
        <v>102.26</v>
      </c>
      <c r="H211" s="66">
        <v>9</v>
      </c>
      <c r="I211" s="89">
        <v>0</v>
      </c>
      <c r="J211" s="89">
        <v>2.2599999999999999E-2</v>
      </c>
      <c r="K211" s="70">
        <v>52116513.579999998</v>
      </c>
      <c r="L211" s="65">
        <f t="shared" si="136"/>
        <v>7.1189453223052357E-4</v>
      </c>
      <c r="M211" s="123">
        <v>102.27</v>
      </c>
      <c r="N211" s="123">
        <v>102.27</v>
      </c>
      <c r="O211" s="66">
        <v>12</v>
      </c>
      <c r="P211" s="89">
        <v>0</v>
      </c>
      <c r="Q211" s="89">
        <v>2.2599999999999999E-2</v>
      </c>
      <c r="R211" s="95">
        <f t="shared" si="137"/>
        <v>1.8674907816146787E-3</v>
      </c>
      <c r="S211" s="95">
        <f t="shared" si="138"/>
        <v>9.7789947193339572E-5</v>
      </c>
      <c r="T211" s="95">
        <f t="shared" si="139"/>
        <v>0.33333333333333331</v>
      </c>
      <c r="U211" s="95">
        <f t="shared" si="140"/>
        <v>0</v>
      </c>
      <c r="V211" s="96">
        <f t="shared" si="141"/>
        <v>0</v>
      </c>
    </row>
    <row r="212" spans="1:24">
      <c r="A212" s="82">
        <v>180</v>
      </c>
      <c r="B212" s="182" t="s">
        <v>269</v>
      </c>
      <c r="C212" s="63" t="s">
        <v>80</v>
      </c>
      <c r="D212" s="83">
        <v>66791416.369999997</v>
      </c>
      <c r="E212" s="65">
        <f>(D212/$D$228)</f>
        <v>9.1781937798350089E-4</v>
      </c>
      <c r="F212" s="123">
        <v>101.83</v>
      </c>
      <c r="G212" s="123">
        <v>101.83</v>
      </c>
      <c r="H212" s="66">
        <v>17</v>
      </c>
      <c r="I212" s="89">
        <v>1.8E-3</v>
      </c>
      <c r="J212" s="89">
        <v>8.8599999999999998E-2</v>
      </c>
      <c r="K212" s="83">
        <v>66922164.409999996</v>
      </c>
      <c r="L212" s="65">
        <f t="shared" si="136"/>
        <v>9.1413488078745625E-4</v>
      </c>
      <c r="M212" s="123">
        <v>102.05</v>
      </c>
      <c r="N212" s="123">
        <v>102.05</v>
      </c>
      <c r="O212" s="66">
        <v>17</v>
      </c>
      <c r="P212" s="89">
        <v>2.3E-3</v>
      </c>
      <c r="Q212" s="89">
        <v>9.0899999999999995E-2</v>
      </c>
      <c r="R212" s="95">
        <f t="shared" si="137"/>
        <v>1.957557529184631E-3</v>
      </c>
      <c r="S212" s="95">
        <f t="shared" si="138"/>
        <v>2.1604635176274071E-3</v>
      </c>
      <c r="T212" s="95">
        <f t="shared" si="139"/>
        <v>0</v>
      </c>
      <c r="U212" s="95">
        <f t="shared" si="140"/>
        <v>5.0000000000000001E-4</v>
      </c>
      <c r="V212" s="96">
        <f t="shared" si="141"/>
        <v>2.2999999999999965E-3</v>
      </c>
    </row>
    <row r="213" spans="1:24">
      <c r="A213" s="82">
        <v>181</v>
      </c>
      <c r="B213" s="62" t="s">
        <v>270</v>
      </c>
      <c r="C213" s="63" t="s">
        <v>83</v>
      </c>
      <c r="D213" s="83">
        <v>241088259.47</v>
      </c>
      <c r="E213" s="65">
        <v>0</v>
      </c>
      <c r="F213" s="123">
        <v>1.1399999999999999</v>
      </c>
      <c r="G213" s="123">
        <v>1.1399999999999999</v>
      </c>
      <c r="H213" s="66">
        <v>55</v>
      </c>
      <c r="I213" s="89">
        <v>1.8E-3</v>
      </c>
      <c r="J213" s="89">
        <v>0.1103</v>
      </c>
      <c r="K213" s="83">
        <v>241088259.47</v>
      </c>
      <c r="L213" s="65">
        <f t="shared" si="136"/>
        <v>3.2931867830761894E-3</v>
      </c>
      <c r="M213" s="123">
        <v>1.1399999999999999</v>
      </c>
      <c r="N213" s="123">
        <v>1.1399999999999999</v>
      </c>
      <c r="O213" s="66">
        <v>56</v>
      </c>
      <c r="P213" s="89">
        <v>1.8E-3</v>
      </c>
      <c r="Q213" s="89">
        <v>0.11</v>
      </c>
      <c r="R213" s="95">
        <f t="shared" ref="R213:R214" si="142">((K213-D213)/D213)</f>
        <v>0</v>
      </c>
      <c r="S213" s="95">
        <f t="shared" ref="S213:S214" si="143">((N213-G213)/G213)</f>
        <v>0</v>
      </c>
      <c r="T213" s="95">
        <f t="shared" ref="T213" si="144">((O213-H213)/H213)</f>
        <v>1.8181818181818181E-2</v>
      </c>
      <c r="U213" s="95">
        <f t="shared" ref="U213" si="145">P213-I213</f>
        <v>0</v>
      </c>
      <c r="V213" s="96">
        <f t="shared" ref="V213" si="146">Q213-J213</f>
        <v>-2.9999999999999472E-4</v>
      </c>
    </row>
    <row r="214" spans="1:24">
      <c r="A214" s="174">
        <v>182</v>
      </c>
      <c r="B214" s="175" t="s">
        <v>271</v>
      </c>
      <c r="C214" s="176" t="s">
        <v>33</v>
      </c>
      <c r="D214" s="70">
        <v>4873827085.6099997</v>
      </c>
      <c r="E214" s="65">
        <f t="shared" ref="E214:E221" si="147">(D214/$D$228)</f>
        <v>6.6974069232688574E-2</v>
      </c>
      <c r="F214" s="123">
        <v>162.35</v>
      </c>
      <c r="G214" s="123">
        <v>162.35</v>
      </c>
      <c r="H214" s="66">
        <v>748</v>
      </c>
      <c r="I214" s="89">
        <v>2.8E-3</v>
      </c>
      <c r="J214" s="89">
        <v>0.13159999999999999</v>
      </c>
      <c r="K214" s="70">
        <v>4782398266.1700001</v>
      </c>
      <c r="L214" s="65">
        <f t="shared" si="136"/>
        <v>6.5325996364071437E-2</v>
      </c>
      <c r="M214" s="123">
        <v>139.22999999999999</v>
      </c>
      <c r="N214" s="123">
        <v>139.22999999999999</v>
      </c>
      <c r="O214" s="66">
        <v>749</v>
      </c>
      <c r="P214" s="89">
        <v>-0.1424</v>
      </c>
      <c r="Q214" s="89">
        <v>0.13450000000000001</v>
      </c>
      <c r="R214" s="95">
        <f t="shared" si="142"/>
        <v>-1.8759143037705144E-2</v>
      </c>
      <c r="S214" s="95">
        <f t="shared" si="143"/>
        <v>-0.14240837696335082</v>
      </c>
      <c r="T214" s="95">
        <f t="shared" si="139"/>
        <v>1.3368983957219251E-3</v>
      </c>
      <c r="U214" s="95">
        <f t="shared" si="140"/>
        <v>-0.1452</v>
      </c>
      <c r="V214" s="96">
        <f t="shared" si="141"/>
        <v>2.9000000000000137E-3</v>
      </c>
    </row>
    <row r="215" spans="1:24">
      <c r="A215" s="82">
        <v>183</v>
      </c>
      <c r="B215" s="62" t="s">
        <v>272</v>
      </c>
      <c r="C215" s="63" t="s">
        <v>72</v>
      </c>
      <c r="D215" s="70">
        <v>795316322.75186706</v>
      </c>
      <c r="E215" s="65">
        <f t="shared" si="147"/>
        <v>1.0928900333608001E-2</v>
      </c>
      <c r="F215" s="69">
        <v>1312.63987691805</v>
      </c>
      <c r="G215" s="69">
        <v>1312.63987691805</v>
      </c>
      <c r="H215" s="66">
        <v>274</v>
      </c>
      <c r="I215" s="89">
        <v>0.1139</v>
      </c>
      <c r="J215" s="89">
        <v>0.12709999999999999</v>
      </c>
      <c r="K215" s="70">
        <v>808623476.62893796</v>
      </c>
      <c r="L215" s="65">
        <f t="shared" si="136"/>
        <v>1.1045532252684842E-2</v>
      </c>
      <c r="M215" s="69">
        <v>1312.63987691805</v>
      </c>
      <c r="N215" s="69">
        <v>1312.63987691805</v>
      </c>
      <c r="O215" s="66">
        <v>280</v>
      </c>
      <c r="P215" s="89">
        <v>0.1187</v>
      </c>
      <c r="Q215" s="89">
        <v>0.12720000000000001</v>
      </c>
      <c r="R215" s="95">
        <f t="shared" si="137"/>
        <v>1.6731900875650255E-2</v>
      </c>
      <c r="S215" s="95">
        <f t="shared" si="138"/>
        <v>0</v>
      </c>
      <c r="T215" s="95">
        <f t="shared" si="139"/>
        <v>2.1897810218978103E-2</v>
      </c>
      <c r="U215" s="95">
        <f t="shared" si="140"/>
        <v>4.7999999999999987E-3</v>
      </c>
      <c r="V215" s="96">
        <f t="shared" si="141"/>
        <v>1.0000000000001674E-4</v>
      </c>
    </row>
    <row r="216" spans="1:24">
      <c r="A216" s="82">
        <v>184</v>
      </c>
      <c r="B216" s="62" t="s">
        <v>273</v>
      </c>
      <c r="C216" s="63" t="s">
        <v>261</v>
      </c>
      <c r="D216" s="70">
        <v>36008570838.440002</v>
      </c>
      <c r="E216" s="65">
        <f t="shared" si="147"/>
        <v>0.49481454182571083</v>
      </c>
      <c r="F216" s="69">
        <v>1269.8</v>
      </c>
      <c r="G216" s="69">
        <v>1269.8</v>
      </c>
      <c r="H216" s="66">
        <v>11194</v>
      </c>
      <c r="I216" s="89">
        <v>1.5E-3</v>
      </c>
      <c r="J216" s="89">
        <v>0.1222</v>
      </c>
      <c r="K216" s="70">
        <v>36429881230.779999</v>
      </c>
      <c r="L216" s="65">
        <f t="shared" si="136"/>
        <v>0.49762026422181976</v>
      </c>
      <c r="M216" s="69">
        <v>1273.1600000000001</v>
      </c>
      <c r="N216" s="69">
        <v>1273.1600000000001</v>
      </c>
      <c r="O216" s="66">
        <v>11319</v>
      </c>
      <c r="P216" s="89">
        <v>2.5999999999999999E-3</v>
      </c>
      <c r="Q216" s="89">
        <v>0.12839999999999999</v>
      </c>
      <c r="R216" s="95">
        <f t="shared" si="137"/>
        <v>1.1700280864527884E-2</v>
      </c>
      <c r="S216" s="95">
        <f t="shared" si="138"/>
        <v>2.6460859977950287E-3</v>
      </c>
      <c r="T216" s="95">
        <f t="shared" si="139"/>
        <v>1.1166696444523852E-2</v>
      </c>
      <c r="U216" s="95">
        <f t="shared" si="140"/>
        <v>1.0999999999999998E-3</v>
      </c>
      <c r="V216" s="96">
        <f t="shared" si="141"/>
        <v>6.1999999999999833E-3</v>
      </c>
    </row>
    <row r="217" spans="1:24">
      <c r="A217" s="82">
        <v>185</v>
      </c>
      <c r="B217" s="62" t="s">
        <v>274</v>
      </c>
      <c r="C217" s="63" t="s">
        <v>275</v>
      </c>
      <c r="D217" s="70">
        <v>359723489.37</v>
      </c>
      <c r="E217" s="65">
        <f t="shared" si="147"/>
        <v>4.9431679578503885E-3</v>
      </c>
      <c r="F217" s="124">
        <v>118.21</v>
      </c>
      <c r="G217" s="124">
        <v>119.13</v>
      </c>
      <c r="H217" s="85">
        <v>130</v>
      </c>
      <c r="I217" s="89">
        <v>-1.1999999999999999E-3</v>
      </c>
      <c r="J217" s="89">
        <v>-4.7199999999999999E-2</v>
      </c>
      <c r="K217" s="70">
        <v>358363449.36000001</v>
      </c>
      <c r="L217" s="65">
        <f t="shared" si="136"/>
        <v>4.895127525348447E-3</v>
      </c>
      <c r="M217" s="124">
        <v>117.58</v>
      </c>
      <c r="N217" s="124">
        <v>118.49</v>
      </c>
      <c r="O217" s="85">
        <v>132</v>
      </c>
      <c r="P217" s="89">
        <v>-5.4000000000000003E-3</v>
      </c>
      <c r="Q217" s="89">
        <v>-5.2299999999999999E-2</v>
      </c>
      <c r="R217" s="95">
        <f t="shared" si="137"/>
        <v>-3.7807928872865375E-3</v>
      </c>
      <c r="S217" s="95">
        <f t="shared" si="138"/>
        <v>-5.3722823805926346E-3</v>
      </c>
      <c r="T217" s="95">
        <f t="shared" si="139"/>
        <v>1.5384615384615385E-2</v>
      </c>
      <c r="U217" s="95">
        <f t="shared" si="140"/>
        <v>-4.2000000000000006E-3</v>
      </c>
      <c r="V217" s="96">
        <f t="shared" si="141"/>
        <v>-5.1000000000000004E-3</v>
      </c>
    </row>
    <row r="218" spans="1:24">
      <c r="A218" s="82">
        <v>186</v>
      </c>
      <c r="B218" s="62" t="s">
        <v>276</v>
      </c>
      <c r="C218" s="63" t="s">
        <v>275</v>
      </c>
      <c r="D218" s="70">
        <v>359437323.19</v>
      </c>
      <c r="E218" s="65">
        <f t="shared" si="147"/>
        <v>4.9392355833088371E-3</v>
      </c>
      <c r="F218" s="124">
        <v>131.29480000000001</v>
      </c>
      <c r="G218" s="124">
        <v>131.29480000000001</v>
      </c>
      <c r="H218" s="85">
        <v>131</v>
      </c>
      <c r="I218" s="89">
        <v>-5.0000000000000001E-4</v>
      </c>
      <c r="J218" s="89">
        <v>0.17549999999999999</v>
      </c>
      <c r="K218" s="70">
        <v>399449553</v>
      </c>
      <c r="L218" s="65">
        <f t="shared" si="136"/>
        <v>5.4563502649907451E-3</v>
      </c>
      <c r="M218" s="124">
        <v>131.71</v>
      </c>
      <c r="N218" s="124">
        <v>131.71</v>
      </c>
      <c r="O218" s="85">
        <v>131</v>
      </c>
      <c r="P218" s="89">
        <v>3.2000000000000002E-3</v>
      </c>
      <c r="Q218" s="89">
        <v>0.1792</v>
      </c>
      <c r="R218" s="95">
        <f t="shared" si="137"/>
        <v>0.11131907353107395</v>
      </c>
      <c r="S218" s="95">
        <f t="shared" si="138"/>
        <v>3.1623491562498946E-3</v>
      </c>
      <c r="T218" s="95">
        <f t="shared" si="139"/>
        <v>0</v>
      </c>
      <c r="U218" s="95">
        <f t="shared" si="140"/>
        <v>3.7000000000000002E-3</v>
      </c>
      <c r="V218" s="96">
        <f t="shared" si="141"/>
        <v>3.7000000000000088E-3</v>
      </c>
    </row>
    <row r="219" spans="1:24" ht="13.5" customHeight="1">
      <c r="A219" s="174">
        <v>187</v>
      </c>
      <c r="B219" s="175" t="s">
        <v>277</v>
      </c>
      <c r="C219" s="176" t="s">
        <v>105</v>
      </c>
      <c r="D219" s="70">
        <v>2285998711</v>
      </c>
      <c r="E219" s="65">
        <f t="shared" si="147"/>
        <v>3.1413226864036102E-2</v>
      </c>
      <c r="F219" s="100">
        <v>105.22</v>
      </c>
      <c r="G219" s="100">
        <v>105.22</v>
      </c>
      <c r="H219" s="66">
        <v>718</v>
      </c>
      <c r="I219" s="89">
        <v>2.8999999999999998E-3</v>
      </c>
      <c r="J219" s="89">
        <v>0.1525</v>
      </c>
      <c r="K219" s="70">
        <v>2284206894</v>
      </c>
      <c r="L219" s="65">
        <f t="shared" si="136"/>
        <v>3.1201519185003534E-2</v>
      </c>
      <c r="M219" s="100">
        <v>105.58</v>
      </c>
      <c r="N219" s="100">
        <v>105.58</v>
      </c>
      <c r="O219" s="66">
        <v>718</v>
      </c>
      <c r="P219" s="89">
        <v>3.3999999999999998E-3</v>
      </c>
      <c r="Q219" s="89">
        <v>0.15310000000000001</v>
      </c>
      <c r="R219" s="95">
        <f t="shared" si="137"/>
        <v>-7.8382240172662982E-4</v>
      </c>
      <c r="S219" s="95">
        <f t="shared" si="138"/>
        <v>3.4214027751378012E-3</v>
      </c>
      <c r="T219" s="95">
        <f t="shared" si="139"/>
        <v>0</v>
      </c>
      <c r="U219" s="95">
        <f t="shared" si="140"/>
        <v>5.0000000000000001E-4</v>
      </c>
      <c r="V219" s="96">
        <f t="shared" si="141"/>
        <v>6.0000000000001719E-4</v>
      </c>
    </row>
    <row r="220" spans="1:24" ht="15.75" customHeight="1">
      <c r="A220" s="174">
        <v>188</v>
      </c>
      <c r="B220" s="175" t="s">
        <v>278</v>
      </c>
      <c r="C220" s="176" t="s">
        <v>51</v>
      </c>
      <c r="D220" s="70">
        <v>5243770253.0100002</v>
      </c>
      <c r="E220" s="65">
        <f t="shared" si="147"/>
        <v>7.2057671681113711E-2</v>
      </c>
      <c r="F220" s="100">
        <v>142.07</v>
      </c>
      <c r="G220" s="100">
        <v>142.07</v>
      </c>
      <c r="H220" s="66">
        <v>1652</v>
      </c>
      <c r="I220" s="89">
        <v>1.9E-3</v>
      </c>
      <c r="J220" s="89">
        <v>5.79E-2</v>
      </c>
      <c r="K220" s="70">
        <v>5265838955.1700001</v>
      </c>
      <c r="L220" s="65">
        <f t="shared" si="136"/>
        <v>7.1929638079831368E-2</v>
      </c>
      <c r="M220" s="100">
        <v>142.34</v>
      </c>
      <c r="N220" s="100">
        <v>142.34</v>
      </c>
      <c r="O220" s="66">
        <v>1668</v>
      </c>
      <c r="P220" s="89">
        <v>1.9E-3</v>
      </c>
      <c r="Q220" s="89">
        <v>5.9900000000000002E-2</v>
      </c>
      <c r="R220" s="95">
        <f t="shared" si="137"/>
        <v>4.2085562668067109E-3</v>
      </c>
      <c r="S220" s="95">
        <f t="shared" si="138"/>
        <v>1.90047159850785E-3</v>
      </c>
      <c r="T220" s="95">
        <f t="shared" si="139"/>
        <v>9.6852300242130755E-3</v>
      </c>
      <c r="U220" s="95">
        <f t="shared" si="140"/>
        <v>0</v>
      </c>
      <c r="V220" s="96">
        <f t="shared" si="141"/>
        <v>2.0000000000000018E-3</v>
      </c>
    </row>
    <row r="221" spans="1:24">
      <c r="A221" s="82">
        <v>189</v>
      </c>
      <c r="B221" s="62" t="s">
        <v>279</v>
      </c>
      <c r="C221" s="63" t="s">
        <v>54</v>
      </c>
      <c r="D221" s="70">
        <v>3949971830.6599998</v>
      </c>
      <c r="E221" s="65">
        <f t="shared" si="147"/>
        <v>5.4278841289807964E-2</v>
      </c>
      <c r="F221" s="100">
        <v>1.2</v>
      </c>
      <c r="G221" s="100">
        <v>1.1978</v>
      </c>
      <c r="H221" s="66">
        <v>1949</v>
      </c>
      <c r="I221" s="89">
        <v>0.1004</v>
      </c>
      <c r="J221" s="89">
        <v>0.10630000000000001</v>
      </c>
      <c r="K221" s="70">
        <v>3959274660.1700001</v>
      </c>
      <c r="L221" s="65">
        <f t="shared" si="136"/>
        <v>5.4082397086046362E-2</v>
      </c>
      <c r="M221" s="100">
        <v>1.2024999999999999</v>
      </c>
      <c r="N221" s="100">
        <v>1.2024999999999999</v>
      </c>
      <c r="O221" s="66">
        <v>1955</v>
      </c>
      <c r="P221" s="89">
        <v>0.11459999999999999</v>
      </c>
      <c r="Q221" s="89">
        <v>0.10630000000000001</v>
      </c>
      <c r="R221" s="95">
        <f t="shared" si="137"/>
        <v>2.355163507190334E-3</v>
      </c>
      <c r="S221" s="95">
        <f t="shared" si="138"/>
        <v>3.9238604107529858E-3</v>
      </c>
      <c r="T221" s="95">
        <f t="shared" si="139"/>
        <v>3.0785017957927143E-3</v>
      </c>
      <c r="U221" s="95">
        <f t="shared" si="140"/>
        <v>1.419999999999999E-2</v>
      </c>
      <c r="V221" s="96">
        <f t="shared" si="141"/>
        <v>0</v>
      </c>
    </row>
    <row r="222" spans="1:24" ht="6" customHeight="1">
      <c r="A222" s="73"/>
      <c r="B222" s="187"/>
      <c r="C222" s="187"/>
      <c r="D222" s="187"/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</row>
    <row r="223" spans="1:24">
      <c r="A223" s="188" t="s">
        <v>280</v>
      </c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</row>
    <row r="224" spans="1:24">
      <c r="A224" s="82">
        <v>190</v>
      </c>
      <c r="B224" s="62" t="s">
        <v>281</v>
      </c>
      <c r="C224" s="63" t="s">
        <v>21</v>
      </c>
      <c r="D224" s="122">
        <v>368094391.99000001</v>
      </c>
      <c r="E224" s="65">
        <f>(D224/$D$200)</f>
        <v>4.2833713071864093E-2</v>
      </c>
      <c r="F224" s="123">
        <v>103.2175</v>
      </c>
      <c r="G224" s="123">
        <v>103.2175</v>
      </c>
      <c r="H224" s="68">
        <v>121</v>
      </c>
      <c r="I224" s="90">
        <v>3.0999999999999999E-3</v>
      </c>
      <c r="J224" s="90">
        <v>3.2199999999999999E-2</v>
      </c>
      <c r="K224" s="122">
        <v>379965903.73000002</v>
      </c>
      <c r="L224" s="93">
        <f>(K224/$K$200)</f>
        <v>4.5621380367428875E-2</v>
      </c>
      <c r="M224" s="123">
        <v>103.6572</v>
      </c>
      <c r="N224" s="123">
        <v>103.6572</v>
      </c>
      <c r="O224" s="68">
        <v>121</v>
      </c>
      <c r="P224" s="90">
        <v>4.3E-3</v>
      </c>
      <c r="Q224" s="90">
        <v>3.6600000000000001E-2</v>
      </c>
      <c r="R224" s="95">
        <f>((K224-D224)/D224)</f>
        <v>3.2251270321778013E-2</v>
      </c>
      <c r="S224" s="95">
        <f t="shared" ref="S224" si="148">((N224-G224)/G224)</f>
        <v>4.259936541768615E-3</v>
      </c>
      <c r="T224" s="95">
        <f t="shared" ref="T224" si="149">((O224-H224)/H224)</f>
        <v>0</v>
      </c>
      <c r="U224" s="95">
        <f t="shared" ref="U224" si="150">P224-I224</f>
        <v>1.2000000000000001E-3</v>
      </c>
      <c r="V224" s="96">
        <f t="shared" ref="V224" si="151">Q224-J224</f>
        <v>4.4000000000000011E-3</v>
      </c>
    </row>
    <row r="225" spans="1:22">
      <c r="A225" s="82">
        <v>191</v>
      </c>
      <c r="B225" s="62" t="s">
        <v>282</v>
      </c>
      <c r="C225" s="63" t="s">
        <v>25</v>
      </c>
      <c r="D225" s="122">
        <v>3575795088.8600001</v>
      </c>
      <c r="E225" s="65">
        <f>(D225/$D$200)</f>
        <v>0.41610137011859455</v>
      </c>
      <c r="F225" s="123">
        <v>102.8026</v>
      </c>
      <c r="G225" s="123">
        <v>105.90219999999999</v>
      </c>
      <c r="H225" s="68">
        <v>3130</v>
      </c>
      <c r="I225" s="90">
        <v>-5.3999999999999999E-2</v>
      </c>
      <c r="J225" s="90">
        <v>0.59940000000000004</v>
      </c>
      <c r="K225" s="122">
        <v>3793298406.4699998</v>
      </c>
      <c r="L225" s="93">
        <f>(K225/$K$200)</f>
        <v>0.45545010157464338</v>
      </c>
      <c r="M225" s="123">
        <v>101.6534</v>
      </c>
      <c r="N225" s="123">
        <v>104.7183</v>
      </c>
      <c r="O225" s="68">
        <v>3237</v>
      </c>
      <c r="P225" s="90">
        <v>-0.58289999999999997</v>
      </c>
      <c r="Q225" s="90">
        <v>0.56630000000000003</v>
      </c>
      <c r="R225" s="95">
        <f>((K225-D225)/D225)</f>
        <v>6.0826560864073988E-2</v>
      </c>
      <c r="S225" s="95">
        <f t="shared" ref="S225" si="152">((N225-G225)/G225)</f>
        <v>-1.1179182302161752E-2</v>
      </c>
      <c r="T225" s="95">
        <f t="shared" ref="T225" si="153">((O225-H225)/H225)</f>
        <v>3.4185303514377E-2</v>
      </c>
      <c r="U225" s="95">
        <f t="shared" ref="U225" si="154">P225-I225</f>
        <v>-0.52889999999999993</v>
      </c>
      <c r="V225" s="96">
        <f t="shared" ref="V225" si="155">Q225-J225</f>
        <v>-3.3100000000000018E-2</v>
      </c>
    </row>
    <row r="226" spans="1:22">
      <c r="A226" s="82">
        <v>192</v>
      </c>
      <c r="B226" s="62" t="s">
        <v>283</v>
      </c>
      <c r="C226" s="63" t="s">
        <v>261</v>
      </c>
      <c r="D226" s="70">
        <v>276437105.33999997</v>
      </c>
      <c r="E226" s="65">
        <f t="shared" ref="E226" si="156">(D226/$D$228)</f>
        <v>3.798681714865965E-3</v>
      </c>
      <c r="F226" s="69">
        <v>1230.0899999999999</v>
      </c>
      <c r="G226" s="69">
        <v>1230.0899999999999</v>
      </c>
      <c r="H226" s="66">
        <v>157</v>
      </c>
      <c r="I226" s="89">
        <v>4.7800000000000002E-2</v>
      </c>
      <c r="J226" s="89">
        <v>0.15989999999999999</v>
      </c>
      <c r="K226" s="70">
        <v>274578799.73000002</v>
      </c>
      <c r="L226" s="65">
        <f t="shared" ref="L226" si="157">(K226/$K$228)</f>
        <v>3.7506566108677715E-3</v>
      </c>
      <c r="M226" s="69">
        <v>1210.8900000000001</v>
      </c>
      <c r="N226" s="69">
        <v>1210.8900000000001</v>
      </c>
      <c r="O226" s="66">
        <v>167</v>
      </c>
      <c r="P226" s="89">
        <v>-1.5599999999999999E-2</v>
      </c>
      <c r="Q226" s="89">
        <v>9.6199999999999994E-2</v>
      </c>
      <c r="R226" s="95">
        <f t="shared" ref="R226" si="158">((K226-D226)/D226)</f>
        <v>-6.722345061869887E-3</v>
      </c>
      <c r="S226" s="95">
        <f t="shared" ref="S226" si="159">((N226-G226)/G226)</f>
        <v>-1.560861400385323E-2</v>
      </c>
      <c r="T226" s="95">
        <f t="shared" ref="T226" si="160">((O226-H226)/H226)</f>
        <v>6.3694267515923567E-2</v>
      </c>
      <c r="U226" s="95">
        <f t="shared" ref="U226" si="161">P226-I226</f>
        <v>-6.3399999999999998E-2</v>
      </c>
      <c r="V226" s="96">
        <f t="shared" ref="V226" si="162">Q226-J226</f>
        <v>-6.3699999999999993E-2</v>
      </c>
    </row>
    <row r="227" spans="1:22">
      <c r="A227" s="82">
        <v>193</v>
      </c>
      <c r="B227" s="62" t="s">
        <v>284</v>
      </c>
      <c r="C227" s="63" t="s">
        <v>285</v>
      </c>
      <c r="D227" s="70">
        <v>138054620.21000001</v>
      </c>
      <c r="E227" s="65">
        <f t="shared" ref="E227" si="163">(D227/$D$228)</f>
        <v>1.8970881669430101E-3</v>
      </c>
      <c r="F227" s="69">
        <v>110.53</v>
      </c>
      <c r="G227" s="69">
        <v>112.8</v>
      </c>
      <c r="H227" s="66">
        <v>311</v>
      </c>
      <c r="I227" s="89">
        <v>2.5000000000000001E-3</v>
      </c>
      <c r="J227" s="89">
        <v>5.3999999999999999E-2</v>
      </c>
      <c r="K227" s="70">
        <v>137230694.71000001</v>
      </c>
      <c r="L227" s="65">
        <f t="shared" ref="L227" si="164">(K227/$K$228)</f>
        <v>1.874526412214492E-3</v>
      </c>
      <c r="M227" s="69">
        <v>110.78</v>
      </c>
      <c r="N227" s="69">
        <v>113.06</v>
      </c>
      <c r="O227" s="66">
        <v>312</v>
      </c>
      <c r="P227" s="89">
        <v>2.2000000000000001E-3</v>
      </c>
      <c r="Q227" s="89">
        <v>5.5899999999999998E-2</v>
      </c>
      <c r="R227" s="95">
        <f t="shared" ref="R227" si="165">((K227-D227)/D227)</f>
        <v>-5.9681124669836933E-3</v>
      </c>
      <c r="S227" s="95">
        <f t="shared" ref="S227" si="166">((N227-G227)/G227)</f>
        <v>2.3049645390071376E-3</v>
      </c>
      <c r="T227" s="95">
        <f t="shared" ref="T227" si="167">((O227-H227)/H227)</f>
        <v>3.2154340836012861E-3</v>
      </c>
      <c r="U227" s="95">
        <f t="shared" ref="U227" si="168">P227-I227</f>
        <v>-2.9999999999999992E-4</v>
      </c>
      <c r="V227" s="96">
        <f t="shared" ref="V227" si="169">Q227-J227</f>
        <v>1.8999999999999989E-3</v>
      </c>
    </row>
    <row r="228" spans="1:22">
      <c r="A228" s="73"/>
      <c r="B228" s="74"/>
      <c r="C228" s="111" t="s">
        <v>57</v>
      </c>
      <c r="D228" s="99">
        <f>SUM(D204:D227)</f>
        <v>72771852471.391891</v>
      </c>
      <c r="E228" s="77">
        <f>(D228/$D$229)</f>
        <v>1.0242745137924957E-2</v>
      </c>
      <c r="F228" s="78"/>
      <c r="G228" s="114"/>
      <c r="H228" s="125">
        <f>SUM(H204:H227)</f>
        <v>38833</v>
      </c>
      <c r="I228" s="117"/>
      <c r="J228" s="117"/>
      <c r="K228" s="99">
        <f>SUM(K204:K227)</f>
        <v>73208194782.318939</v>
      </c>
      <c r="L228" s="77">
        <f>(K228/$K$229)</f>
        <v>1.0222604600269726E-2</v>
      </c>
      <c r="M228" s="78"/>
      <c r="N228" s="114"/>
      <c r="O228" s="80">
        <f>SUM(O204:O227)</f>
        <v>39208</v>
      </c>
      <c r="P228" s="117"/>
      <c r="Q228" s="117"/>
      <c r="R228" s="95">
        <f t="shared" si="137"/>
        <v>5.9960313790085647E-3</v>
      </c>
      <c r="S228" s="95" t="e">
        <f t="shared" si="138"/>
        <v>#DIV/0!</v>
      </c>
      <c r="T228" s="95">
        <f t="shared" si="139"/>
        <v>9.6567352509463605E-3</v>
      </c>
      <c r="U228" s="95">
        <f t="shared" si="140"/>
        <v>0</v>
      </c>
      <c r="V228" s="96">
        <f t="shared" si="141"/>
        <v>0</v>
      </c>
    </row>
    <row r="229" spans="1:22">
      <c r="A229" s="126"/>
      <c r="B229" s="126"/>
      <c r="C229" s="127" t="s">
        <v>286</v>
      </c>
      <c r="D229" s="128">
        <f>SUM(D25,D71,D113,D155,D164,D195,D200,D228)</f>
        <v>7104721585031.5</v>
      </c>
      <c r="E229" s="129"/>
      <c r="F229" s="129"/>
      <c r="G229" s="130"/>
      <c r="H229" s="128">
        <f>SUM(H25,H71,H113,H155,H164,H195,H200,H228)</f>
        <v>1054236</v>
      </c>
      <c r="I229" s="140"/>
      <c r="J229" s="140"/>
      <c r="K229" s="128">
        <f>SUM(K25,K71,K113,K155,K164,K195,K200,K228)</f>
        <v>7161403345326.2314</v>
      </c>
      <c r="L229" s="129"/>
      <c r="M229" s="129"/>
      <c r="N229" s="130"/>
      <c r="O229" s="128">
        <f>SUM(O25,O71,O113,O155,O164,O195,O200,O228)</f>
        <v>1060885</v>
      </c>
      <c r="P229" s="141"/>
      <c r="Q229" s="128"/>
      <c r="R229" s="145">
        <f t="shared" si="137"/>
        <v>7.9780410275542332E-3</v>
      </c>
      <c r="S229" s="145"/>
      <c r="T229" s="145"/>
      <c r="U229" s="145"/>
      <c r="V229" s="145"/>
    </row>
    <row r="230" spans="1:22" ht="6.75" customHeight="1">
      <c r="A230" s="73"/>
      <c r="B230" s="187"/>
      <c r="C230" s="187"/>
      <c r="D230" s="187"/>
      <c r="E230" s="187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74"/>
    </row>
    <row r="231" spans="1:22" ht="14.4" customHeight="1">
      <c r="A231" s="185" t="s">
        <v>287</v>
      </c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</row>
    <row r="232" spans="1:22" ht="14.4" customHeight="1">
      <c r="A232" s="82">
        <v>1</v>
      </c>
      <c r="B232" s="62" t="s">
        <v>288</v>
      </c>
      <c r="C232" s="63" t="s">
        <v>25</v>
      </c>
      <c r="D232" s="70">
        <v>1778775742.75456</v>
      </c>
      <c r="E232" s="65">
        <f t="shared" ref="E232:E235" si="170">(D232/$D$228)</f>
        <v>2.4443183488476308E-2</v>
      </c>
      <c r="F232" s="69">
        <v>1458.4150449399999</v>
      </c>
      <c r="G232" s="69">
        <v>1458.4150449399999</v>
      </c>
      <c r="H232" s="66">
        <v>49</v>
      </c>
      <c r="I232" s="89">
        <v>4.58E-2</v>
      </c>
      <c r="J232" s="89">
        <v>4.7600000000000003E-2</v>
      </c>
      <c r="K232" s="70">
        <f>1258957.83*W136</f>
        <v>1808590869.714174</v>
      </c>
      <c r="L232" s="65">
        <f>(K232/$K$237)</f>
        <v>9.743226368961011E-2</v>
      </c>
      <c r="M232" s="69">
        <f>1.0258*W136</f>
        <v>1473.64150724</v>
      </c>
      <c r="N232" s="69">
        <f>1.0258*W136</f>
        <v>1473.64150724</v>
      </c>
      <c r="O232" s="66">
        <v>49</v>
      </c>
      <c r="P232" s="89">
        <v>0</v>
      </c>
      <c r="Q232" s="89">
        <v>4.5900000000000003E-2</v>
      </c>
      <c r="R232" s="95">
        <f t="shared" ref="R232" si="171">((K232-D232)/D232)</f>
        <v>1.6761599701963108E-2</v>
      </c>
      <c r="S232" s="95">
        <f t="shared" ref="S232" si="172">((N232-G232)/G232)</f>
        <v>1.0440417734875E-2</v>
      </c>
      <c r="T232" s="95">
        <f t="shared" ref="T232" si="173">((O232-H232)/H232)</f>
        <v>0</v>
      </c>
      <c r="U232" s="95">
        <f t="shared" ref="U232" si="174">P232-I232</f>
        <v>-4.58E-2</v>
      </c>
      <c r="V232" s="96">
        <f t="shared" ref="V232" si="175">Q232-J232</f>
        <v>-1.7000000000000001E-3</v>
      </c>
    </row>
    <row r="233" spans="1:22" ht="14.4" customHeight="1">
      <c r="A233" s="82">
        <v>2</v>
      </c>
      <c r="B233" s="62" t="s">
        <v>289</v>
      </c>
      <c r="C233" s="63" t="s">
        <v>217</v>
      </c>
      <c r="D233" s="70">
        <v>4000540113.5707598</v>
      </c>
      <c r="E233" s="65">
        <f t="shared" ref="E233" si="176">(D233/$D$228)</f>
        <v>5.497372923333859E-2</v>
      </c>
      <c r="F233" s="69">
        <v>123.2</v>
      </c>
      <c r="G233" s="69">
        <v>123.2</v>
      </c>
      <c r="H233" s="66">
        <v>9</v>
      </c>
      <c r="I233" s="89">
        <v>0.26779999999999998</v>
      </c>
      <c r="J233" s="89">
        <v>0.26869999999999999</v>
      </c>
      <c r="K233" s="70">
        <v>4021086962.0555801</v>
      </c>
      <c r="L233" s="65">
        <f>(K233/$K$237)</f>
        <v>0.21662367745324801</v>
      </c>
      <c r="M233" s="69">
        <v>123.2</v>
      </c>
      <c r="N233" s="69">
        <v>123.2</v>
      </c>
      <c r="O233" s="66">
        <v>9</v>
      </c>
      <c r="P233" s="89">
        <v>0.26640000000000003</v>
      </c>
      <c r="Q233" s="89">
        <v>0.26729999999999998</v>
      </c>
      <c r="R233" s="95">
        <f t="shared" ref="R233" si="177">((K233-D233)/D233)</f>
        <v>5.1360186128669707E-3</v>
      </c>
      <c r="S233" s="95">
        <f t="shared" ref="S233" si="178">((N233-G233)/G233)</f>
        <v>0</v>
      </c>
      <c r="T233" s="95">
        <f t="shared" ref="T233" si="179">((O233-H233)/H233)</f>
        <v>0</v>
      </c>
      <c r="U233" s="95">
        <f t="shared" ref="U233" si="180">P233-I233</f>
        <v>-1.3999999999999568E-3</v>
      </c>
      <c r="V233" s="96">
        <f t="shared" ref="V233" si="181">Q233-J233</f>
        <v>-1.4000000000000123E-3</v>
      </c>
    </row>
    <row r="234" spans="1:22" ht="14.4" customHeight="1">
      <c r="A234" s="174">
        <v>3</v>
      </c>
      <c r="B234" s="175" t="s">
        <v>290</v>
      </c>
      <c r="C234" s="176" t="s">
        <v>33</v>
      </c>
      <c r="D234" s="70">
        <v>570401791.58801997</v>
      </c>
      <c r="E234" s="65">
        <f t="shared" si="170"/>
        <v>7.8382200289906952E-3</v>
      </c>
      <c r="F234" s="69">
        <v>153746.347202</v>
      </c>
      <c r="G234" s="69">
        <v>153746.347202</v>
      </c>
      <c r="H234" s="66">
        <v>5</v>
      </c>
      <c r="I234" s="89">
        <v>7.7000000000000002E-3</v>
      </c>
      <c r="J234" s="89">
        <v>8.14E-2</v>
      </c>
      <c r="K234" s="70">
        <f>399028.1*W136</f>
        <v>573234910.03618002</v>
      </c>
      <c r="L234" s="65">
        <f>(K234/$K$237)</f>
        <v>3.0881265545458433E-2</v>
      </c>
      <c r="M234" s="69">
        <f>107.56*W136</f>
        <v>154518.30816800002</v>
      </c>
      <c r="N234" s="69">
        <f>107.56*W136</f>
        <v>154518.30816800002</v>
      </c>
      <c r="O234" s="66">
        <v>5</v>
      </c>
      <c r="P234" s="89">
        <v>-5.4000000000000003E-3</v>
      </c>
      <c r="Q234" s="89">
        <v>7.5600000000000001E-2</v>
      </c>
      <c r="R234" s="95">
        <f t="shared" ref="R234:R235" si="182">((K234-D234)/D234)</f>
        <v>4.9668820994978723E-3</v>
      </c>
      <c r="S234" s="95">
        <f t="shared" ref="S234:S235" si="183">((N234-G234)/G234)</f>
        <v>5.0210036208910413E-3</v>
      </c>
      <c r="T234" s="95">
        <f t="shared" ref="T234:T235" si="184">((O234-H234)/H234)</f>
        <v>0</v>
      </c>
      <c r="U234" s="95">
        <f t="shared" ref="U234:U235" si="185">P234-I234</f>
        <v>-1.3100000000000001E-2</v>
      </c>
      <c r="V234" s="96">
        <f t="shared" ref="V234:V235" si="186">Q234-J234</f>
        <v>-5.7999999999999996E-3</v>
      </c>
    </row>
    <row r="235" spans="1:22" ht="14.4" customHeight="1">
      <c r="A235" s="174">
        <v>4</v>
      </c>
      <c r="B235" s="175" t="s">
        <v>291</v>
      </c>
      <c r="C235" s="176" t="s">
        <v>43</v>
      </c>
      <c r="D235" s="70">
        <v>11985957913.370001</v>
      </c>
      <c r="E235" s="65">
        <f t="shared" si="170"/>
        <v>0.16470596125173434</v>
      </c>
      <c r="F235" s="69">
        <v>1.24</v>
      </c>
      <c r="G235" s="69">
        <v>1.24</v>
      </c>
      <c r="H235" s="66">
        <v>16</v>
      </c>
      <c r="I235" s="89">
        <v>3.3E-3</v>
      </c>
      <c r="J235" s="89">
        <v>0.2293</v>
      </c>
      <c r="K235" s="70">
        <v>11993834583.98</v>
      </c>
      <c r="L235" s="65">
        <f>(K235/$K$237)</f>
        <v>0.64613090412238205</v>
      </c>
      <c r="M235" s="69">
        <v>1.24</v>
      </c>
      <c r="N235" s="69">
        <v>1.24</v>
      </c>
      <c r="O235" s="66">
        <v>16</v>
      </c>
      <c r="P235" s="89">
        <v>5.9999999999999995E-4</v>
      </c>
      <c r="Q235" s="89">
        <v>0.22500000000000001</v>
      </c>
      <c r="R235" s="95">
        <f t="shared" si="182"/>
        <v>6.5715820687243501E-4</v>
      </c>
      <c r="S235" s="95">
        <f t="shared" si="183"/>
        <v>0</v>
      </c>
      <c r="T235" s="95">
        <f t="shared" si="184"/>
        <v>0</v>
      </c>
      <c r="U235" s="95">
        <f t="shared" si="185"/>
        <v>-2.7000000000000001E-3</v>
      </c>
      <c r="V235" s="96">
        <f t="shared" si="186"/>
        <v>-4.2999999999999983E-3</v>
      </c>
    </row>
    <row r="236" spans="1:22" ht="14.4" customHeight="1">
      <c r="A236" s="82">
        <v>5</v>
      </c>
      <c r="B236" s="62" t="s">
        <v>292</v>
      </c>
      <c r="C236" s="63" t="s">
        <v>54</v>
      </c>
      <c r="D236" s="70">
        <v>167986761.94999999</v>
      </c>
      <c r="E236" s="65">
        <f t="shared" ref="E236" si="187">(D236/$D$228)</f>
        <v>2.3084029916105135E-3</v>
      </c>
      <c r="F236" s="69">
        <v>1.1054999999999999</v>
      </c>
      <c r="G236" s="69">
        <v>1.1054999999999999</v>
      </c>
      <c r="H236" s="66">
        <v>15</v>
      </c>
      <c r="I236" s="89">
        <v>-8.2000000000000007E-3</v>
      </c>
      <c r="J236" s="89">
        <v>0.10589999999999999</v>
      </c>
      <c r="K236" s="70">
        <v>165798603.31</v>
      </c>
      <c r="L236" s="65">
        <f>(K236/$K$237)</f>
        <v>8.9318891893012554E-3</v>
      </c>
      <c r="M236" s="69">
        <v>1.0911</v>
      </c>
      <c r="N236" s="69">
        <v>1.0911</v>
      </c>
      <c r="O236" s="66">
        <v>15</v>
      </c>
      <c r="P236" s="89">
        <v>-1.34E-2</v>
      </c>
      <c r="Q236" s="89">
        <v>9.11E-2</v>
      </c>
      <c r="R236" s="95">
        <f t="shared" ref="R236:R237" si="188">((K236-D236)/D236)</f>
        <v>-1.3025780213867535E-2</v>
      </c>
      <c r="S236" s="95">
        <f t="shared" ref="S236" si="189">((N236-G236)/G236)</f>
        <v>-1.3025780189959266E-2</v>
      </c>
      <c r="T236" s="95">
        <f t="shared" ref="T236" si="190">((O236-H236)/H236)</f>
        <v>0</v>
      </c>
      <c r="U236" s="95">
        <f t="shared" ref="U236" si="191">P236-I236</f>
        <v>-5.1999999999999998E-3</v>
      </c>
      <c r="V236" s="96">
        <f t="shared" ref="V236" si="192">Q236-J236</f>
        <v>-1.4799999999999994E-2</v>
      </c>
    </row>
    <row r="237" spans="1:22" ht="14.4" customHeight="1">
      <c r="A237" s="131"/>
      <c r="B237" s="131"/>
      <c r="C237" s="131" t="s">
        <v>57</v>
      </c>
      <c r="D237" s="131">
        <f>SUM(D232:D236)</f>
        <v>18503662323.233341</v>
      </c>
      <c r="E237" s="131"/>
      <c r="F237" s="131"/>
      <c r="G237" s="131"/>
      <c r="H237" s="131">
        <f>SUM(H232:H236)</f>
        <v>94</v>
      </c>
      <c r="I237" s="131"/>
      <c r="J237" s="131"/>
      <c r="K237" s="131">
        <f>SUM(K232:K236)</f>
        <v>18562545929.095936</v>
      </c>
      <c r="L237" s="77"/>
      <c r="M237" s="131"/>
      <c r="N237" s="131"/>
      <c r="O237" s="131">
        <f>SUM(O232:O236)</f>
        <v>94</v>
      </c>
      <c r="P237" s="131"/>
      <c r="Q237" s="131"/>
      <c r="R237" s="145">
        <f t="shared" si="188"/>
        <v>3.1822676416149195E-3</v>
      </c>
      <c r="S237" s="131"/>
      <c r="T237" s="131"/>
      <c r="U237" s="131"/>
      <c r="V237" s="131"/>
    </row>
    <row r="238" spans="1:22" ht="6" customHeight="1">
      <c r="A238" s="73"/>
      <c r="B238" s="81"/>
      <c r="C238" s="11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74"/>
    </row>
    <row r="239" spans="1:22" ht="15.6">
      <c r="A239" s="185" t="s">
        <v>293</v>
      </c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</row>
    <row r="240" spans="1:22">
      <c r="A240" s="174">
        <v>1</v>
      </c>
      <c r="B240" s="175" t="s">
        <v>294</v>
      </c>
      <c r="C240" s="176" t="s">
        <v>295</v>
      </c>
      <c r="D240" s="70">
        <v>114390469985</v>
      </c>
      <c r="E240" s="65">
        <f>(D240/$D$242)</f>
        <v>0.88452522126966204</v>
      </c>
      <c r="F240" s="100">
        <v>108.35</v>
      </c>
      <c r="G240" s="100">
        <v>108.35</v>
      </c>
      <c r="H240" s="66">
        <v>0</v>
      </c>
      <c r="I240" s="89">
        <v>0.23899999999999999</v>
      </c>
      <c r="J240" s="89">
        <v>0.23899999999999999</v>
      </c>
      <c r="K240" s="70">
        <v>114390469985</v>
      </c>
      <c r="L240" s="65">
        <f>(K240/$K$242)</f>
        <v>0.88435232426969845</v>
      </c>
      <c r="M240" s="100">
        <v>108.35</v>
      </c>
      <c r="N240" s="100">
        <v>108.35</v>
      </c>
      <c r="O240" s="66">
        <v>0</v>
      </c>
      <c r="P240" s="89">
        <v>0.23899999999999999</v>
      </c>
      <c r="Q240" s="89">
        <v>0.23899999999999999</v>
      </c>
      <c r="R240" s="95">
        <f>((K240-D240)/D240)</f>
        <v>0</v>
      </c>
      <c r="S240" s="95">
        <f>((N240-G240)/G240)</f>
        <v>0</v>
      </c>
      <c r="T240" s="95" t="e">
        <f>((O240-H240)/H240)</f>
        <v>#DIV/0!</v>
      </c>
      <c r="U240" s="95">
        <f>P240-I240</f>
        <v>0</v>
      </c>
      <c r="V240" s="96">
        <f>Q240-J240</f>
        <v>0</v>
      </c>
    </row>
    <row r="241" spans="1:22" ht="14.4" customHeight="1">
      <c r="A241" s="82">
        <v>2</v>
      </c>
      <c r="B241" s="62" t="s">
        <v>296</v>
      </c>
      <c r="C241" s="63" t="s">
        <v>54</v>
      </c>
      <c r="D241" s="70">
        <v>14933677291.209999</v>
      </c>
      <c r="E241" s="65">
        <f>(D241/$D$242)</f>
        <v>0.11547477873033805</v>
      </c>
      <c r="F241" s="132">
        <v>1000000</v>
      </c>
      <c r="G241" s="132">
        <v>1000000</v>
      </c>
      <c r="H241" s="66">
        <v>26</v>
      </c>
      <c r="I241" s="89">
        <v>0.2117</v>
      </c>
      <c r="J241" s="89">
        <v>0.2117</v>
      </c>
      <c r="K241" s="70">
        <v>14958961057.049999</v>
      </c>
      <c r="L241" s="65">
        <f>(K241/$K$242)</f>
        <v>0.11564767573030155</v>
      </c>
      <c r="M241" s="132">
        <v>1000000</v>
      </c>
      <c r="N241" s="132">
        <v>1000000</v>
      </c>
      <c r="O241" s="66">
        <v>26</v>
      </c>
      <c r="P241" s="89">
        <v>0.22170000000000001</v>
      </c>
      <c r="Q241" s="89">
        <v>0.22170000000000001</v>
      </c>
      <c r="R241" s="95">
        <f>((K241-D241)/D241)</f>
        <v>1.6930703233343767E-3</v>
      </c>
      <c r="S241" s="95">
        <f>((N241-G241)/G241)</f>
        <v>0</v>
      </c>
      <c r="T241" s="95">
        <f>((O241-H241)/H241)</f>
        <v>0</v>
      </c>
      <c r="U241" s="95">
        <f>P241-I241</f>
        <v>1.0000000000000009E-2</v>
      </c>
      <c r="V241" s="96">
        <f>Q241-J241</f>
        <v>1.0000000000000009E-2</v>
      </c>
    </row>
    <row r="242" spans="1:22" ht="15" customHeight="1">
      <c r="A242" s="126"/>
      <c r="B242" s="126"/>
      <c r="C242" s="127" t="s">
        <v>297</v>
      </c>
      <c r="D242" s="131">
        <f>SUM(D240:D241)</f>
        <v>129324147276.20999</v>
      </c>
      <c r="E242" s="133"/>
      <c r="F242" s="134"/>
      <c r="G242" s="134"/>
      <c r="H242" s="131">
        <f>SUM(H240:H241)</f>
        <v>26</v>
      </c>
      <c r="I242" s="142"/>
      <c r="J242" s="142"/>
      <c r="K242" s="131">
        <f>SUM(K240:K241)</f>
        <v>129349431042.05</v>
      </c>
      <c r="L242" s="133"/>
      <c r="M242" s="134"/>
      <c r="N242" s="134"/>
      <c r="O242" s="131">
        <f>SUM(O240:O241)</f>
        <v>26</v>
      </c>
      <c r="P242" s="142"/>
      <c r="Q242" s="131"/>
      <c r="R242" s="145">
        <f>((K242-D242)/D242)</f>
        <v>1.9550692096202755E-4</v>
      </c>
      <c r="S242" s="146"/>
      <c r="T242" s="146"/>
      <c r="U242" s="145"/>
      <c r="V242" s="147"/>
    </row>
    <row r="243" spans="1:22" ht="4.5" customHeight="1">
      <c r="A243" s="73"/>
      <c r="B243" s="186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</row>
    <row r="244" spans="1:22" ht="15.6">
      <c r="A244" s="185" t="s">
        <v>298</v>
      </c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</row>
    <row r="245" spans="1:22">
      <c r="A245" s="174">
        <v>1</v>
      </c>
      <c r="B245" s="175" t="s">
        <v>299</v>
      </c>
      <c r="C245" s="176" t="s">
        <v>95</v>
      </c>
      <c r="D245" s="135">
        <v>1460797212.1600001</v>
      </c>
      <c r="E245" s="136">
        <f t="shared" ref="E245:E256" si="193">(D245/$D$257)</f>
        <v>8.1290559553930219E-2</v>
      </c>
      <c r="F245" s="132">
        <v>356.93470000000002</v>
      </c>
      <c r="G245" s="132">
        <v>356.93470000000002</v>
      </c>
      <c r="H245" s="137">
        <v>266</v>
      </c>
      <c r="I245" s="91">
        <v>-1.12E-2</v>
      </c>
      <c r="J245" s="91">
        <v>0.46389999999999998</v>
      </c>
      <c r="K245" s="135">
        <v>1424283201.52</v>
      </c>
      <c r="L245" s="136">
        <f t="shared" ref="L245:L256" si="194">(K245/$K$257)</f>
        <v>8.1900990948299945E-2</v>
      </c>
      <c r="M245" s="132">
        <v>348.01282443999997</v>
      </c>
      <c r="N245" s="132">
        <v>348.01282443999997</v>
      </c>
      <c r="O245" s="137">
        <v>266</v>
      </c>
      <c r="P245" s="91">
        <v>-2.4899999999999999E-2</v>
      </c>
      <c r="Q245" s="91">
        <v>0.42730000000000001</v>
      </c>
      <c r="R245" s="95">
        <f>((K245-D245)/D245)</f>
        <v>-2.4995947648345288E-2</v>
      </c>
      <c r="S245" s="95">
        <f>((N245-G245)/G245)</f>
        <v>-2.4995820131805749E-2</v>
      </c>
      <c r="T245" s="95">
        <f>((O245-H245)/H245)</f>
        <v>0</v>
      </c>
      <c r="U245" s="95">
        <f>P245-I245</f>
        <v>-1.3699999999999999E-2</v>
      </c>
      <c r="V245" s="96">
        <f>Q245-J245</f>
        <v>-3.6599999999999966E-2</v>
      </c>
    </row>
    <row r="246" spans="1:22">
      <c r="A246" s="82">
        <v>2</v>
      </c>
      <c r="B246" s="62" t="s">
        <v>300</v>
      </c>
      <c r="C246" s="63" t="s">
        <v>261</v>
      </c>
      <c r="D246" s="135">
        <v>2106285808</v>
      </c>
      <c r="E246" s="136">
        <f t="shared" si="193"/>
        <v>0.11721076032151428</v>
      </c>
      <c r="F246" s="132">
        <v>59.46</v>
      </c>
      <c r="G246" s="132">
        <v>65.72</v>
      </c>
      <c r="H246" s="137">
        <v>359</v>
      </c>
      <c r="I246" s="91">
        <v>9.4200000000000006E-2</v>
      </c>
      <c r="J246" s="91">
        <v>0.95420000000000005</v>
      </c>
      <c r="K246" s="135">
        <v>2021937480.24</v>
      </c>
      <c r="L246" s="136">
        <f t="shared" si="194"/>
        <v>0.11626808705630816</v>
      </c>
      <c r="M246" s="132">
        <v>57.51</v>
      </c>
      <c r="N246" s="132">
        <v>63.56</v>
      </c>
      <c r="O246" s="137">
        <v>359</v>
      </c>
      <c r="P246" s="91">
        <v>-3.2800000000000003E-2</v>
      </c>
      <c r="Q246" s="91">
        <v>0.876</v>
      </c>
      <c r="R246" s="95">
        <f t="shared" ref="R246:R257" si="195">((K246-D246)/D246)</f>
        <v>-4.0046002987643922E-2</v>
      </c>
      <c r="S246" s="95">
        <f t="shared" ref="S246:S257" si="196">((N246-G246)/G246)</f>
        <v>-3.2866707242848396E-2</v>
      </c>
      <c r="T246" s="95">
        <f t="shared" ref="T246:T257" si="197">((O246-H246)/H246)</f>
        <v>0</v>
      </c>
      <c r="U246" s="95">
        <f t="shared" ref="U246:U257" si="198">P246-I246</f>
        <v>-0.127</v>
      </c>
      <c r="V246" s="96">
        <f t="shared" ref="V246:V257" si="199">Q246-J246</f>
        <v>-7.8200000000000047E-2</v>
      </c>
    </row>
    <row r="247" spans="1:22">
      <c r="A247" s="82">
        <v>3</v>
      </c>
      <c r="B247" s="62" t="s">
        <v>301</v>
      </c>
      <c r="C247" s="63" t="s">
        <v>45</v>
      </c>
      <c r="D247" s="135">
        <v>491588849.95999998</v>
      </c>
      <c r="E247" s="136">
        <f t="shared" si="193"/>
        <v>2.7355975457149549E-2</v>
      </c>
      <c r="F247" s="132">
        <v>40.96</v>
      </c>
      <c r="G247" s="132">
        <v>41.31</v>
      </c>
      <c r="H247" s="137">
        <v>218</v>
      </c>
      <c r="I247" s="91">
        <v>1.1599999999999999E-2</v>
      </c>
      <c r="J247" s="91">
        <v>0.28260000000000002</v>
      </c>
      <c r="K247" s="135">
        <v>477588227.67000002</v>
      </c>
      <c r="L247" s="136">
        <f t="shared" si="194"/>
        <v>2.7462901387639536E-2</v>
      </c>
      <c r="M247" s="132">
        <v>40.271411000000001</v>
      </c>
      <c r="N247" s="132">
        <v>40.482191999999998</v>
      </c>
      <c r="O247" s="137">
        <v>218</v>
      </c>
      <c r="P247" s="91">
        <v>-2.8500000000000001E-2</v>
      </c>
      <c r="Q247" s="91">
        <v>0.24610000000000001</v>
      </c>
      <c r="R247" s="95">
        <f t="shared" si="195"/>
        <v>-2.8480349566795862E-2</v>
      </c>
      <c r="S247" s="95">
        <f t="shared" si="196"/>
        <v>-2.0038925199709623E-2</v>
      </c>
      <c r="T247" s="95">
        <f t="shared" si="197"/>
        <v>0</v>
      </c>
      <c r="U247" s="95">
        <f t="shared" si="198"/>
        <v>-4.0099999999999997E-2</v>
      </c>
      <c r="V247" s="96">
        <f t="shared" si="199"/>
        <v>-3.6500000000000005E-2</v>
      </c>
    </row>
    <row r="248" spans="1:22">
      <c r="A248" s="82">
        <v>4</v>
      </c>
      <c r="B248" s="62" t="s">
        <v>302</v>
      </c>
      <c r="C248" s="63" t="s">
        <v>45</v>
      </c>
      <c r="D248" s="135">
        <v>971744838.5</v>
      </c>
      <c r="E248" s="136">
        <f t="shared" si="193"/>
        <v>5.4075734131847741E-2</v>
      </c>
      <c r="F248" s="132">
        <v>82.515958999999995</v>
      </c>
      <c r="G248" s="132">
        <v>83.08</v>
      </c>
      <c r="H248" s="137">
        <v>261</v>
      </c>
      <c r="I248" s="91">
        <v>-3.4500000000000003E-2</v>
      </c>
      <c r="J248" s="91">
        <v>9.9199999999999997E-2</v>
      </c>
      <c r="K248" s="135">
        <v>935731258.41999996</v>
      </c>
      <c r="L248" s="136">
        <f t="shared" si="194"/>
        <v>5.3807639691397138E-2</v>
      </c>
      <c r="M248" s="132">
        <v>80.905598999999995</v>
      </c>
      <c r="N248" s="132">
        <v>81.154991999999993</v>
      </c>
      <c r="O248" s="137">
        <v>261</v>
      </c>
      <c r="P248" s="91">
        <v>-3.7100000000000001E-2</v>
      </c>
      <c r="Q248" s="91">
        <v>5.8500000000000003E-2</v>
      </c>
      <c r="R248" s="95">
        <f t="shared" si="195"/>
        <v>-3.7060737194746667E-2</v>
      </c>
      <c r="S248" s="95">
        <f t="shared" si="196"/>
        <v>-2.3170534424651005E-2</v>
      </c>
      <c r="T248" s="95">
        <f t="shared" si="197"/>
        <v>0</v>
      </c>
      <c r="U248" s="95">
        <f t="shared" si="198"/>
        <v>-2.5999999999999981E-3</v>
      </c>
      <c r="V248" s="96">
        <f t="shared" si="199"/>
        <v>-4.0699999999999993E-2</v>
      </c>
    </row>
    <row r="249" spans="1:22">
      <c r="A249" s="82">
        <v>5</v>
      </c>
      <c r="B249" s="62" t="s">
        <v>303</v>
      </c>
      <c r="C249" s="63" t="s">
        <v>304</v>
      </c>
      <c r="D249" s="135">
        <v>1784665620.75</v>
      </c>
      <c r="E249" s="136">
        <f t="shared" si="193"/>
        <v>9.9313214537775002E-2</v>
      </c>
      <c r="F249" s="132">
        <v>53100</v>
      </c>
      <c r="G249" s="132">
        <v>59625</v>
      </c>
      <c r="H249" s="137">
        <v>306</v>
      </c>
      <c r="I249" s="91">
        <v>-4.7E-2</v>
      </c>
      <c r="J249" s="91">
        <v>0.42</v>
      </c>
      <c r="K249" s="135">
        <v>1790101812.4200001</v>
      </c>
      <c r="L249" s="136">
        <f t="shared" si="194"/>
        <v>0.10293677000408477</v>
      </c>
      <c r="M249" s="132">
        <v>52880</v>
      </c>
      <c r="N249" s="132">
        <v>56300</v>
      </c>
      <c r="O249" s="137">
        <v>313</v>
      </c>
      <c r="P249" s="91">
        <v>3.0000000000000001E-3</v>
      </c>
      <c r="Q249" s="91">
        <v>0.42</v>
      </c>
      <c r="R249" s="95">
        <f t="shared" si="195"/>
        <v>3.0460561389172355E-3</v>
      </c>
      <c r="S249" s="95">
        <f t="shared" si="196"/>
        <v>-5.5765199161425576E-2</v>
      </c>
      <c r="T249" s="95">
        <f t="shared" si="197"/>
        <v>2.2875816993464051E-2</v>
      </c>
      <c r="U249" s="95">
        <f t="shared" si="198"/>
        <v>0.05</v>
      </c>
      <c r="V249" s="96">
        <f t="shared" si="199"/>
        <v>0</v>
      </c>
    </row>
    <row r="250" spans="1:22">
      <c r="A250" s="174">
        <v>6</v>
      </c>
      <c r="B250" s="175" t="s">
        <v>305</v>
      </c>
      <c r="C250" s="176" t="s">
        <v>306</v>
      </c>
      <c r="D250" s="135">
        <v>959652417.13999999</v>
      </c>
      <c r="E250" s="136">
        <f t="shared" si="193"/>
        <v>5.3402814105348792E-2</v>
      </c>
      <c r="F250" s="132">
        <v>498</v>
      </c>
      <c r="G250" s="132">
        <v>498</v>
      </c>
      <c r="H250" s="137">
        <v>156</v>
      </c>
      <c r="I250" s="91">
        <v>-1.21E-2</v>
      </c>
      <c r="J250" s="91">
        <v>0.48249999999999998</v>
      </c>
      <c r="K250" s="135">
        <v>919085124.08000004</v>
      </c>
      <c r="L250" s="136">
        <f t="shared" si="194"/>
        <v>5.2850431955990609E-2</v>
      </c>
      <c r="M250" s="132">
        <v>498</v>
      </c>
      <c r="N250" s="132">
        <v>498</v>
      </c>
      <c r="O250" s="137">
        <v>162</v>
      </c>
      <c r="P250" s="91">
        <v>-4.2200000000000001E-2</v>
      </c>
      <c r="Q250" s="91">
        <v>0.4219</v>
      </c>
      <c r="R250" s="95">
        <f t="shared" si="195"/>
        <v>-4.2272902496197994E-2</v>
      </c>
      <c r="S250" s="95">
        <f t="shared" si="196"/>
        <v>0</v>
      </c>
      <c r="T250" s="95">
        <f t="shared" si="197"/>
        <v>3.8461538461538464E-2</v>
      </c>
      <c r="U250" s="95">
        <f t="shared" si="198"/>
        <v>-3.0100000000000002E-2</v>
      </c>
      <c r="V250" s="96">
        <f t="shared" si="199"/>
        <v>-6.0599999999999987E-2</v>
      </c>
    </row>
    <row r="251" spans="1:22">
      <c r="A251" s="174">
        <v>7</v>
      </c>
      <c r="B251" s="175" t="s">
        <v>307</v>
      </c>
      <c r="C251" s="176" t="s">
        <v>306</v>
      </c>
      <c r="D251" s="135">
        <v>1069405864.45</v>
      </c>
      <c r="E251" s="136">
        <f t="shared" si="193"/>
        <v>5.951038267854613E-2</v>
      </c>
      <c r="F251" s="132">
        <v>510</v>
      </c>
      <c r="G251" s="132">
        <v>510</v>
      </c>
      <c r="H251" s="137">
        <v>925</v>
      </c>
      <c r="I251" s="91">
        <v>-7.1999999999999998E-3</v>
      </c>
      <c r="J251" s="91">
        <v>0.47499999999999998</v>
      </c>
      <c r="K251" s="135">
        <v>1037803694.22</v>
      </c>
      <c r="L251" s="136">
        <f t="shared" si="194"/>
        <v>5.9677142070983652E-2</v>
      </c>
      <c r="M251" s="132">
        <v>570</v>
      </c>
      <c r="N251" s="132">
        <v>550</v>
      </c>
      <c r="O251" s="137">
        <v>1316</v>
      </c>
      <c r="P251" s="91">
        <v>-2.9499999999999998E-2</v>
      </c>
      <c r="Q251" s="91">
        <v>0.43209999999999998</v>
      </c>
      <c r="R251" s="95">
        <f t="shared" si="195"/>
        <v>-2.9551147305754817E-2</v>
      </c>
      <c r="S251" s="95">
        <f t="shared" si="196"/>
        <v>7.8431372549019607E-2</v>
      </c>
      <c r="T251" s="95">
        <f t="shared" si="197"/>
        <v>0.42270270270270272</v>
      </c>
      <c r="U251" s="95">
        <f t="shared" si="198"/>
        <v>-2.23E-2</v>
      </c>
      <c r="V251" s="96">
        <f t="shared" si="199"/>
        <v>-4.2899999999999994E-2</v>
      </c>
    </row>
    <row r="252" spans="1:22">
      <c r="A252" s="82">
        <v>8</v>
      </c>
      <c r="B252" s="62" t="s">
        <v>308</v>
      </c>
      <c r="C252" s="63" t="s">
        <v>309</v>
      </c>
      <c r="D252" s="135">
        <v>126719559.72</v>
      </c>
      <c r="E252" s="136">
        <f t="shared" si="193"/>
        <v>7.0517001472331694E-3</v>
      </c>
      <c r="F252" s="132">
        <v>35.29</v>
      </c>
      <c r="G252" s="132">
        <v>35.39</v>
      </c>
      <c r="H252" s="137">
        <v>155</v>
      </c>
      <c r="I252" s="91">
        <v>1.23E-2</v>
      </c>
      <c r="J252" s="91">
        <v>1.1512</v>
      </c>
      <c r="K252" s="135">
        <v>123390817.78</v>
      </c>
      <c r="L252" s="136">
        <f t="shared" si="194"/>
        <v>7.095379794775457E-3</v>
      </c>
      <c r="M252" s="132">
        <v>34.39</v>
      </c>
      <c r="N252" s="132">
        <v>34.49</v>
      </c>
      <c r="O252" s="137">
        <v>157</v>
      </c>
      <c r="P252" s="91">
        <v>4.0500000000000001E-2</v>
      </c>
      <c r="Q252" s="91">
        <v>1.2383999999999999</v>
      </c>
      <c r="R252" s="95">
        <f t="shared" si="195"/>
        <v>-2.626857248679839E-2</v>
      </c>
      <c r="S252" s="95">
        <f t="shared" si="196"/>
        <v>-2.5430912687199735E-2</v>
      </c>
      <c r="T252" s="95">
        <f t="shared" si="197"/>
        <v>1.2903225806451613E-2</v>
      </c>
      <c r="U252" s="95">
        <f t="shared" si="198"/>
        <v>2.8200000000000003E-2</v>
      </c>
      <c r="V252" s="96">
        <f t="shared" si="199"/>
        <v>8.7199999999999944E-2</v>
      </c>
    </row>
    <row r="253" spans="1:22">
      <c r="A253" s="82">
        <v>9</v>
      </c>
      <c r="B253" s="62" t="s">
        <v>310</v>
      </c>
      <c r="C253" s="63" t="s">
        <v>309</v>
      </c>
      <c r="D253" s="138">
        <v>894725198.09000003</v>
      </c>
      <c r="E253" s="136">
        <f t="shared" si="193"/>
        <v>4.9789739050905849E-2</v>
      </c>
      <c r="F253" s="132">
        <v>14.61</v>
      </c>
      <c r="G253" s="132">
        <v>14.71</v>
      </c>
      <c r="H253" s="137">
        <v>225</v>
      </c>
      <c r="I253" s="91">
        <v>-8.5400000000000004E-2</v>
      </c>
      <c r="J253" s="91">
        <v>0.37609999999999999</v>
      </c>
      <c r="K253" s="138">
        <v>862495555.01999998</v>
      </c>
      <c r="L253" s="136">
        <f t="shared" si="194"/>
        <v>4.9596344722212214E-2</v>
      </c>
      <c r="M253" s="132">
        <v>14.05</v>
      </c>
      <c r="N253" s="132">
        <v>14.15</v>
      </c>
      <c r="O253" s="137">
        <v>230</v>
      </c>
      <c r="P253" s="91">
        <v>0</v>
      </c>
      <c r="Q253" s="91">
        <v>0.37609999999999999</v>
      </c>
      <c r="R253" s="95">
        <f t="shared" si="195"/>
        <v>-3.6021834568649408E-2</v>
      </c>
      <c r="S253" s="95">
        <f t="shared" si="196"/>
        <v>-3.8069340584636333E-2</v>
      </c>
      <c r="T253" s="95">
        <f t="shared" si="197"/>
        <v>2.2222222222222223E-2</v>
      </c>
      <c r="U253" s="95">
        <f t="shared" si="198"/>
        <v>8.5400000000000004E-2</v>
      </c>
      <c r="V253" s="96">
        <f t="shared" si="199"/>
        <v>0</v>
      </c>
    </row>
    <row r="254" spans="1:22" ht="15" customHeight="1">
      <c r="A254" s="82">
        <v>10</v>
      </c>
      <c r="B254" s="62" t="s">
        <v>311</v>
      </c>
      <c r="C254" s="63" t="s">
        <v>309</v>
      </c>
      <c r="D254" s="135">
        <v>144500468.93000001</v>
      </c>
      <c r="E254" s="136">
        <f t="shared" si="193"/>
        <v>8.0411735984600302E-3</v>
      </c>
      <c r="F254" s="132">
        <v>139.83000000000001</v>
      </c>
      <c r="G254" s="132">
        <v>141.83000000000001</v>
      </c>
      <c r="H254" s="137">
        <v>386</v>
      </c>
      <c r="I254" s="91">
        <v>-9.5200000000000007E-2</v>
      </c>
      <c r="J254" s="91">
        <v>-7.3200000000000001E-2</v>
      </c>
      <c r="K254" s="135">
        <v>149933689.24000001</v>
      </c>
      <c r="L254" s="136">
        <f t="shared" si="194"/>
        <v>8.6216826205529219E-3</v>
      </c>
      <c r="M254" s="132">
        <v>145.12</v>
      </c>
      <c r="N254" s="132">
        <v>145.12</v>
      </c>
      <c r="O254" s="137">
        <v>382</v>
      </c>
      <c r="P254" s="91">
        <v>0.1474</v>
      </c>
      <c r="Q254" s="91">
        <v>6.3399999999999998E-2</v>
      </c>
      <c r="R254" s="95">
        <f t="shared" si="195"/>
        <v>3.7600018534417377E-2</v>
      </c>
      <c r="S254" s="95">
        <f t="shared" si="196"/>
        <v>2.3196784883310947E-2</v>
      </c>
      <c r="T254" s="95">
        <f t="shared" si="197"/>
        <v>-1.0362694300518135E-2</v>
      </c>
      <c r="U254" s="95">
        <f t="shared" si="198"/>
        <v>0.24260000000000001</v>
      </c>
      <c r="V254" s="96">
        <f t="shared" si="199"/>
        <v>0.1366</v>
      </c>
    </row>
    <row r="255" spans="1:22">
      <c r="A255" s="82">
        <v>11</v>
      </c>
      <c r="B255" s="62" t="s">
        <v>312</v>
      </c>
      <c r="C255" s="63" t="s">
        <v>309</v>
      </c>
      <c r="D255" s="135">
        <v>7855775346.8500004</v>
      </c>
      <c r="E255" s="136">
        <f t="shared" si="193"/>
        <v>0.43715881188679412</v>
      </c>
      <c r="F255" s="132">
        <v>56.75</v>
      </c>
      <c r="G255" s="132">
        <v>56.95</v>
      </c>
      <c r="H255" s="137">
        <v>496</v>
      </c>
      <c r="I255" s="91">
        <v>-1.8200000000000001E-2</v>
      </c>
      <c r="J255" s="91">
        <v>0.43619999999999998</v>
      </c>
      <c r="K255" s="135">
        <v>7545042553.75</v>
      </c>
      <c r="L255" s="136">
        <f t="shared" si="194"/>
        <v>0.43386488111335025</v>
      </c>
      <c r="M255" s="132">
        <v>55.06</v>
      </c>
      <c r="N255" s="132">
        <v>55.26</v>
      </c>
      <c r="O255" s="137">
        <v>600</v>
      </c>
      <c r="P255" s="91">
        <v>3.6999999999999998E-2</v>
      </c>
      <c r="Q255" s="91">
        <v>0.4894</v>
      </c>
      <c r="R255" s="95">
        <f t="shared" si="195"/>
        <v>-3.9554694397491603E-2</v>
      </c>
      <c r="S255" s="95">
        <f t="shared" si="196"/>
        <v>-2.9675153643547055E-2</v>
      </c>
      <c r="T255" s="95">
        <f t="shared" si="197"/>
        <v>0.20967741935483872</v>
      </c>
      <c r="U255" s="95">
        <f t="shared" si="198"/>
        <v>5.5199999999999999E-2</v>
      </c>
      <c r="V255" s="96">
        <f t="shared" si="199"/>
        <v>5.3200000000000025E-2</v>
      </c>
    </row>
    <row r="256" spans="1:22">
      <c r="A256" s="82">
        <v>12</v>
      </c>
      <c r="B256" s="62" t="s">
        <v>313</v>
      </c>
      <c r="C256" s="63" t="s">
        <v>309</v>
      </c>
      <c r="D256" s="138">
        <v>104210865.34</v>
      </c>
      <c r="E256" s="136">
        <f t="shared" si="193"/>
        <v>5.79913453049499E-3</v>
      </c>
      <c r="F256" s="132">
        <v>59.46</v>
      </c>
      <c r="G256" s="132">
        <v>59.66</v>
      </c>
      <c r="H256" s="137">
        <v>154</v>
      </c>
      <c r="I256" s="91">
        <v>0</v>
      </c>
      <c r="J256" s="91">
        <v>0.4194</v>
      </c>
      <c r="K256" s="138">
        <v>102911452.88</v>
      </c>
      <c r="L256" s="136">
        <f t="shared" si="194"/>
        <v>5.9177486344052215E-3</v>
      </c>
      <c r="M256" s="132">
        <v>58.81</v>
      </c>
      <c r="N256" s="132">
        <v>59.01</v>
      </c>
      <c r="O256" s="137">
        <v>162</v>
      </c>
      <c r="P256" s="91">
        <v>-5.8900000000000001E-2</v>
      </c>
      <c r="Q256" s="91">
        <v>0.3357</v>
      </c>
      <c r="R256" s="95">
        <f t="shared" si="195"/>
        <v>-1.2469068899490709E-2</v>
      </c>
      <c r="S256" s="95">
        <f t="shared" si="196"/>
        <v>-1.0895072075092166E-2</v>
      </c>
      <c r="T256" s="95">
        <f t="shared" si="197"/>
        <v>5.1948051948051951E-2</v>
      </c>
      <c r="U256" s="95">
        <f t="shared" si="198"/>
        <v>-5.8900000000000001E-2</v>
      </c>
      <c r="V256" s="96">
        <f t="shared" si="199"/>
        <v>-8.3699999999999997E-2</v>
      </c>
    </row>
    <row r="257" spans="1:26">
      <c r="A257" s="148"/>
      <c r="B257" s="148"/>
      <c r="C257" s="149" t="s">
        <v>314</v>
      </c>
      <c r="D257" s="131">
        <f>SUM(D245:D256)</f>
        <v>17970072049.890003</v>
      </c>
      <c r="E257" s="133"/>
      <c r="F257" s="133"/>
      <c r="G257" s="134"/>
      <c r="H257" s="131">
        <f>SUM(H245:H256)</f>
        <v>3907</v>
      </c>
      <c r="I257" s="142"/>
      <c r="J257" s="142"/>
      <c r="K257" s="131">
        <f>SUM(K245:K256)</f>
        <v>17390304867.240002</v>
      </c>
      <c r="L257" s="133"/>
      <c r="M257" s="133"/>
      <c r="N257" s="134"/>
      <c r="O257" s="131">
        <f>SUM(O245:O256)</f>
        <v>4426</v>
      </c>
      <c r="P257" s="142"/>
      <c r="Q257" s="142"/>
      <c r="R257" s="95">
        <f t="shared" si="195"/>
        <v>-3.2262930334414013E-2</v>
      </c>
      <c r="S257" s="95" t="e">
        <f t="shared" si="196"/>
        <v>#DIV/0!</v>
      </c>
      <c r="T257" s="95">
        <f t="shared" si="197"/>
        <v>0.13283849500895828</v>
      </c>
      <c r="U257" s="95">
        <f t="shared" si="198"/>
        <v>0</v>
      </c>
      <c r="V257" s="96">
        <f t="shared" si="199"/>
        <v>0</v>
      </c>
      <c r="Z257" s="105"/>
    </row>
    <row r="258" spans="1:26">
      <c r="A258" s="150"/>
      <c r="B258" s="150"/>
      <c r="C258" s="151" t="s">
        <v>315</v>
      </c>
      <c r="D258" s="152">
        <f>SUM(D229,D237,D242,D257)</f>
        <v>7270519466680.833</v>
      </c>
      <c r="E258" s="153"/>
      <c r="F258" s="153"/>
      <c r="G258" s="154"/>
      <c r="H258" s="152">
        <f>SUM(H229,H237,H242,H257)</f>
        <v>1058263</v>
      </c>
      <c r="I258" s="165"/>
      <c r="J258" s="165"/>
      <c r="K258" s="152">
        <f>SUM(K229,K237,K242,K257)</f>
        <v>7326705627164.6172</v>
      </c>
      <c r="L258" s="153"/>
      <c r="M258" s="153"/>
      <c r="N258" s="152"/>
      <c r="O258" s="152">
        <f>SUM(O229,O237,O242,O257)</f>
        <v>1065431</v>
      </c>
      <c r="P258" s="166"/>
      <c r="Q258" s="152"/>
      <c r="R258" s="170"/>
      <c r="S258" s="171"/>
      <c r="T258" s="171"/>
      <c r="U258" s="172"/>
      <c r="V258" s="172"/>
      <c r="Z258" s="105"/>
    </row>
    <row r="259" spans="1:26">
      <c r="A259" s="155" t="s">
        <v>316</v>
      </c>
      <c r="B259" s="156" t="s">
        <v>333</v>
      </c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</row>
    <row r="260" spans="1:26">
      <c r="B260" s="158"/>
    </row>
    <row r="261" spans="1:26">
      <c r="B261" s="158"/>
      <c r="C261" s="159"/>
      <c r="D261" s="160"/>
      <c r="K261" s="160"/>
    </row>
    <row r="262" spans="1:26" ht="15">
      <c r="B262" s="161"/>
      <c r="C262" s="162"/>
      <c r="D262" s="163"/>
      <c r="F262" s="164"/>
      <c r="G262" s="164"/>
      <c r="I262" s="167"/>
      <c r="J262" s="168"/>
    </row>
    <row r="263" spans="1:26">
      <c r="C263" s="158"/>
    </row>
    <row r="264" spans="1:26">
      <c r="K264" s="144"/>
    </row>
    <row r="265" spans="1:26">
      <c r="B265" s="159"/>
    </row>
    <row r="266" spans="1:26">
      <c r="K266" s="169"/>
    </row>
  </sheetData>
  <sheetProtection algorithmName="SHA-512" hashValue="2mUFvMZz/RfAHqJosLp9irhWX40X62eNDYhC/4ifcCSIFRP8+rynxXi0s0cDiqMDq4LCo+noolTwlE1zOzgWWg==" saltValue="3vu9C9t8aaKo7dUUtav0/Q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2:V72"/>
    <mergeCell ref="A73:V73"/>
    <mergeCell ref="B114:V114"/>
    <mergeCell ref="A115:V115"/>
    <mergeCell ref="A116:V116"/>
    <mergeCell ref="B134:V134"/>
    <mergeCell ref="A135:V135"/>
    <mergeCell ref="B156:V156"/>
    <mergeCell ref="A157:V157"/>
    <mergeCell ref="B165:V165"/>
    <mergeCell ref="A166:V166"/>
    <mergeCell ref="B196:V196"/>
    <mergeCell ref="A197:V197"/>
    <mergeCell ref="B201:V201"/>
    <mergeCell ref="A202:V202"/>
    <mergeCell ref="A203:V203"/>
    <mergeCell ref="A231:V231"/>
    <mergeCell ref="A239:V239"/>
    <mergeCell ref="B243:V243"/>
    <mergeCell ref="A244:V244"/>
    <mergeCell ref="B206:V206"/>
    <mergeCell ref="A207:V207"/>
    <mergeCell ref="B222:V222"/>
    <mergeCell ref="A223:V223"/>
    <mergeCell ref="B230:U230"/>
  </mergeCells>
  <pageMargins left="0.7" right="0.7" top="0.75" bottom="0.75" header="0.3" footer="0.3"/>
  <pageSetup paperSize="9" orientation="portrait" horizontalDpi="300" verticalDpi="300" r:id="rId1"/>
  <ignoredErrors>
    <ignoredError sqref="L98 E98 E78 L50 E50 L34 E34 L140 E140" formula="1"/>
    <ignoredError sqref="S164 S25 S71 S113 S155 S195 S200 S228 S257 T240:T241 R51:T51 R140 R128:T128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9" sqref="G9"/>
    </sheetView>
  </sheetViews>
  <sheetFormatPr defaultColWidth="9" defaultRowHeight="14.4"/>
  <cols>
    <col min="1" max="1" width="34" customWidth="1"/>
    <col min="2" max="2" width="15.6640625" customWidth="1"/>
    <col min="3" max="3" width="16.109375" customWidth="1"/>
  </cols>
  <sheetData>
    <row r="1" spans="1:7">
      <c r="A1" s="20"/>
      <c r="B1" s="20"/>
      <c r="C1" s="20"/>
      <c r="D1" s="20"/>
      <c r="E1" s="15"/>
      <c r="F1" s="15"/>
      <c r="G1" s="15"/>
    </row>
    <row r="2" spans="1:7" ht="27.6">
      <c r="A2" s="39" t="s">
        <v>317</v>
      </c>
      <c r="B2" s="40" t="s">
        <v>318</v>
      </c>
      <c r="C2" s="40" t="s">
        <v>332</v>
      </c>
      <c r="D2" s="41"/>
      <c r="E2" s="15"/>
      <c r="F2" s="15"/>
      <c r="G2" s="15"/>
    </row>
    <row r="3" spans="1:7">
      <c r="A3" s="42" t="s">
        <v>19</v>
      </c>
      <c r="B3" s="43">
        <f t="shared" ref="B3:C10" si="0">B13</f>
        <v>79.941489021128604</v>
      </c>
      <c r="C3" s="43">
        <f t="shared" si="0"/>
        <v>77.622970040713497</v>
      </c>
      <c r="D3" s="41"/>
      <c r="E3" s="15"/>
      <c r="F3" s="15"/>
      <c r="G3" s="15"/>
    </row>
    <row r="4" spans="1:7" ht="15.6" customHeight="1">
      <c r="A4" s="39" t="s">
        <v>58</v>
      </c>
      <c r="B4" s="44">
        <f t="shared" si="0"/>
        <v>4345.9781962389225</v>
      </c>
      <c r="C4" s="44">
        <f t="shared" si="0"/>
        <v>4392.3786564765815</v>
      </c>
      <c r="D4" s="41"/>
      <c r="E4" s="15"/>
      <c r="F4" s="15"/>
      <c r="G4" s="15"/>
    </row>
    <row r="5" spans="1:7" ht="16.2" customHeight="1">
      <c r="A5" s="39" t="s">
        <v>319</v>
      </c>
      <c r="B5" s="43">
        <f t="shared" si="0"/>
        <v>242.06802016447492</v>
      </c>
      <c r="C5" s="43">
        <f t="shared" si="0"/>
        <v>243.26846350748514</v>
      </c>
      <c r="D5" s="41"/>
      <c r="E5" s="15"/>
      <c r="F5" s="15"/>
      <c r="G5" s="15"/>
    </row>
    <row r="6" spans="1:7">
      <c r="A6" s="39" t="s">
        <v>176</v>
      </c>
      <c r="B6" s="44">
        <f t="shared" si="0"/>
        <v>1904.1258300625452</v>
      </c>
      <c r="C6" s="44">
        <f t="shared" si="0"/>
        <v>1915.3574379924437</v>
      </c>
      <c r="D6" s="41"/>
      <c r="E6" s="15"/>
      <c r="F6" s="15"/>
      <c r="G6" s="15"/>
    </row>
    <row r="7" spans="1:7">
      <c r="A7" s="39" t="s">
        <v>320</v>
      </c>
      <c r="B7" s="43">
        <f t="shared" si="0"/>
        <v>370.26732285234544</v>
      </c>
      <c r="C7" s="43">
        <f t="shared" si="0"/>
        <v>371.32163729857228</v>
      </c>
      <c r="D7" s="41"/>
      <c r="E7" s="15"/>
      <c r="F7" s="15"/>
      <c r="G7" s="15"/>
    </row>
    <row r="8" spans="1:7">
      <c r="A8" s="39" t="s">
        <v>222</v>
      </c>
      <c r="B8" s="45">
        <f t="shared" si="0"/>
        <v>80.975307014121839</v>
      </c>
      <c r="C8" s="45">
        <f t="shared" si="0"/>
        <v>79.917304669356696</v>
      </c>
      <c r="D8" s="41"/>
      <c r="E8" s="15"/>
      <c r="F8" s="15"/>
      <c r="G8" s="15"/>
    </row>
    <row r="9" spans="1:7">
      <c r="A9" s="39" t="s">
        <v>254</v>
      </c>
      <c r="B9" s="43">
        <f t="shared" si="0"/>
        <v>8.5935672065700004</v>
      </c>
      <c r="C9" s="43">
        <f t="shared" si="0"/>
        <v>8.3286805587600004</v>
      </c>
      <c r="D9" s="41"/>
      <c r="E9" s="15"/>
      <c r="F9" s="15"/>
      <c r="G9" s="15"/>
    </row>
    <row r="10" spans="1:7">
      <c r="A10" s="39" t="s">
        <v>321</v>
      </c>
      <c r="B10" s="43">
        <f t="shared" si="0"/>
        <v>72.771852471391895</v>
      </c>
      <c r="C10" s="43">
        <f t="shared" si="0"/>
        <v>73.208194782318941</v>
      </c>
      <c r="D10" s="41"/>
      <c r="E10" s="15"/>
      <c r="F10" s="15"/>
      <c r="G10" s="15"/>
    </row>
    <row r="11" spans="1:7">
      <c r="A11" s="39"/>
      <c r="B11" s="43"/>
      <c r="C11" s="43"/>
      <c r="D11" s="41"/>
      <c r="E11" s="15"/>
      <c r="F11" s="15"/>
      <c r="G11" s="15"/>
    </row>
    <row r="12" spans="1:7">
      <c r="A12" s="20"/>
      <c r="B12" s="20"/>
      <c r="C12" s="20"/>
      <c r="D12" s="20"/>
      <c r="E12" s="15"/>
      <c r="F12" s="15"/>
      <c r="G12" s="15"/>
    </row>
    <row r="13" spans="1:7">
      <c r="A13" s="46" t="s">
        <v>19</v>
      </c>
      <c r="B13" s="47">
        <f>'Weekly Valuation'!D25/1000000000</f>
        <v>79.941489021128604</v>
      </c>
      <c r="C13" s="48">
        <f>'Weekly Valuation'!K25/1000000000</f>
        <v>77.622970040713497</v>
      </c>
      <c r="D13" s="20"/>
      <c r="E13" s="15"/>
      <c r="F13" s="15"/>
      <c r="G13" s="15"/>
    </row>
    <row r="14" spans="1:7">
      <c r="A14" s="49" t="s">
        <v>58</v>
      </c>
      <c r="B14" s="47">
        <f>'Weekly Valuation'!D71/1000000000</f>
        <v>4345.9781962389225</v>
      </c>
      <c r="C14" s="50">
        <f>'Weekly Valuation'!K71/1000000000</f>
        <v>4392.3786564765815</v>
      </c>
      <c r="D14" s="20"/>
      <c r="E14" s="15"/>
      <c r="F14" s="15"/>
      <c r="G14" s="15"/>
    </row>
    <row r="15" spans="1:7">
      <c r="A15" s="49" t="s">
        <v>319</v>
      </c>
      <c r="B15" s="47">
        <f>'Weekly Valuation'!D113/1000000000</f>
        <v>242.06802016447492</v>
      </c>
      <c r="C15" s="48">
        <f>'Weekly Valuation'!K113/1000000000</f>
        <v>243.26846350748514</v>
      </c>
      <c r="D15" s="20"/>
      <c r="E15" s="15"/>
      <c r="F15" s="15"/>
      <c r="G15" s="15"/>
    </row>
    <row r="16" spans="1:7">
      <c r="A16" s="49" t="s">
        <v>176</v>
      </c>
      <c r="B16" s="47">
        <f>'Weekly Valuation'!D155/1000000000</f>
        <v>1904.1258300625452</v>
      </c>
      <c r="C16" s="50">
        <f>'Weekly Valuation'!K155/1000000000</f>
        <v>1915.3574379924437</v>
      </c>
      <c r="D16" s="20"/>
      <c r="E16" s="15"/>
      <c r="F16" s="15"/>
      <c r="G16" s="15"/>
    </row>
    <row r="17" spans="1:7">
      <c r="A17" s="49" t="s">
        <v>320</v>
      </c>
      <c r="B17" s="47">
        <f>'Weekly Valuation'!D164/1000000000</f>
        <v>370.26732285234544</v>
      </c>
      <c r="C17" s="48">
        <f>'Weekly Valuation'!K164/1000000000</f>
        <v>371.32163729857228</v>
      </c>
      <c r="D17" s="20"/>
      <c r="E17" s="15"/>
      <c r="F17" s="15"/>
      <c r="G17" s="15"/>
    </row>
    <row r="18" spans="1:7">
      <c r="A18" s="49" t="s">
        <v>222</v>
      </c>
      <c r="B18" s="47">
        <f>'Weekly Valuation'!D195/1000000000</f>
        <v>80.975307014121839</v>
      </c>
      <c r="C18" s="51">
        <f>'Weekly Valuation'!K195/1000000000</f>
        <v>79.917304669356696</v>
      </c>
      <c r="D18" s="20"/>
      <c r="E18" s="15"/>
      <c r="F18" s="15"/>
      <c r="G18" s="15"/>
    </row>
    <row r="19" spans="1:7">
      <c r="A19" s="49" t="s">
        <v>254</v>
      </c>
      <c r="B19" s="47">
        <f>'Weekly Valuation'!D200/1000000000</f>
        <v>8.5935672065700004</v>
      </c>
      <c r="C19" s="48">
        <f>'Weekly Valuation'!K200/1000000000</f>
        <v>8.3286805587600004</v>
      </c>
      <c r="D19" s="20"/>
      <c r="E19" s="15"/>
      <c r="F19" s="15"/>
      <c r="G19" s="15"/>
    </row>
    <row r="20" spans="1:7">
      <c r="A20" s="49" t="s">
        <v>321</v>
      </c>
      <c r="B20" s="47">
        <f>'Weekly Valuation'!D228/1000000000</f>
        <v>72.771852471391895</v>
      </c>
      <c r="C20" s="48">
        <f>'Weekly Valuation'!K228/1000000000</f>
        <v>73.208194782318941</v>
      </c>
      <c r="D20" s="20"/>
      <c r="E20" s="15"/>
      <c r="F20" s="15"/>
      <c r="G20" s="15"/>
    </row>
    <row r="21" spans="1:7">
      <c r="A21" s="34"/>
      <c r="B21" s="20"/>
      <c r="C21" s="32"/>
      <c r="D21" s="20"/>
      <c r="E21" s="15"/>
      <c r="F21" s="15"/>
      <c r="G21" s="15"/>
    </row>
    <row r="22" spans="1:7">
      <c r="A22" s="37"/>
      <c r="B22" s="15"/>
      <c r="C22" s="36"/>
      <c r="D22" s="15"/>
      <c r="E22" s="15"/>
      <c r="F22" s="15"/>
      <c r="G22" s="15"/>
    </row>
    <row r="23" spans="1:7">
      <c r="A23" s="37"/>
      <c r="B23" s="36"/>
      <c r="C23" s="184"/>
      <c r="D23" s="15"/>
      <c r="E23" s="15"/>
      <c r="F23" s="15"/>
      <c r="G23" s="15"/>
    </row>
    <row r="24" spans="1:7">
      <c r="A24" s="34"/>
      <c r="B24" s="30"/>
      <c r="C24" s="30"/>
      <c r="D24" s="20"/>
      <c r="E24" s="20"/>
      <c r="F24" s="15"/>
      <c r="G24" s="15"/>
    </row>
    <row r="25" spans="1:7">
      <c r="A25" s="34"/>
      <c r="B25" s="30"/>
      <c r="C25" s="30"/>
      <c r="D25" s="20"/>
      <c r="E25" s="20"/>
      <c r="F25" s="15"/>
      <c r="G25" s="15"/>
    </row>
    <row r="26" spans="1:7">
      <c r="A26" s="34"/>
      <c r="B26" s="30"/>
      <c r="C26" s="30"/>
      <c r="D26" s="20"/>
      <c r="E26" s="20"/>
      <c r="F26" s="15"/>
      <c r="G26" s="15"/>
    </row>
    <row r="27" spans="1:7">
      <c r="A27" s="34"/>
      <c r="B27" s="30"/>
      <c r="C27" s="30"/>
      <c r="D27" s="20"/>
      <c r="E27" s="20"/>
      <c r="F27" s="15"/>
      <c r="G27" s="15"/>
    </row>
    <row r="28" spans="1:7">
      <c r="A28" s="20"/>
      <c r="B28" s="20"/>
      <c r="C28" s="20"/>
      <c r="D28" s="20"/>
      <c r="E28" s="20"/>
      <c r="F28" s="20"/>
      <c r="G28" s="15"/>
    </row>
    <row r="29" spans="1:7">
      <c r="A29" s="20"/>
      <c r="B29" s="20"/>
      <c r="C29" s="20"/>
      <c r="D29" s="20"/>
      <c r="E29" s="20"/>
      <c r="F29" s="15"/>
      <c r="G29" s="15"/>
    </row>
  </sheetData>
  <sheetProtection algorithmName="SHA-512" hashValue="qwDRnx8sWcyK9Db8fsTo3uQ5BnQ2p9u1gog369eeOrD2208AB8yhuDMh9jLeP5Xt6sw5WI5qYKK2jLUEaHmnpQ==" saltValue="pb4GosWkX8mncdNyY0B1h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26" t="s">
        <v>317</v>
      </c>
      <c r="B1" s="27">
        <v>45968</v>
      </c>
      <c r="C1" s="28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9" t="s">
        <v>254</v>
      </c>
      <c r="B2" s="30">
        <f>'Weekly Valuation'!K200</f>
        <v>8328680558.7600002</v>
      </c>
      <c r="C2" s="28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9" t="s">
        <v>19</v>
      </c>
      <c r="B3" s="30">
        <f>'Weekly Valuation'!K25</f>
        <v>77622970040.713501</v>
      </c>
      <c r="C3" s="28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9" t="s">
        <v>321</v>
      </c>
      <c r="B4" s="31">
        <f>'Weekly Valuation'!K228</f>
        <v>73208194782.318939</v>
      </c>
      <c r="C4" s="28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9" t="s">
        <v>222</v>
      </c>
      <c r="B5" s="30">
        <f>'Weekly Valuation'!K195</f>
        <v>79917304669.356689</v>
      </c>
      <c r="C5" s="28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9" t="s">
        <v>320</v>
      </c>
      <c r="B6" s="30">
        <f>'Weekly Valuation'!K164</f>
        <v>371321637298.57227</v>
      </c>
      <c r="C6" s="28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9" t="s">
        <v>319</v>
      </c>
      <c r="B7" s="30">
        <f>'Weekly Valuation'!K113</f>
        <v>243268463507.48514</v>
      </c>
      <c r="C7" s="28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9" t="s">
        <v>176</v>
      </c>
      <c r="B8" s="32">
        <f>'Weekly Valuation'!K155</f>
        <v>1915357437992.4436</v>
      </c>
      <c r="C8" s="28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9" t="s">
        <v>58</v>
      </c>
      <c r="B9" s="32">
        <f>'Weekly Valuation'!K71</f>
        <v>4392378656476.5811</v>
      </c>
      <c r="C9" s="28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8"/>
      <c r="B10" s="28"/>
      <c r="C10" s="28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9"/>
      <c r="B11" s="33"/>
      <c r="C11" s="28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9"/>
      <c r="B12" s="28"/>
      <c r="C12" s="28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30"/>
      <c r="B13" s="30"/>
      <c r="C13" s="28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30"/>
      <c r="B14" s="30"/>
      <c r="C14" s="20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37"/>
      <c r="B15" s="18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36"/>
      <c r="B16" s="3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36"/>
      <c r="B17" s="3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35"/>
      <c r="B18" s="3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35"/>
      <c r="B19" s="3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35"/>
      <c r="B20" s="3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37"/>
      <c r="B21" s="3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38"/>
    </row>
    <row r="33" spans="1:17" ht="15" customHeight="1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38"/>
    </row>
  </sheetData>
  <sheetProtection algorithmName="SHA-512" hashValue="/9fex/+e9Pj/QdZHpPrM+KoMuwnL3BBk1etFH88/f5GBdYvBbEKC5w89YTjds8oxCoo30LLnQTNrhGFmxJPeCw==" saltValue="29z+BsBF9krBQOqq1C21N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A8" sqref="A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</row>
    <row r="2" spans="1:14">
      <c r="A2" s="21" t="s">
        <v>322</v>
      </c>
      <c r="B2" s="22">
        <v>45919</v>
      </c>
      <c r="C2" s="22">
        <v>45926</v>
      </c>
      <c r="D2" s="22">
        <v>45933</v>
      </c>
      <c r="E2" s="22">
        <v>45940</v>
      </c>
      <c r="F2" s="22">
        <v>45947</v>
      </c>
      <c r="G2" s="22">
        <v>45954</v>
      </c>
      <c r="H2" s="22">
        <v>45961</v>
      </c>
      <c r="I2" s="22">
        <v>45968</v>
      </c>
      <c r="J2" s="20"/>
      <c r="K2" s="20"/>
      <c r="L2" s="15"/>
      <c r="M2" s="15"/>
      <c r="N2" s="15"/>
    </row>
    <row r="3" spans="1:14">
      <c r="A3" s="21" t="s">
        <v>323</v>
      </c>
      <c r="B3" s="23">
        <f t="shared" ref="B3:I3" si="0">B4</f>
        <v>6693.7872553133047</v>
      </c>
      <c r="C3" s="23">
        <f t="shared" si="0"/>
        <v>6745.4768805021858</v>
      </c>
      <c r="D3" s="23">
        <f t="shared" si="0"/>
        <v>6812.2098133156469</v>
      </c>
      <c r="E3" s="23">
        <f t="shared" si="0"/>
        <v>6925.6615260417648</v>
      </c>
      <c r="F3" s="23">
        <f t="shared" si="0"/>
        <v>7020.2119881351573</v>
      </c>
      <c r="G3" s="23">
        <f t="shared" si="0"/>
        <v>7084.74766079442</v>
      </c>
      <c r="H3" s="23">
        <f t="shared" si="0"/>
        <v>7104.7215850315024</v>
      </c>
      <c r="I3" s="23">
        <f t="shared" si="0"/>
        <v>7161.4033453262318</v>
      </c>
      <c r="J3" s="20"/>
      <c r="K3" s="20"/>
      <c r="L3" s="15"/>
      <c r="M3" s="15"/>
      <c r="N3" s="15"/>
    </row>
    <row r="4" spans="1:14">
      <c r="A4" s="20"/>
      <c r="B4" s="24">
        <f>'NAV Trend'!C10/1000000000</f>
        <v>6693.7872553133047</v>
      </c>
      <c r="C4" s="24">
        <f>'NAV Trend'!D10/1000000000</f>
        <v>6745.4768805021858</v>
      </c>
      <c r="D4" s="24">
        <f>'NAV Trend'!E10/1000000000</f>
        <v>6812.2098133156469</v>
      </c>
      <c r="E4" s="24">
        <f>'NAV Trend'!F10/1000000000</f>
        <v>6925.6615260417648</v>
      </c>
      <c r="F4" s="24">
        <f>'NAV Trend'!G10/1000000000</f>
        <v>7020.2119881351573</v>
      </c>
      <c r="G4" s="24">
        <f>'NAV Trend'!H10/1000000000</f>
        <v>7084.74766079442</v>
      </c>
      <c r="H4" s="25">
        <f>'NAV Trend'!I10/1000000000</f>
        <v>7104.7215850315024</v>
      </c>
      <c r="I4" s="25">
        <f>'NAV Trend'!J10/1000000000</f>
        <v>7161.4033453262318</v>
      </c>
      <c r="J4" s="20"/>
      <c r="K4" s="20"/>
      <c r="L4" s="15"/>
      <c r="M4" s="15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</row>
    <row r="6" spans="1:1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15"/>
      <c r="N9" s="15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cnjtDLRXMO9/ptgk9SWoLOaqrIcPuo5L7nAM7f8X+9RWsyjzmDGbkLptCx3ElwRAU0LsaqHf5dvV8F3zHK/Zsw==" saltValue="leZKk3+cgalEt1iiXq4ED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O20"/>
  <sheetViews>
    <sheetView workbookViewId="0"/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83"/>
    </row>
    <row r="2" spans="1:15">
      <c r="A2" s="21" t="s">
        <v>322</v>
      </c>
      <c r="B2" s="22">
        <v>45919</v>
      </c>
      <c r="C2" s="22">
        <v>45926</v>
      </c>
      <c r="D2" s="22">
        <v>45933</v>
      </c>
      <c r="E2" s="22">
        <v>45940</v>
      </c>
      <c r="F2" s="22">
        <v>45947</v>
      </c>
      <c r="G2" s="22">
        <v>45954</v>
      </c>
      <c r="H2" s="22">
        <v>45961</v>
      </c>
      <c r="I2" s="22">
        <v>45968</v>
      </c>
      <c r="J2" s="20"/>
      <c r="K2" s="20"/>
      <c r="L2" s="15"/>
      <c r="M2" s="15"/>
      <c r="N2" s="15"/>
      <c r="O2" s="183"/>
    </row>
    <row r="3" spans="1:15">
      <c r="A3" s="21" t="s">
        <v>324</v>
      </c>
      <c r="B3" s="23">
        <f t="shared" ref="B3:I3" si="0">B4</f>
        <v>16.933585980109999</v>
      </c>
      <c r="C3" s="23">
        <f t="shared" si="0"/>
        <v>17.03010698616</v>
      </c>
      <c r="D3" s="23">
        <f t="shared" si="0"/>
        <v>17.235315862970001</v>
      </c>
      <c r="E3" s="23">
        <f t="shared" si="0"/>
        <v>17.54959499956</v>
      </c>
      <c r="F3" s="23">
        <f t="shared" si="0"/>
        <v>17.680301749159998</v>
      </c>
      <c r="G3" s="23">
        <f t="shared" si="0"/>
        <v>18.29339423531</v>
      </c>
      <c r="H3" s="23">
        <f t="shared" si="0"/>
        <v>17.97007204989</v>
      </c>
      <c r="I3" s="23">
        <f t="shared" si="0"/>
        <v>17.390304867240001</v>
      </c>
      <c r="J3" s="20"/>
      <c r="K3" s="20"/>
      <c r="L3" s="15"/>
      <c r="M3" s="15"/>
      <c r="N3" s="15"/>
      <c r="O3" s="183"/>
    </row>
    <row r="4" spans="1:15">
      <c r="A4" s="20"/>
      <c r="B4" s="24">
        <f>'NAV Trend'!C16/1000000000</f>
        <v>16.933585980109999</v>
      </c>
      <c r="C4" s="24">
        <f>'NAV Trend'!D16/1000000000</f>
        <v>17.03010698616</v>
      </c>
      <c r="D4" s="24">
        <f>'NAV Trend'!E16/1000000000</f>
        <v>17.235315862970001</v>
      </c>
      <c r="E4" s="24">
        <f>'NAV Trend'!F16/1000000000</f>
        <v>17.54959499956</v>
      </c>
      <c r="F4" s="24">
        <f>'NAV Trend'!G16/1000000000</f>
        <v>17.680301749159998</v>
      </c>
      <c r="G4" s="24">
        <f>'NAV Trend'!H16/1000000000</f>
        <v>18.29339423531</v>
      </c>
      <c r="H4" s="24">
        <f>'NAV Trend'!I16/1000000000</f>
        <v>17.97007204989</v>
      </c>
      <c r="I4" s="25">
        <f>'NAV Trend'!J16/1000000000</f>
        <v>17.390304867240001</v>
      </c>
      <c r="J4" s="20"/>
      <c r="K4" s="20"/>
      <c r="L4" s="15"/>
      <c r="M4" s="15"/>
      <c r="N4" s="15"/>
      <c r="O4" s="183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83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83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183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  <c r="O8" s="183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15"/>
      <c r="N9" s="15"/>
      <c r="O9" s="183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5"/>
      <c r="M10" s="15"/>
      <c r="N10" s="15"/>
      <c r="O10" s="183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15"/>
      <c r="N11" s="15"/>
      <c r="O11" s="183"/>
    </row>
    <row r="12" spans="1: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5"/>
      <c r="M12" s="15"/>
      <c r="N12" s="15"/>
      <c r="O12" s="183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83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83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83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8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83"/>
    </row>
    <row r="18" spans="1:1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</row>
    <row r="19" spans="1:15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</row>
    <row r="20" spans="1:15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</row>
  </sheetData>
  <sheetProtection algorithmName="SHA-512" hashValue="GNsxYjy17zJ4WCT++2mJ6+dZ36SxmOu7NMuI7T31YTupr9rjS81qh2lQOOfd7DsuSdnnvTUSbTejXjcii1zPXw==" saltValue="8UXAQdUkLa7Z7OYPhrfUM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317</v>
      </c>
      <c r="B1" s="2">
        <v>45912</v>
      </c>
      <c r="C1" s="2">
        <v>45919</v>
      </c>
      <c r="D1" s="2">
        <v>45926</v>
      </c>
      <c r="E1" s="2">
        <v>45933</v>
      </c>
      <c r="F1" s="2">
        <v>45940</v>
      </c>
      <c r="G1" s="2">
        <v>45947</v>
      </c>
      <c r="H1" s="2">
        <v>45954</v>
      </c>
      <c r="I1" s="2">
        <v>45961</v>
      </c>
      <c r="J1" s="2">
        <v>45968</v>
      </c>
    </row>
    <row r="2" spans="1:11">
      <c r="A2" s="3" t="s">
        <v>19</v>
      </c>
      <c r="B2" s="4">
        <v>69131472753.822495</v>
      </c>
      <c r="C2" s="4">
        <v>67012799943.2817</v>
      </c>
      <c r="D2" s="4">
        <v>70670721283.488907</v>
      </c>
      <c r="E2" s="4">
        <v>72157008607.625702</v>
      </c>
      <c r="F2" s="4">
        <v>73550112013.645493</v>
      </c>
      <c r="G2" s="4">
        <v>75813884318.519104</v>
      </c>
      <c r="H2" s="4">
        <v>80081718489.454102</v>
      </c>
      <c r="I2" s="4">
        <v>79941489021.128601</v>
      </c>
      <c r="J2" s="4">
        <v>77622970040.713501</v>
      </c>
    </row>
    <row r="3" spans="1:11">
      <c r="A3" s="3" t="s">
        <v>58</v>
      </c>
      <c r="B3" s="4">
        <v>3840917336766.8398</v>
      </c>
      <c r="C3" s="4">
        <v>3906285455615.1201</v>
      </c>
      <c r="D3" s="4">
        <v>3980593293535.2598</v>
      </c>
      <c r="E3" s="4">
        <v>4086864116266.48</v>
      </c>
      <c r="F3" s="4">
        <v>4172759122177.9399</v>
      </c>
      <c r="G3" s="4">
        <v>4226381970103.9399</v>
      </c>
      <c r="H3" s="4">
        <v>4294338110534.8901</v>
      </c>
      <c r="I3" s="4">
        <v>4345978196238.9199</v>
      </c>
      <c r="J3" s="4">
        <v>4392378656476.5811</v>
      </c>
    </row>
    <row r="4" spans="1:11">
      <c r="A4" s="3" t="s">
        <v>319</v>
      </c>
      <c r="B4" s="5">
        <v>230565504758.69101</v>
      </c>
      <c r="C4" s="5">
        <v>231416262791.29901</v>
      </c>
      <c r="D4" s="5">
        <v>229355365570.742</v>
      </c>
      <c r="E4" s="5">
        <v>236138171866.332</v>
      </c>
      <c r="F4" s="5">
        <v>239780265974</v>
      </c>
      <c r="G4" s="5">
        <v>240267484599.51099</v>
      </c>
      <c r="H4" s="5">
        <v>241861922293.56699</v>
      </c>
      <c r="I4" s="5">
        <v>242068020164.47501</v>
      </c>
      <c r="J4" s="5">
        <v>243268463507.48514</v>
      </c>
    </row>
    <row r="5" spans="1:11">
      <c r="A5" s="3" t="s">
        <v>176</v>
      </c>
      <c r="B5" s="4">
        <v>1964882408137.4399</v>
      </c>
      <c r="C5" s="4">
        <v>1968484717559.7</v>
      </c>
      <c r="D5" s="4">
        <v>1946024427071.95</v>
      </c>
      <c r="E5" s="4">
        <v>1897887333536.4199</v>
      </c>
      <c r="F5" s="4">
        <v>1916747972369.52</v>
      </c>
      <c r="G5" s="4">
        <v>1951335729434.6101</v>
      </c>
      <c r="H5" s="4">
        <v>1937928770896.0901</v>
      </c>
      <c r="I5" s="4">
        <v>1904125830062.55</v>
      </c>
      <c r="J5" s="4">
        <v>1915357437992.4436</v>
      </c>
    </row>
    <row r="6" spans="1:11">
      <c r="A6" s="3" t="s">
        <v>320</v>
      </c>
      <c r="B6" s="6">
        <v>365114328439.96301</v>
      </c>
      <c r="C6" s="6">
        <v>366110435001.72998</v>
      </c>
      <c r="D6" s="6">
        <v>366811558700.98102</v>
      </c>
      <c r="E6" s="6">
        <v>367818478282.37299</v>
      </c>
      <c r="F6" s="6">
        <v>367969019601.867</v>
      </c>
      <c r="G6" s="6">
        <v>368375144772.14203</v>
      </c>
      <c r="H6" s="6">
        <v>368809278173.31897</v>
      </c>
      <c r="I6" s="5">
        <v>370267322852.34497</v>
      </c>
      <c r="J6" s="5">
        <v>371321637298.57227</v>
      </c>
    </row>
    <row r="7" spans="1:11">
      <c r="A7" s="3" t="s">
        <v>222</v>
      </c>
      <c r="B7" s="7">
        <v>76147888988.447098</v>
      </c>
      <c r="C7" s="7">
        <v>79408928723.084198</v>
      </c>
      <c r="D7" s="7">
        <v>76321020907.454193</v>
      </c>
      <c r="E7" s="7">
        <v>77203925561.305695</v>
      </c>
      <c r="F7" s="7">
        <v>77988718310.700806</v>
      </c>
      <c r="G7" s="7">
        <v>79052496329.9478</v>
      </c>
      <c r="H7" s="7">
        <v>81009282305.293594</v>
      </c>
      <c r="I7" s="7">
        <v>80975307014.121796</v>
      </c>
      <c r="J7" s="7">
        <v>79917304669.356689</v>
      </c>
    </row>
    <row r="8" spans="1:11">
      <c r="A8" s="3" t="s">
        <v>254</v>
      </c>
      <c r="B8" s="6">
        <v>8167609322.46</v>
      </c>
      <c r="C8" s="6">
        <v>8077825131.0200005</v>
      </c>
      <c r="D8" s="6">
        <v>8144939845.2200003</v>
      </c>
      <c r="E8" s="6">
        <v>8220876623.29</v>
      </c>
      <c r="F8" s="6">
        <v>8300396287.1099997</v>
      </c>
      <c r="G8" s="6">
        <v>8424376747.5200005</v>
      </c>
      <c r="H8" s="6">
        <v>8704335367.2000008</v>
      </c>
      <c r="I8" s="6">
        <v>8593567206.5699997</v>
      </c>
      <c r="J8" s="6">
        <v>8328680558.7600002</v>
      </c>
    </row>
    <row r="9" spans="1:11">
      <c r="A9" s="3" t="s">
        <v>321</v>
      </c>
      <c r="B9" s="6">
        <v>66242061855.440002</v>
      </c>
      <c r="C9" s="6">
        <v>66990830548.07</v>
      </c>
      <c r="D9" s="6">
        <v>67555553587.089996</v>
      </c>
      <c r="E9" s="6">
        <v>65919902571.82</v>
      </c>
      <c r="F9" s="6">
        <v>68565919306.980003</v>
      </c>
      <c r="G9" s="6">
        <v>70560901828.968002</v>
      </c>
      <c r="H9" s="6">
        <v>72014242734.605301</v>
      </c>
      <c r="I9" s="6">
        <v>72771852471.391907</v>
      </c>
      <c r="J9" s="6">
        <v>73208194782.318939</v>
      </c>
    </row>
    <row r="10" spans="1:11" ht="15.6">
      <c r="A10" s="8" t="s">
        <v>325</v>
      </c>
      <c r="B10" s="9">
        <f t="shared" ref="B10:J10" si="0">SUM(B2:B9)</f>
        <v>6621168611023.1035</v>
      </c>
      <c r="C10" s="9">
        <f t="shared" si="0"/>
        <v>6693787255313.3047</v>
      </c>
      <c r="D10" s="9">
        <f t="shared" si="0"/>
        <v>6745476880502.1855</v>
      </c>
      <c r="E10" s="9">
        <f t="shared" si="0"/>
        <v>6812209813315.6465</v>
      </c>
      <c r="F10" s="9">
        <f t="shared" si="0"/>
        <v>6925661526041.7646</v>
      </c>
      <c r="G10" s="9">
        <f t="shared" si="0"/>
        <v>7020211988135.1572</v>
      </c>
      <c r="H10" s="9">
        <f t="shared" si="0"/>
        <v>7084747660794.4199</v>
      </c>
      <c r="I10" s="9">
        <f t="shared" si="0"/>
        <v>7104721585031.502</v>
      </c>
      <c r="J10" s="9">
        <f t="shared" si="0"/>
        <v>7161403345326.2314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326</v>
      </c>
      <c r="B12" s="173" t="s">
        <v>327</v>
      </c>
      <c r="C12" s="13">
        <f>(B10+C10)/2</f>
        <v>6657477933168.2041</v>
      </c>
      <c r="D12" s="14">
        <f t="shared" ref="D12:J12" si="1">(C10+D10)/2</f>
        <v>6719632067907.7451</v>
      </c>
      <c r="E12" s="14">
        <f t="shared" si="1"/>
        <v>6778843346908.916</v>
      </c>
      <c r="F12" s="14">
        <f t="shared" si="1"/>
        <v>6868935669678.7051</v>
      </c>
      <c r="G12" s="14">
        <f t="shared" si="1"/>
        <v>6972936757088.4609</v>
      </c>
      <c r="H12" s="14">
        <f t="shared" si="1"/>
        <v>7052479824464.7891</v>
      </c>
      <c r="I12" s="14">
        <f t="shared" si="1"/>
        <v>7094734622912.9609</v>
      </c>
      <c r="J12" s="14">
        <f t="shared" si="1"/>
        <v>7133062465178.8672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45912</v>
      </c>
      <c r="C15" s="2">
        <v>45919</v>
      </c>
      <c r="D15" s="2">
        <v>45926</v>
      </c>
      <c r="E15" s="2">
        <v>45933</v>
      </c>
      <c r="F15" s="2">
        <v>45940</v>
      </c>
      <c r="G15" s="2">
        <v>45947</v>
      </c>
      <c r="H15" s="2">
        <v>45954</v>
      </c>
      <c r="I15" s="2">
        <v>45961</v>
      </c>
      <c r="J15" s="2">
        <v>45968</v>
      </c>
      <c r="K15" s="15"/>
    </row>
    <row r="16" spans="1:11">
      <c r="A16" s="16" t="s">
        <v>328</v>
      </c>
      <c r="B16" s="17">
        <v>16922657208.431</v>
      </c>
      <c r="C16" s="17">
        <v>16933585980.110001</v>
      </c>
      <c r="D16" s="17">
        <v>17030106986.16</v>
      </c>
      <c r="E16" s="17">
        <v>17235315862.970001</v>
      </c>
      <c r="F16" s="17">
        <v>17549594999.560001</v>
      </c>
      <c r="G16" s="17">
        <v>17680301749.16</v>
      </c>
      <c r="H16" s="17">
        <v>18293394235.310001</v>
      </c>
      <c r="I16" s="17">
        <v>17970072049.889999</v>
      </c>
      <c r="J16" s="17">
        <v>17390304867.240002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5L+k4wCQAsMwvY4HDTjJaKgo9PHGO8o8FqVeOSD/8cLxuwTgqj6U12natiRVAHeECFR7r6Woq1FzHdAzbQnkOA==" saltValue="sjbpHFDQ1zpC1Vm8LlS7+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2025-11-20T13:18:53Z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