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-108" yWindow="-108" windowWidth="25824" windowHeight="13896"/>
  </bookViews>
  <sheets>
    <sheet name="October" sheetId="7" r:id="rId1"/>
    <sheet name="NAV Comparison" sheetId="2" r:id="rId2"/>
    <sheet name="Market Share" sheetId="3" r:id="rId3"/>
    <sheet name="Unitholders" sheetId="6" r:id="rId4"/>
  </sheets>
  <definedNames>
    <definedName name="_Hlk34300669" localSheetId="0">October!$K$63</definedName>
    <definedName name="Component">"Group"</definedName>
    <definedName name="FX_RATE">October!$C$239</definedName>
    <definedName name="pbCountingPages">FALSE</definedName>
  </definedNames>
  <calcPr calcId="162913"/>
</workbook>
</file>

<file path=xl/calcChain.xml><?xml version="1.0" encoding="utf-8"?>
<calcChain xmlns="http://schemas.openxmlformats.org/spreadsheetml/2006/main">
  <c r="K122" i="7" l="1"/>
  <c r="G122" i="7"/>
  <c r="E122" i="7"/>
  <c r="D122" i="7"/>
  <c r="G128" i="7"/>
  <c r="E128" i="7"/>
  <c r="D128" i="7"/>
  <c r="G119" i="7"/>
  <c r="E119" i="7"/>
  <c r="D119" i="7"/>
  <c r="R138" i="7" l="1"/>
  <c r="S138" i="7"/>
  <c r="S115" i="7"/>
  <c r="R115" i="7"/>
  <c r="K128" i="7"/>
  <c r="K119" i="7"/>
  <c r="K139" i="7"/>
  <c r="L232" i="7" l="1"/>
  <c r="M232" i="7"/>
  <c r="N232" i="7"/>
  <c r="O232" i="7"/>
  <c r="P232" i="7"/>
  <c r="Q232" i="7"/>
  <c r="L233" i="7"/>
  <c r="M233" i="7"/>
  <c r="N233" i="7"/>
  <c r="O233" i="7"/>
  <c r="P233" i="7"/>
  <c r="Q233" i="7"/>
  <c r="L234" i="7"/>
  <c r="M234" i="7"/>
  <c r="N234" i="7"/>
  <c r="O234" i="7"/>
  <c r="P234" i="7"/>
  <c r="Q234" i="7"/>
  <c r="L235" i="7"/>
  <c r="M235" i="7"/>
  <c r="N235" i="7"/>
  <c r="O235" i="7"/>
  <c r="P235" i="7"/>
  <c r="Q235" i="7"/>
  <c r="J232" i="7"/>
  <c r="J233" i="7"/>
  <c r="J234" i="7"/>
  <c r="J235" i="7"/>
  <c r="L224" i="7"/>
  <c r="M224" i="7"/>
  <c r="N224" i="7"/>
  <c r="O224" i="7"/>
  <c r="P224" i="7"/>
  <c r="Q224" i="7"/>
  <c r="L225" i="7"/>
  <c r="M225" i="7"/>
  <c r="N225" i="7"/>
  <c r="O225" i="7"/>
  <c r="P225" i="7"/>
  <c r="Q225" i="7"/>
  <c r="L226" i="7"/>
  <c r="M226" i="7"/>
  <c r="N226" i="7"/>
  <c r="O226" i="7"/>
  <c r="P226" i="7"/>
  <c r="Q226" i="7"/>
  <c r="J224" i="7"/>
  <c r="J225" i="7"/>
  <c r="J226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19" i="7"/>
  <c r="M219" i="7"/>
  <c r="N219" i="7"/>
  <c r="O219" i="7"/>
  <c r="P219" i="7"/>
  <c r="Q219" i="7"/>
  <c r="L220" i="7"/>
  <c r="M220" i="7"/>
  <c r="N220" i="7"/>
  <c r="O220" i="7"/>
  <c r="P220" i="7"/>
  <c r="Q220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L204" i="7"/>
  <c r="M204" i="7"/>
  <c r="N204" i="7"/>
  <c r="O204" i="7"/>
  <c r="P204" i="7"/>
  <c r="Q204" i="7"/>
  <c r="J204" i="7"/>
  <c r="L198" i="7"/>
  <c r="M198" i="7"/>
  <c r="N198" i="7"/>
  <c r="O198" i="7"/>
  <c r="P198" i="7"/>
  <c r="Q198" i="7"/>
  <c r="J198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J157" i="7"/>
  <c r="J158" i="7"/>
  <c r="J159" i="7"/>
  <c r="J160" i="7"/>
  <c r="J161" i="7"/>
  <c r="M135" i="7"/>
  <c r="N135" i="7"/>
  <c r="O135" i="7"/>
  <c r="P135" i="7"/>
  <c r="Q135" i="7"/>
  <c r="M136" i="7"/>
  <c r="N136" i="7"/>
  <c r="O136" i="7"/>
  <c r="P136" i="7"/>
  <c r="Q136" i="7"/>
  <c r="M137" i="7"/>
  <c r="N137" i="7"/>
  <c r="O137" i="7"/>
  <c r="P137" i="7"/>
  <c r="Q137" i="7"/>
  <c r="M138" i="7"/>
  <c r="N138" i="7"/>
  <c r="O138" i="7"/>
  <c r="P138" i="7"/>
  <c r="Q138" i="7"/>
  <c r="M139" i="7"/>
  <c r="N139" i="7"/>
  <c r="O139" i="7"/>
  <c r="P139" i="7"/>
  <c r="Q139" i="7"/>
  <c r="M140" i="7"/>
  <c r="N140" i="7"/>
  <c r="O140" i="7"/>
  <c r="P140" i="7"/>
  <c r="Q140" i="7"/>
  <c r="M141" i="7"/>
  <c r="N141" i="7"/>
  <c r="O141" i="7"/>
  <c r="P141" i="7"/>
  <c r="Q141" i="7"/>
  <c r="M142" i="7"/>
  <c r="N142" i="7"/>
  <c r="O142" i="7"/>
  <c r="P142" i="7"/>
  <c r="Q142" i="7"/>
  <c r="M143" i="7"/>
  <c r="N143" i="7"/>
  <c r="O143" i="7"/>
  <c r="P143" i="7"/>
  <c r="Q143" i="7"/>
  <c r="M144" i="7"/>
  <c r="N144" i="7"/>
  <c r="O144" i="7"/>
  <c r="P144" i="7"/>
  <c r="Q144" i="7"/>
  <c r="M145" i="7"/>
  <c r="N145" i="7"/>
  <c r="O145" i="7"/>
  <c r="P145" i="7"/>
  <c r="Q145" i="7"/>
  <c r="M146" i="7"/>
  <c r="N146" i="7"/>
  <c r="O146" i="7"/>
  <c r="P146" i="7"/>
  <c r="Q146" i="7"/>
  <c r="M147" i="7"/>
  <c r="N147" i="7"/>
  <c r="O147" i="7"/>
  <c r="P147" i="7"/>
  <c r="Q147" i="7"/>
  <c r="M148" i="7"/>
  <c r="N148" i="7"/>
  <c r="O148" i="7"/>
  <c r="P148" i="7"/>
  <c r="Q148" i="7"/>
  <c r="M149" i="7"/>
  <c r="N149" i="7"/>
  <c r="O149" i="7"/>
  <c r="P149" i="7"/>
  <c r="Q149" i="7"/>
  <c r="M150" i="7"/>
  <c r="N150" i="7"/>
  <c r="O150" i="7"/>
  <c r="P150" i="7"/>
  <c r="Q150" i="7"/>
  <c r="M151" i="7"/>
  <c r="N151" i="7"/>
  <c r="O151" i="7"/>
  <c r="P151" i="7"/>
  <c r="Q151" i="7"/>
  <c r="M152" i="7"/>
  <c r="N152" i="7"/>
  <c r="O152" i="7"/>
  <c r="P152" i="7"/>
  <c r="Q152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M116" i="7"/>
  <c r="N116" i="7"/>
  <c r="O116" i="7"/>
  <c r="P116" i="7"/>
  <c r="Q116" i="7"/>
  <c r="M117" i="7"/>
  <c r="N117" i="7"/>
  <c r="O117" i="7"/>
  <c r="P117" i="7"/>
  <c r="Q117" i="7"/>
  <c r="M118" i="7"/>
  <c r="N118" i="7"/>
  <c r="O118" i="7"/>
  <c r="P118" i="7"/>
  <c r="Q118" i="7"/>
  <c r="M119" i="7"/>
  <c r="N119" i="7"/>
  <c r="P119" i="7"/>
  <c r="M120" i="7"/>
  <c r="N120" i="7"/>
  <c r="O120" i="7"/>
  <c r="P120" i="7"/>
  <c r="Q120" i="7"/>
  <c r="M121" i="7"/>
  <c r="N121" i="7"/>
  <c r="O121" i="7"/>
  <c r="P121" i="7"/>
  <c r="Q121" i="7"/>
  <c r="M122" i="7"/>
  <c r="N122" i="7"/>
  <c r="P122" i="7"/>
  <c r="M123" i="7"/>
  <c r="N123" i="7"/>
  <c r="O123" i="7"/>
  <c r="P123" i="7"/>
  <c r="Q123" i="7"/>
  <c r="M124" i="7"/>
  <c r="N124" i="7"/>
  <c r="O124" i="7"/>
  <c r="P124" i="7"/>
  <c r="Q124" i="7"/>
  <c r="M125" i="7"/>
  <c r="N125" i="7"/>
  <c r="O125" i="7"/>
  <c r="P125" i="7"/>
  <c r="Q125" i="7"/>
  <c r="M126" i="7"/>
  <c r="N126" i="7"/>
  <c r="O126" i="7"/>
  <c r="P126" i="7"/>
  <c r="Q126" i="7"/>
  <c r="M127" i="7"/>
  <c r="N127" i="7"/>
  <c r="O127" i="7"/>
  <c r="P127" i="7"/>
  <c r="Q127" i="7"/>
  <c r="M128" i="7"/>
  <c r="N128" i="7"/>
  <c r="P128" i="7"/>
  <c r="M129" i="7"/>
  <c r="N129" i="7"/>
  <c r="O129" i="7"/>
  <c r="P129" i="7"/>
  <c r="Q129" i="7"/>
  <c r="M130" i="7"/>
  <c r="N130" i="7"/>
  <c r="O130" i="7"/>
  <c r="P130" i="7"/>
  <c r="Q130" i="7"/>
  <c r="M131" i="7"/>
  <c r="N131" i="7"/>
  <c r="O131" i="7"/>
  <c r="P131" i="7"/>
  <c r="Q131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I108" i="7" l="1"/>
  <c r="S146" i="7" l="1"/>
  <c r="R146" i="7"/>
  <c r="K146" i="7"/>
  <c r="E146" i="7"/>
  <c r="D146" i="7"/>
  <c r="S123" i="7"/>
  <c r="R123" i="7"/>
  <c r="K123" i="7"/>
  <c r="G123" i="7"/>
  <c r="E123" i="7"/>
  <c r="D123" i="7"/>
  <c r="S120" i="7"/>
  <c r="R120" i="7"/>
  <c r="K120" i="7"/>
  <c r="G120" i="7"/>
  <c r="E120" i="7"/>
  <c r="D120" i="7"/>
  <c r="R139" i="7"/>
  <c r="S139" i="7"/>
  <c r="G139" i="7"/>
  <c r="E139" i="7"/>
  <c r="D139" i="7"/>
  <c r="S135" i="7"/>
  <c r="R135" i="7"/>
  <c r="K135" i="7"/>
  <c r="G135" i="7"/>
  <c r="E135" i="7"/>
  <c r="D135" i="7"/>
  <c r="S131" i="7"/>
  <c r="R131" i="7"/>
  <c r="K131" i="7"/>
  <c r="G131" i="7"/>
  <c r="E131" i="7"/>
  <c r="D131" i="7"/>
  <c r="S150" i="7"/>
  <c r="R150" i="7"/>
  <c r="K150" i="7"/>
  <c r="G150" i="7"/>
  <c r="E150" i="7"/>
  <c r="D150" i="7"/>
  <c r="K136" i="7"/>
  <c r="G136" i="7"/>
  <c r="E136" i="7"/>
  <c r="D136" i="7"/>
  <c r="R152" i="7"/>
  <c r="K152" i="7"/>
  <c r="G152" i="7"/>
  <c r="E152" i="7"/>
  <c r="D152" i="7"/>
  <c r="R144" i="7"/>
  <c r="S144" i="7"/>
  <c r="K144" i="7"/>
  <c r="G144" i="7"/>
  <c r="F144" i="7"/>
  <c r="E144" i="7"/>
  <c r="D144" i="7"/>
  <c r="D127" i="7" l="1"/>
  <c r="K126" i="7" l="1"/>
  <c r="G126" i="7"/>
  <c r="E126" i="7"/>
  <c r="D126" i="7"/>
  <c r="S127" i="7"/>
  <c r="R127" i="7"/>
  <c r="K127" i="7"/>
  <c r="G127" i="7"/>
  <c r="H43" i="7"/>
  <c r="S151" i="7" l="1"/>
  <c r="R151" i="7"/>
  <c r="K151" i="7"/>
  <c r="G151" i="7"/>
  <c r="F151" i="7"/>
  <c r="E151" i="7"/>
  <c r="D151" i="7"/>
  <c r="S143" i="7" l="1"/>
  <c r="R143" i="7"/>
  <c r="K143" i="7"/>
  <c r="G143" i="7"/>
  <c r="F143" i="7"/>
  <c r="E143" i="7"/>
  <c r="D143" i="7"/>
  <c r="S118" i="7"/>
  <c r="R118" i="7"/>
  <c r="K118" i="7"/>
  <c r="G118" i="7"/>
  <c r="F118" i="7"/>
  <c r="E118" i="7"/>
  <c r="D118" i="7"/>
  <c r="S231" i="7"/>
  <c r="R231" i="7"/>
  <c r="K231" i="7"/>
  <c r="G231" i="7"/>
  <c r="F231" i="7"/>
  <c r="E231" i="7"/>
  <c r="D231" i="7"/>
  <c r="S117" i="7"/>
  <c r="R117" i="7"/>
  <c r="K117" i="7"/>
  <c r="G117" i="7"/>
  <c r="F117" i="7"/>
  <c r="E117" i="7"/>
  <c r="D117" i="7"/>
  <c r="S140" i="7"/>
  <c r="R140" i="7"/>
  <c r="K140" i="7"/>
  <c r="G140" i="7"/>
  <c r="E140" i="7"/>
  <c r="D140" i="7"/>
  <c r="S121" i="7"/>
  <c r="R121" i="7"/>
  <c r="K121" i="7"/>
  <c r="G121" i="7"/>
  <c r="E121" i="7"/>
  <c r="D121" i="7"/>
  <c r="S119" i="7"/>
  <c r="R119" i="7"/>
  <c r="S134" i="7"/>
  <c r="R134" i="7"/>
  <c r="K134" i="7"/>
  <c r="G134" i="7"/>
  <c r="E134" i="7"/>
  <c r="D134" i="7"/>
  <c r="S145" i="7"/>
  <c r="R145" i="7"/>
  <c r="K145" i="7"/>
  <c r="G145" i="7"/>
  <c r="F145" i="7"/>
  <c r="E145" i="7"/>
  <c r="D145" i="7"/>
  <c r="H52" i="7" l="1"/>
  <c r="S142" i="7"/>
  <c r="R142" i="7"/>
  <c r="K142" i="7"/>
  <c r="G142" i="7"/>
  <c r="E142" i="7"/>
  <c r="D142" i="7"/>
  <c r="K141" i="7" l="1"/>
  <c r="G141" i="7"/>
  <c r="E141" i="7"/>
  <c r="D141" i="7"/>
  <c r="D85" i="7"/>
  <c r="S137" i="7"/>
  <c r="R137" i="7"/>
  <c r="K137" i="7"/>
  <c r="G137" i="7"/>
  <c r="E137" i="7"/>
  <c r="D137" i="7"/>
  <c r="K116" i="7"/>
  <c r="G116" i="7"/>
  <c r="E116" i="7"/>
  <c r="D116" i="7"/>
  <c r="S149" i="7" l="1"/>
  <c r="R149" i="7"/>
  <c r="K149" i="7"/>
  <c r="G149" i="7"/>
  <c r="E149" i="7"/>
  <c r="D149" i="7"/>
  <c r="S129" i="7" l="1"/>
  <c r="R129" i="7"/>
  <c r="K129" i="7"/>
  <c r="G129" i="7"/>
  <c r="E129" i="7"/>
  <c r="D129" i="7"/>
  <c r="S233" i="7" l="1"/>
  <c r="R233" i="7"/>
  <c r="S125" i="7"/>
  <c r="R125" i="7"/>
  <c r="S124" i="7"/>
  <c r="R124" i="7"/>
  <c r="S147" i="7" l="1"/>
  <c r="R147" i="7"/>
  <c r="K147" i="7"/>
  <c r="G147" i="7"/>
  <c r="E147" i="7"/>
  <c r="D147" i="7"/>
  <c r="H78" i="7" l="1"/>
  <c r="S136" i="7"/>
  <c r="R136" i="7"/>
  <c r="H136" i="7"/>
  <c r="H105" i="7"/>
  <c r="H186" i="7"/>
  <c r="H210" i="7"/>
  <c r="H140" i="7"/>
  <c r="H151" i="7" l="1"/>
  <c r="H29" i="7" l="1"/>
  <c r="H72" i="7"/>
  <c r="H46" i="7"/>
  <c r="S128" i="7" l="1"/>
  <c r="R128" i="7"/>
  <c r="H39" i="7" l="1"/>
  <c r="H173" i="7"/>
  <c r="H174" i="7"/>
  <c r="H166" i="7"/>
  <c r="H167" i="7"/>
  <c r="P223" i="7" l="1"/>
  <c r="N223" i="7"/>
  <c r="M223" i="7"/>
  <c r="H223" i="7"/>
  <c r="Q223" i="7" s="1"/>
  <c r="O223" i="7" l="1"/>
  <c r="H165" i="7" l="1"/>
  <c r="I236" i="7" l="1"/>
  <c r="H146" i="7"/>
  <c r="H58" i="7"/>
  <c r="J231" i="7" l="1"/>
  <c r="T227" i="7"/>
  <c r="K227" i="7"/>
  <c r="I227" i="7"/>
  <c r="B4" i="3" l="1"/>
  <c r="C12" i="2"/>
  <c r="J223" i="7"/>
  <c r="L223" i="7"/>
  <c r="H188" i="7"/>
  <c r="H148" i="7"/>
  <c r="H62" i="7" l="1"/>
  <c r="T236" i="7"/>
  <c r="B14" i="6" s="1"/>
  <c r="B13" i="6"/>
  <c r="H10" i="7" l="1"/>
  <c r="H67" i="7" l="1"/>
  <c r="H109" i="7" l="1"/>
  <c r="H150" i="7" l="1"/>
  <c r="H115" i="7"/>
  <c r="S122" i="7" l="1"/>
  <c r="R122" i="7"/>
  <c r="H235" i="7" l="1"/>
  <c r="H234" i="7"/>
  <c r="H233" i="7"/>
  <c r="H232" i="7"/>
  <c r="H157" i="7" l="1"/>
  <c r="K236" i="7" l="1"/>
  <c r="P231" i="7"/>
  <c r="M231" i="7"/>
  <c r="N231" i="7"/>
  <c r="H231" i="7"/>
  <c r="B3" i="3" l="1"/>
  <c r="C13" i="2"/>
  <c r="L231" i="7"/>
  <c r="Q231" i="7"/>
  <c r="O231" i="7"/>
  <c r="H5" i="7"/>
  <c r="H45" i="7" l="1"/>
  <c r="S126" i="7"/>
  <c r="R126" i="7"/>
  <c r="H126" i="7" l="1"/>
  <c r="H18" i="7"/>
  <c r="H169" i="7" l="1"/>
  <c r="H226" i="7" l="1"/>
  <c r="H224" i="7"/>
  <c r="H225" i="7"/>
  <c r="H220" i="7"/>
  <c r="H20" i="7" l="1"/>
  <c r="H137" i="7" l="1"/>
  <c r="H122" i="7"/>
  <c r="S116" i="7"/>
  <c r="R116" i="7"/>
  <c r="S141" i="7"/>
  <c r="R141" i="7"/>
  <c r="Q122" i="7" l="1"/>
  <c r="O122" i="7"/>
  <c r="M197" i="7"/>
  <c r="N197" i="7"/>
  <c r="P197" i="7"/>
  <c r="H208" i="7" l="1"/>
  <c r="H118" i="7"/>
  <c r="H33" i="7" l="1"/>
  <c r="H31" i="7" l="1"/>
  <c r="H141" i="7" l="1"/>
  <c r="H49" i="7" l="1"/>
  <c r="H44" i="7" l="1"/>
  <c r="H156" i="7" l="1"/>
  <c r="H98" i="7" l="1"/>
  <c r="H107" i="7" l="1"/>
  <c r="T162" i="7" l="1"/>
  <c r="B10" i="6" s="1"/>
  <c r="K162" i="7"/>
  <c r="P207" i="7"/>
  <c r="N207" i="7"/>
  <c r="M207" i="7"/>
  <c r="I162" i="7"/>
  <c r="C9" i="2" l="1"/>
  <c r="B8" i="3"/>
  <c r="M162" i="7"/>
  <c r="H212" i="7"/>
  <c r="H15" i="7" l="1"/>
  <c r="H138" i="7" l="1"/>
  <c r="H83" i="7"/>
  <c r="H181" i="7"/>
  <c r="H22" i="7"/>
  <c r="H168" i="7" l="1"/>
  <c r="H170" i="7"/>
  <c r="H171" i="7"/>
  <c r="H172" i="7"/>
  <c r="H175" i="7"/>
  <c r="H178" i="7"/>
  <c r="H180" i="7"/>
  <c r="H179" i="7"/>
  <c r="H182" i="7"/>
  <c r="H183" i="7"/>
  <c r="H184" i="7"/>
  <c r="H185" i="7"/>
  <c r="H187" i="7"/>
  <c r="H189" i="7"/>
  <c r="H190" i="7"/>
  <c r="H191" i="7"/>
  <c r="H192" i="7"/>
  <c r="H193" i="7"/>
  <c r="P156" i="7" l="1"/>
  <c r="N156" i="7"/>
  <c r="M156" i="7"/>
  <c r="H209" i="7" l="1"/>
  <c r="H211" i="7"/>
  <c r="H213" i="7"/>
  <c r="H214" i="7"/>
  <c r="H215" i="7"/>
  <c r="H218" i="7"/>
  <c r="H219" i="7"/>
  <c r="H207" i="7" l="1"/>
  <c r="H204" i="7"/>
  <c r="H203" i="7"/>
  <c r="H197" i="7"/>
  <c r="H198" i="7"/>
  <c r="H158" i="7"/>
  <c r="H159" i="7"/>
  <c r="H160" i="7"/>
  <c r="H161" i="7"/>
  <c r="H135" i="7"/>
  <c r="H139" i="7"/>
  <c r="H142" i="7"/>
  <c r="H143" i="7"/>
  <c r="H144" i="7"/>
  <c r="H145" i="7"/>
  <c r="H147" i="7"/>
  <c r="H149" i="7"/>
  <c r="H152" i="7"/>
  <c r="H134" i="7"/>
  <c r="H116" i="7"/>
  <c r="H117" i="7"/>
  <c r="H119" i="7"/>
  <c r="H120" i="7"/>
  <c r="H121" i="7"/>
  <c r="H123" i="7"/>
  <c r="H124" i="7"/>
  <c r="H125" i="7"/>
  <c r="H127" i="7"/>
  <c r="H128" i="7"/>
  <c r="H129" i="7"/>
  <c r="H130" i="7"/>
  <c r="H131" i="7"/>
  <c r="O128" i="7" l="1"/>
  <c r="Q128" i="7"/>
  <c r="O119" i="7"/>
  <c r="Q119" i="7"/>
  <c r="O197" i="7"/>
  <c r="Q197" i="7"/>
  <c r="Q207" i="7"/>
  <c r="O207" i="7"/>
  <c r="Q156" i="7"/>
  <c r="O156" i="7"/>
  <c r="H73" i="7"/>
  <c r="H74" i="7"/>
  <c r="H75" i="7"/>
  <c r="H76" i="7"/>
  <c r="H77" i="7"/>
  <c r="H79" i="7"/>
  <c r="H80" i="7"/>
  <c r="H81" i="7"/>
  <c r="H82" i="7"/>
  <c r="H84" i="7"/>
  <c r="H85" i="7"/>
  <c r="H86" i="7"/>
  <c r="H87" i="7"/>
  <c r="H88" i="7"/>
  <c r="H90" i="7"/>
  <c r="H91" i="7"/>
  <c r="H92" i="7"/>
  <c r="H93" i="7"/>
  <c r="H94" i="7"/>
  <c r="H95" i="7"/>
  <c r="H96" i="7"/>
  <c r="H97" i="7"/>
  <c r="H99" i="7"/>
  <c r="H100" i="7"/>
  <c r="H101" i="7"/>
  <c r="H102" i="7"/>
  <c r="H103" i="7"/>
  <c r="H104" i="7"/>
  <c r="H106" i="7"/>
  <c r="H110" i="7"/>
  <c r="H8" i="7"/>
  <c r="H9" i="7"/>
  <c r="H11" i="7"/>
  <c r="H12" i="7"/>
  <c r="H13" i="7"/>
  <c r="H14" i="7"/>
  <c r="H16" i="7"/>
  <c r="H17" i="7"/>
  <c r="H19" i="7"/>
  <c r="H21" i="7"/>
  <c r="H23" i="7"/>
  <c r="H6" i="7"/>
  <c r="H7" i="7"/>
  <c r="H28" i="7" l="1"/>
  <c r="H30" i="7"/>
  <c r="H32" i="7"/>
  <c r="H34" i="7"/>
  <c r="H35" i="7"/>
  <c r="H36" i="7"/>
  <c r="H37" i="7"/>
  <c r="H38" i="7"/>
  <c r="H40" i="7"/>
  <c r="H41" i="7"/>
  <c r="H42" i="7"/>
  <c r="H47" i="7"/>
  <c r="H48" i="7"/>
  <c r="H50" i="7"/>
  <c r="H51" i="7"/>
  <c r="H53" i="7"/>
  <c r="H54" i="7"/>
  <c r="H55" i="7"/>
  <c r="H56" i="7"/>
  <c r="H57" i="7"/>
  <c r="H59" i="7"/>
  <c r="H60" i="7"/>
  <c r="H61" i="7"/>
  <c r="H63" i="7"/>
  <c r="H64" i="7"/>
  <c r="H65" i="7"/>
  <c r="H66" i="7"/>
  <c r="H68" i="7"/>
  <c r="Q203" i="7" l="1"/>
  <c r="P203" i="7"/>
  <c r="O203" i="7"/>
  <c r="N203" i="7"/>
  <c r="M203" i="7"/>
  <c r="T199" i="7"/>
  <c r="B12" i="6" s="1"/>
  <c r="K199" i="7"/>
  <c r="I199" i="7"/>
  <c r="K194" i="7"/>
  <c r="I194" i="7"/>
  <c r="T194" i="7"/>
  <c r="B11" i="6" s="1"/>
  <c r="P165" i="7"/>
  <c r="N165" i="7"/>
  <c r="M165" i="7"/>
  <c r="Q165" i="7"/>
  <c r="L156" i="7"/>
  <c r="T153" i="7"/>
  <c r="B9" i="6" s="1"/>
  <c r="P115" i="7"/>
  <c r="N115" i="7"/>
  <c r="M115" i="7"/>
  <c r="Q115" i="7"/>
  <c r="T111" i="7"/>
  <c r="B8" i="6" s="1"/>
  <c r="K111" i="7"/>
  <c r="I111" i="7"/>
  <c r="P72" i="7"/>
  <c r="N72" i="7"/>
  <c r="M72" i="7"/>
  <c r="T69" i="7"/>
  <c r="B7" i="6" s="1"/>
  <c r="K69" i="7"/>
  <c r="I69" i="7"/>
  <c r="P27" i="7"/>
  <c r="N27" i="7"/>
  <c r="M27" i="7"/>
  <c r="H27" i="7"/>
  <c r="Q27" i="7" s="1"/>
  <c r="T24" i="7"/>
  <c r="B6" i="6" s="1"/>
  <c r="K24" i="7"/>
  <c r="I24" i="7"/>
  <c r="P5" i="7"/>
  <c r="N5" i="7"/>
  <c r="M5" i="7"/>
  <c r="Q5" i="7"/>
  <c r="C11" i="2" l="1"/>
  <c r="C10" i="2"/>
  <c r="C7" i="2"/>
  <c r="C6" i="2"/>
  <c r="B5" i="3"/>
  <c r="C5" i="2"/>
  <c r="B2" i="3"/>
  <c r="B7" i="3"/>
  <c r="B10" i="3"/>
  <c r="L197" i="7"/>
  <c r="J197" i="7"/>
  <c r="B6" i="3"/>
  <c r="M199" i="7"/>
  <c r="L207" i="7"/>
  <c r="J207" i="7"/>
  <c r="M24" i="7"/>
  <c r="M69" i="7"/>
  <c r="M111" i="7"/>
  <c r="M194" i="7"/>
  <c r="J156" i="7"/>
  <c r="Q134" i="7"/>
  <c r="N134" i="7"/>
  <c r="J72" i="7"/>
  <c r="L203" i="7"/>
  <c r="O115" i="7"/>
  <c r="J165" i="7"/>
  <c r="L27" i="7"/>
  <c r="J203" i="7"/>
  <c r="M227" i="7"/>
  <c r="T228" i="7"/>
  <c r="T237" i="7" s="1"/>
  <c r="L72" i="7"/>
  <c r="M134" i="7"/>
  <c r="P134" i="7"/>
  <c r="O165" i="7"/>
  <c r="L5" i="7"/>
  <c r="Q72" i="7"/>
  <c r="O72" i="7"/>
  <c r="K153" i="7"/>
  <c r="J5" i="7"/>
  <c r="O5" i="7"/>
  <c r="J27" i="7"/>
  <c r="O27" i="7"/>
  <c r="I153" i="7"/>
  <c r="L165" i="7"/>
  <c r="L135" i="7" l="1"/>
  <c r="L137" i="7"/>
  <c r="L139" i="7"/>
  <c r="L141" i="7"/>
  <c r="L143" i="7"/>
  <c r="L145" i="7"/>
  <c r="L147" i="7"/>
  <c r="L149" i="7"/>
  <c r="L151" i="7"/>
  <c r="L117" i="7"/>
  <c r="L119" i="7"/>
  <c r="L121" i="7"/>
  <c r="L123" i="7"/>
  <c r="L125" i="7"/>
  <c r="L127" i="7"/>
  <c r="L129" i="7"/>
  <c r="L131" i="7"/>
  <c r="L136" i="7"/>
  <c r="L138" i="7"/>
  <c r="L140" i="7"/>
  <c r="L142" i="7"/>
  <c r="L144" i="7"/>
  <c r="L146" i="7"/>
  <c r="L148" i="7"/>
  <c r="L150" i="7"/>
  <c r="L152" i="7"/>
  <c r="L116" i="7"/>
  <c r="L118" i="7"/>
  <c r="L120" i="7"/>
  <c r="L122" i="7"/>
  <c r="L124" i="7"/>
  <c r="L126" i="7"/>
  <c r="L128" i="7"/>
  <c r="L130" i="7"/>
  <c r="C8" i="2"/>
  <c r="B9" i="3"/>
  <c r="J134" i="7"/>
  <c r="M153" i="7"/>
  <c r="O134" i="7"/>
  <c r="K228" i="7"/>
  <c r="J115" i="7"/>
  <c r="L115" i="7"/>
  <c r="L134" i="7"/>
  <c r="I228" i="7"/>
  <c r="I237" i="7" l="1"/>
  <c r="K237" i="7"/>
  <c r="J236" i="7" l="1"/>
  <c r="J199" i="7"/>
  <c r="J162" i="7"/>
  <c r="J111" i="7"/>
  <c r="J24" i="7"/>
  <c r="J227" i="7"/>
  <c r="J153" i="7"/>
  <c r="J69" i="7"/>
  <c r="J194" i="7"/>
  <c r="L227" i="7"/>
  <c r="L199" i="7"/>
  <c r="L24" i="7"/>
  <c r="L194" i="7"/>
  <c r="L162" i="7"/>
  <c r="L111" i="7"/>
  <c r="L69" i="7"/>
  <c r="L236" i="7"/>
  <c r="L153" i="7"/>
</calcChain>
</file>

<file path=xl/sharedStrings.xml><?xml version="1.0" encoding="utf-8"?>
<sst xmlns="http://schemas.openxmlformats.org/spreadsheetml/2006/main" count="483" uniqueCount="325">
  <si>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</si>
  <si>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</si>
  <si>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</si>
  <si>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</si>
  <si>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</si>
  <si>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</si>
  <si>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</si>
  <si>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</si>
  <si>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</si>
  <si>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</si>
  <si>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</si>
  <si>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</si>
  <si>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</si>
  <si>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</si>
  <si>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</si>
  <si>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</si>
  <si>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</si>
  <si>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</si>
  <si>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</si>
  <si>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</si>
  <si>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</si>
  <si>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</si>
  <si>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</si>
  <si>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</si>
  <si>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</si>
  <si>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</si>
  <si>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</si>
  <si>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</si>
  <si>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</si>
  <si>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</si>
  <si>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</si>
  <si>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</si>
  <si>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</si>
  <si>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</si>
  <si>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</si>
  <si>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</si>
  <si>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</si>
  <si>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</si>
  <si>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</si>
  <si>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</si>
  <si>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</si>
  <si>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</si>
  <si>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</si>
  <si>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</si>
  <si>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</si>
  <si>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</si>
  <si>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</si>
  <si>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</si>
  <si>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</si>
  <si>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</si>
  <si>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</si>
  <si>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</si>
  <si>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</si>
  <si>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</si>
  <si>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</si>
  <si>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</si>
  <si>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</si>
  <si>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</si>
  <si>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</si>
  <si>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</si>
  <si>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</si>
  <si>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</si>
  <si>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</si>
  <si>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</si>
  <si>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</si>
  <si>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</si>
  <si>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</si>
  <si>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</si>
  <si>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</si>
  <si>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</si>
  <si>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</si>
  <si>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</si>
  <si>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</si>
  <si>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</si>
  <si>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</si>
  <si>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</si>
  <si>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</si>
  <si>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</si>
  <si>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</si>
  <si>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</si>
  <si>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</si>
  <si>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</si>
  <si>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</si>
  <si>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</si>
  <si>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</si>
  <si>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</si>
  <si>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</si>
  <si>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</si>
  <si>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</si>
  <si>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</si>
  <si>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</si>
  <si>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</si>
  <si>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</si>
  <si>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</si>
  <si>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</si>
  <si>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</si>
  <si>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</si>
  <si>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</si>
  <si>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</si>
  <si>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</si>
  <si>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</si>
  <si>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</si>
  <si>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</si>
  <si>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</si>
  <si>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</si>
  <si>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</si>
  <si>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</si>
  <si>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</si>
  <si>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</si>
  <si>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</si>
  <si>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</si>
  <si>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</si>
  <si>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</si>
  <si>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</si>
  <si>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</si>
  <si>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</si>
  <si>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</si>
  <si>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</si>
  <si>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</si>
  <si>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</si>
  <si>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</si>
  <si>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</si>
  <si>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</si>
  <si>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</si>
  <si>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</si>
  <si>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</si>
  <si>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</si>
  <si>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</si>
  <si>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</si>
  <si>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</si>
  <si>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</si>
  <si>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</si>
  <si>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</si>
  <si>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</si>
  <si>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</si>
  <si>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</si>
  <si>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</si>
  <si>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</si>
  <si>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</si>
  <si>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</si>
  <si>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</si>
  <si>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</si>
  <si>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</si>
  <si>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</si>
  <si>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</si>
  <si>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</si>
  <si>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</si>
  <si>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</si>
  <si>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</si>
  <si>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</si>
  <si>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</si>
  <si>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</si>
  <si>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</si>
  <si>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</si>
  <si>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</si>
  <si>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</si>
  <si>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</si>
  <si>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</si>
  <si>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</si>
  <si>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</si>
  <si>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</si>
  <si>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</si>
  <si>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</si>
  <si>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</si>
  <si>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</si>
  <si>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</si>
  <si>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</si>
  <si>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</si>
  <si>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</si>
  <si>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</si>
  <si>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</si>
  <si>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</si>
  <si>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</si>
  <si>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</si>
  <si>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</si>
  <si>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</si>
  <si>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</si>
  <si>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</si>
  <si>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</si>
  <si>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</si>
  <si>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</si>
  <si>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</si>
  <si>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</si>
  <si>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</si>
  <si>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</si>
  <si>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</si>
  <si>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</si>
  <si>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</si>
  <si>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</si>
  <si>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</si>
  <si>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</si>
  <si>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</si>
  <si>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</si>
  <si>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</si>
  <si>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</si>
  <si>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</si>
  <si>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</si>
  <si>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</si>
  <si>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</si>
  <si>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</si>
  <si>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</si>
  <si>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</si>
  <si>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</si>
  <si>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</si>
  <si>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</si>
  <si>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</si>
  <si>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</si>
  <si>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</si>
  <si>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</si>
  <si>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</si>
  <si>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</si>
  <si>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</si>
  <si>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</si>
  <si>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</si>
  <si>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</si>
  <si>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</si>
  <si>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</si>
  <si>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</si>
  <si>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</si>
  <si>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</si>
  <si>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</si>
  <si>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</si>
  <si>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</si>
  <si>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</si>
  <si>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</si>
  <si>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</si>
  <si>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</si>
  <si>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</si>
  <si>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</si>
  <si>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</si>
  <si>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</si>
  <si>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</si>
  <si>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</si>
  <si>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</si>
  <si>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</si>
  <si>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</si>
  <si>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</si>
  <si>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</si>
  <si>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</si>
  <si>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</si>
  <si>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</si>
  <si>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</si>
  <si>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</si>
  <si>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</si>
  <si>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</si>
  <si>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</si>
  <si>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</si>
  <si>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</si>
  <si>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</si>
  <si>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</si>
  <si>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</si>
  <si>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</si>
  <si>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</si>
  <si>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</si>
  <si>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</si>
  <si>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</si>
  <si>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</si>
  <si>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</si>
  <si>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</si>
  <si>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</si>
  <si>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</si>
  <si>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</si>
  <si>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</si>
  <si>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</si>
  <si>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</si>
  <si>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</si>
  <si>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</si>
  <si>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</si>
  <si>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</si>
  <si>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</si>
  <si>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</si>
  <si>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</si>
  <si>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</si>
  <si>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</si>
  <si>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</si>
  <si>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</si>
  <si>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</si>
  <si>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Balanced Fund</t>
  </si>
  <si>
    <t>One17 Halal Fund</t>
  </si>
  <si>
    <t>One17 Capital Limited</t>
  </si>
  <si>
    <t>ARM Halal Balanced Fund</t>
  </si>
  <si>
    <t>MOFI Real Estate Investment Fund</t>
  </si>
  <si>
    <t>SPECIALISED FUNDS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</si>
  <si>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</si>
  <si>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</si>
  <si>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</si>
  <si>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</si>
  <si>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</si>
  <si>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</si>
  <si>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</si>
  <si>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Zedcrest Dollar Fund</t>
  </si>
  <si>
    <t>Zedcrest Investment Managers Limited</t>
  </si>
  <si>
    <t>Zedcrest Fixed Income Fund</t>
  </si>
  <si>
    <t>Zedcrest Money Market Fund</t>
  </si>
  <si>
    <t>Mutual Fund Total</t>
  </si>
  <si>
    <t>Parthian Money Market Fund</t>
  </si>
  <si>
    <t>Parthian Capital Ltd.</t>
  </si>
  <si>
    <t>STL Money Market Fund</t>
  </si>
  <si>
    <t>STL Asset Mgt. Limited</t>
  </si>
  <si>
    <t>STL Dollar Fund</t>
  </si>
  <si>
    <t>STL Balanced Fund</t>
  </si>
  <si>
    <t>Parthian Dollar Fixed Income Fund</t>
  </si>
  <si>
    <t>BALANCED FUND</t>
  </si>
  <si>
    <t>Afrinvest Halal Fund</t>
  </si>
  <si>
    <t>Afrinvest Asset Mgt Ltd.</t>
  </si>
  <si>
    <t>DLM Money Market Fund</t>
  </si>
  <si>
    <t>Samtl Mixed Income Fud</t>
  </si>
  <si>
    <t>Samtl Fund Managers Limited</t>
  </si>
  <si>
    <t>CFG AM Fixed Income Naira Fund</t>
  </si>
  <si>
    <t>CFG Assset Management Limited</t>
  </si>
  <si>
    <t>Trustbanc Fixed Income Fund</t>
  </si>
  <si>
    <t>Trustbanc Aset Management Limited</t>
  </si>
  <si>
    <t>CFG AM Fixed Income Dollar Fund</t>
  </si>
  <si>
    <t>Greenwich Fixed Income Dollar Fund</t>
  </si>
  <si>
    <t>Vetiva USD Fixed Income Fund</t>
  </si>
  <si>
    <t>D'Namaz Halal Fixed Income Fund</t>
  </si>
  <si>
    <t>D'Namaz Capital Limited</t>
  </si>
  <si>
    <t>-</t>
  </si>
  <si>
    <t>Sep 2025</t>
  </si>
  <si>
    <t>MONTHLY UPDATE ON REGISTERED MUTUAL FUNDS AS AT 31ST OCTOBER, 2025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</si>
  <si>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31st October, 2025 = N1421.7343</t>
    </r>
  </si>
  <si>
    <t>FBN Dollar Fund</t>
  </si>
  <si>
    <t xml:space="preserve"> </t>
  </si>
  <si>
    <t>Oct 2025</t>
  </si>
  <si>
    <t>NET ASSET VALUE (N) PREVIOUS -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</si>
</sst>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1"/>
      <name val="Arial Narrow"/>
      <family val="2"/>
    </font>
    <font>
      <sz val="11"/>
      <name val="Arial Narrow"/>
      <family val="2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b/>
      <sz val="10"/>
      <name val="Calibri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11"/>
      <name val="Calibri"/>
      <family val="2"/>
      <scheme val="minor"/>
    </font>
    <font>
      <b/>
      <sz val="12"/>
      <name val="Arial Narrow"/>
      <family val="2"/>
    </font>
    <font>
      <sz val="10"/>
      <name val="Century Gothic"/>
      <family val="2"/>
    </font>
    <font>
      <sz val="8"/>
      <color rgb="FF42424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Calibri"/>
      <family val="2"/>
      <scheme val="minor"/>
    </font>
    <font>
      <sz val="8"/>
      <color theme="0"/>
      <name val="Century Gothic"/>
      <family val="2"/>
    </font>
    <font>
      <sz val="11"/>
      <color theme="0"/>
      <name val="Arial Narrow"/>
      <family val="2"/>
    </font>
    <font>
      <sz val="1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5">
    <xf numFmtId="0" fontId="0" fillId="0" borderId="0"/>
    <xf numFmtId="164" fontId="10" fillId="0" borderId="0" applyFon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165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3" fillId="27" borderId="0" applyNumberFormat="0" applyBorder="0" applyAlignment="0" applyProtection="0"/>
    <xf numFmtId="17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0" fontId="10" fillId="28" borderId="3" applyNumberFormat="0" applyFont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30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9" fillId="0" borderId="0" xfId="0" applyFont="1"/>
    <xf numFmtId="0" fontId="5" fillId="2" borderId="0" xfId="0" applyFont="1" applyFill="1"/>
    <xf numFmtId="164" fontId="5" fillId="2" borderId="0" xfId="1" applyFont="1" applyFill="1" applyBorder="1" applyAlignment="1"/>
    <xf numFmtId="172" fontId="8" fillId="2" borderId="0" xfId="0" applyNumberFormat="1" applyFont="1" applyFill="1"/>
    <xf numFmtId="175" fontId="8" fillId="2" borderId="0" xfId="0" applyNumberFormat="1" applyFont="1" applyFill="1"/>
    <xf numFmtId="164" fontId="18" fillId="2" borderId="2" xfId="1" applyFont="1" applyFill="1" applyBorder="1"/>
    <xf numFmtId="172" fontId="18" fillId="2" borderId="2" xfId="0" applyNumberFormat="1" applyFont="1" applyFill="1" applyBorder="1" applyAlignment="1">
      <alignment horizontal="right"/>
    </xf>
    <xf numFmtId="164" fontId="18" fillId="2" borderId="2" xfId="1" applyFont="1" applyFill="1" applyBorder="1" applyAlignment="1"/>
    <xf numFmtId="10" fontId="18" fillId="2" borderId="2" xfId="0" applyNumberFormat="1" applyFont="1" applyFill="1" applyBorder="1" applyAlignment="1">
      <alignment horizontal="center"/>
    </xf>
    <xf numFmtId="0" fontId="20" fillId="2" borderId="0" xfId="0" applyFont="1" applyFill="1"/>
    <xf numFmtId="0" fontId="21" fillId="0" borderId="0" xfId="0" applyFont="1"/>
    <xf numFmtId="164" fontId="18" fillId="2" borderId="2" xfId="1" applyFont="1" applyFill="1" applyBorder="1" applyAlignment="1">
      <alignment horizontal="right"/>
    </xf>
    <xf numFmtId="164" fontId="18" fillId="0" borderId="2" xfId="1" applyFont="1" applyBorder="1"/>
    <xf numFmtId="164" fontId="18" fillId="0" borderId="2" xfId="1" applyFont="1" applyFill="1" applyBorder="1"/>
    <xf numFmtId="49" fontId="18" fillId="2" borderId="2" xfId="0" applyNumberFormat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center" vertical="center"/>
    </xf>
    <xf numFmtId="10" fontId="18" fillId="6" borderId="2" xfId="0" applyNumberFormat="1" applyFont="1" applyFill="1" applyBorder="1" applyAlignment="1">
      <alignment horizontal="center" vertical="center"/>
    </xf>
    <xf numFmtId="172" fontId="18" fillId="6" borderId="2" xfId="0" applyNumberFormat="1" applyFont="1" applyFill="1" applyBorder="1" applyAlignment="1">
      <alignment horizontal="right" vertical="center"/>
    </xf>
    <xf numFmtId="172" fontId="18" fillId="2" borderId="2" xfId="0" applyNumberFormat="1" applyFont="1" applyFill="1" applyBorder="1"/>
    <xf numFmtId="172" fontId="18" fillId="6" borderId="2" xfId="0" applyNumberFormat="1" applyFont="1" applyFill="1" applyBorder="1" applyAlignment="1">
      <alignment horizontal="center" vertical="center"/>
    </xf>
    <xf numFmtId="164" fontId="18" fillId="2" borderId="2" xfId="1" applyFont="1" applyFill="1" applyBorder="1" applyAlignment="1">
      <alignment wrapText="1"/>
    </xf>
    <xf numFmtId="172" fontId="19" fillId="2" borderId="2" xfId="0" applyNumberFormat="1" applyFont="1" applyFill="1" applyBorder="1"/>
    <xf numFmtId="164" fontId="18" fillId="2" borderId="2" xfId="1" applyFont="1" applyFill="1" applyBorder="1" applyAlignment="1">
      <alignment horizontal="right" vertical="top" wrapText="1"/>
    </xf>
    <xf numFmtId="164" fontId="18" fillId="2" borderId="2" xfId="1" applyFont="1" applyFill="1" applyBorder="1" applyAlignment="1">
      <alignment horizontal="center" vertical="top" wrapText="1"/>
    </xf>
    <xf numFmtId="164" fontId="18" fillId="2" borderId="2" xfId="1" applyFont="1" applyFill="1" applyBorder="1" applyAlignment="1">
      <alignment horizontal="left"/>
    </xf>
    <xf numFmtId="49" fontId="7" fillId="5" borderId="2" xfId="0" applyNumberFormat="1" applyFont="1" applyFill="1" applyBorder="1" applyAlignment="1">
      <alignment horizontal="center" vertical="top" wrapText="1"/>
    </xf>
    <xf numFmtId="171" fontId="18" fillId="0" borderId="2" xfId="0" applyNumberFormat="1" applyFont="1" applyBorder="1"/>
    <xf numFmtId="174" fontId="18" fillId="0" borderId="2" xfId="0" applyNumberFormat="1" applyFont="1" applyBorder="1"/>
    <xf numFmtId="164" fontId="7" fillId="5" borderId="2" xfId="1" applyFont="1" applyFill="1" applyBorder="1" applyAlignment="1">
      <alignment horizontal="center" vertical="top" wrapText="1"/>
    </xf>
    <xf numFmtId="10" fontId="19" fillId="2" borderId="2" xfId="0" applyNumberFormat="1" applyFont="1" applyFill="1" applyBorder="1" applyAlignment="1">
      <alignment horizontal="center"/>
    </xf>
    <xf numFmtId="172" fontId="19" fillId="6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/>
    <xf numFmtId="164" fontId="19" fillId="2" borderId="2" xfId="1" applyFont="1" applyFill="1" applyBorder="1" applyAlignment="1">
      <alignment wrapText="1"/>
    </xf>
    <xf numFmtId="10" fontId="19" fillId="6" borderId="2" xfId="0" applyNumberFormat="1" applyFont="1" applyFill="1" applyBorder="1" applyAlignment="1">
      <alignment horizontal="right" vertical="center"/>
    </xf>
    <xf numFmtId="173" fontId="18" fillId="2" borderId="2" xfId="0" applyNumberFormat="1" applyFont="1" applyFill="1" applyBorder="1"/>
    <xf numFmtId="0" fontId="22" fillId="9" borderId="0" xfId="0" applyFont="1" applyFill="1" applyAlignment="1">
      <alignment horizontal="left"/>
    </xf>
    <xf numFmtId="164" fontId="18" fillId="0" borderId="2" xfId="1" applyFont="1" applyBorder="1" applyAlignment="1"/>
    <xf numFmtId="164" fontId="18" fillId="7" borderId="2" xfId="1" applyFont="1" applyFill="1" applyBorder="1"/>
    <xf numFmtId="164" fontId="18" fillId="0" borderId="2" xfId="1" applyFont="1" applyFill="1" applyBorder="1" applyAlignment="1">
      <alignment horizontal="right"/>
    </xf>
    <xf numFmtId="4" fontId="25" fillId="2" borderId="0" xfId="0" applyNumberFormat="1" applyFont="1" applyFill="1"/>
    <xf numFmtId="4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right"/>
    </xf>
    <xf numFmtId="164" fontId="25" fillId="2" borderId="0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left"/>
    </xf>
    <xf numFmtId="164" fontId="18" fillId="0" borderId="2" xfId="1" applyFont="1" applyFill="1" applyBorder="1" applyAlignment="1" applyProtection="1"/>
    <xf numFmtId="0" fontId="28" fillId="2" borderId="0" xfId="0" applyFont="1" applyFill="1"/>
    <xf numFmtId="0" fontId="29" fillId="9" borderId="0" xfId="0" applyFont="1" applyFill="1" applyAlignment="1">
      <alignment horizontal="right" vertical="center"/>
    </xf>
    <xf numFmtId="164" fontId="18" fillId="2" borderId="2" xfId="1" applyFont="1" applyFill="1" applyBorder="1" applyAlignment="1">
      <alignment horizontal="center" wrapText="1"/>
    </xf>
    <xf numFmtId="10" fontId="18" fillId="2" borderId="2" xfId="464" applyNumberFormat="1" applyFont="1" applyFill="1" applyBorder="1" applyAlignment="1">
      <alignment horizontal="center" wrapText="1"/>
    </xf>
    <xf numFmtId="0" fontId="27" fillId="2" borderId="0" xfId="0" applyFont="1" applyFill="1" applyAlignment="1">
      <alignment horizontal="left"/>
    </xf>
    <xf numFmtId="10" fontId="19" fillId="2" borderId="2" xfId="0" applyNumberFormat="1" applyFont="1" applyFill="1" applyBorder="1"/>
    <xf numFmtId="10" fontId="19" fillId="2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 applyAlignment="1">
      <alignment horizontal="right" vertical="center"/>
    </xf>
    <xf numFmtId="0" fontId="32" fillId="0" borderId="0" xfId="0" applyFont="1"/>
    <xf numFmtId="164" fontId="18" fillId="2" borderId="6" xfId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33" fillId="0" borderId="0" xfId="0" applyFont="1" applyAlignment="1">
      <alignment horizontal="right"/>
    </xf>
    <xf numFmtId="0" fontId="34" fillId="29" borderId="0" xfId="0" applyFont="1" applyFill="1"/>
    <xf numFmtId="164" fontId="7" fillId="29" borderId="0" xfId="1" applyFont="1" applyFill="1"/>
    <xf numFmtId="164" fontId="34" fillId="29" borderId="0" xfId="1" applyFont="1" applyFill="1"/>
    <xf numFmtId="164" fontId="31" fillId="5" borderId="2" xfId="1" applyFont="1" applyFill="1" applyBorder="1"/>
    <xf numFmtId="10" fontId="31" fillId="5" borderId="2" xfId="0" applyNumberFormat="1" applyFont="1" applyFill="1" applyBorder="1"/>
    <xf numFmtId="10" fontId="31" fillId="5" borderId="2" xfId="0" applyNumberFormat="1" applyFont="1" applyFill="1" applyBorder="1" applyAlignment="1">
      <alignment horizontal="right" vertical="center"/>
    </xf>
    <xf numFmtId="172" fontId="31" fillId="5" borderId="2" xfId="0" applyNumberFormat="1" applyFont="1" applyFill="1" applyBorder="1" applyAlignment="1">
      <alignment horizontal="right" vertical="center"/>
    </xf>
    <xf numFmtId="164" fontId="18" fillId="2" borderId="2" xfId="1" applyFont="1" applyFill="1" applyBorder="1" applyAlignment="1">
      <alignment horizontal="right" wrapText="1"/>
    </xf>
    <xf numFmtId="164" fontId="31" fillId="2" borderId="2" xfId="1" applyFont="1" applyFill="1" applyBorder="1"/>
    <xf numFmtId="10" fontId="31" fillId="2" borderId="2" xfId="0" applyNumberFormat="1" applyFont="1" applyFill="1" applyBorder="1" applyAlignment="1">
      <alignment horizontal="center"/>
    </xf>
    <xf numFmtId="0" fontId="35" fillId="0" borderId="0" xfId="0" applyFont="1"/>
    <xf numFmtId="174" fontId="18" fillId="2" borderId="2" xfId="1" applyNumberFormat="1" applyFont="1" applyFill="1" applyBorder="1" applyAlignment="1">
      <alignment horizontal="center" wrapText="1"/>
    </xf>
    <xf numFmtId="173" fontId="18" fillId="2" borderId="2" xfId="0" applyNumberFormat="1" applyFont="1" applyFill="1" applyBorder="1" applyAlignment="1">
      <alignment horizontal="right" wrapText="1"/>
    </xf>
    <xf numFmtId="4" fontId="18" fillId="2" borderId="2" xfId="0" applyNumberFormat="1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174" fontId="18" fillId="2" borderId="4" xfId="1" applyNumberFormat="1" applyFont="1" applyFill="1" applyBorder="1" applyAlignment="1">
      <alignment horizontal="right" wrapText="1"/>
    </xf>
    <xf numFmtId="164" fontId="18" fillId="2" borderId="0" xfId="1" applyFont="1" applyFill="1" applyBorder="1" applyAlignment="1">
      <alignment wrapText="1"/>
    </xf>
    <xf numFmtId="174" fontId="18" fillId="2" borderId="2" xfId="1" applyNumberFormat="1" applyFont="1" applyFill="1" applyBorder="1" applyAlignment="1">
      <alignment horizontal="right"/>
    </xf>
    <xf numFmtId="0" fontId="18" fillId="2" borderId="2" xfId="0" applyFont="1" applyFill="1" applyBorder="1" applyAlignment="1">
      <alignment horizontal="right" wrapText="1"/>
    </xf>
    <xf numFmtId="2" fontId="18" fillId="2" borderId="2" xfId="0" applyNumberFormat="1" applyFont="1" applyFill="1" applyBorder="1"/>
    <xf numFmtId="2" fontId="18" fillId="2" borderId="2" xfId="0" applyNumberFormat="1" applyFont="1" applyFill="1" applyBorder="1" applyAlignment="1">
      <alignment wrapText="1"/>
    </xf>
    <xf numFmtId="49" fontId="18" fillId="2" borderId="2" xfId="0" applyNumberFormat="1" applyFont="1" applyFill="1" applyBorder="1"/>
    <xf numFmtId="2" fontId="18" fillId="2" borderId="2" xfId="463" applyNumberFormat="1" applyFont="1" applyFill="1" applyBorder="1" applyAlignment="1">
      <alignment wrapText="1"/>
    </xf>
    <xf numFmtId="174" fontId="18" fillId="2" borderId="2" xfId="1" applyNumberFormat="1" applyFont="1" applyFill="1" applyBorder="1" applyAlignment="1">
      <alignment horizontal="right" wrapText="1"/>
    </xf>
    <xf numFmtId="164" fontId="18" fillId="2" borderId="8" xfId="1" applyFont="1" applyFill="1" applyBorder="1"/>
    <xf numFmtId="164" fontId="18" fillId="2" borderId="8" xfId="1" applyFont="1" applyFill="1" applyBorder="1" applyAlignment="1">
      <alignment wrapText="1"/>
    </xf>
    <xf numFmtId="164" fontId="18" fillId="2" borderId="2" xfId="1" applyFont="1" applyFill="1" applyBorder="1" applyAlignment="1">
      <alignment horizontal="left" vertical="top" wrapText="1"/>
    </xf>
    <xf numFmtId="49" fontId="18" fillId="2" borderId="2" xfId="0" applyNumberFormat="1" applyFont="1" applyFill="1" applyBorder="1" applyAlignment="1">
      <alignment vertical="center" wrapText="1"/>
    </xf>
    <xf numFmtId="49" fontId="18" fillId="2" borderId="2" xfId="0" applyNumberFormat="1" applyFont="1" applyFill="1" applyBorder="1" applyAlignment="1">
      <alignment vertical="top" wrapText="1"/>
    </xf>
    <xf numFmtId="164" fontId="18" fillId="2" borderId="2" xfId="1" applyFont="1" applyFill="1" applyBorder="1" applyAlignment="1">
      <alignment vertical="top" wrapText="1"/>
    </xf>
    <xf numFmtId="174" fontId="18" fillId="2" borderId="2" xfId="1" applyNumberFormat="1" applyFont="1" applyFill="1" applyBorder="1" applyAlignment="1">
      <alignment horizontal="right" vertical="center" wrapText="1"/>
    </xf>
    <xf numFmtId="164" fontId="19" fillId="2" borderId="2" xfId="1" applyFont="1" applyFill="1" applyBorder="1" applyAlignment="1">
      <alignment horizontal="right"/>
    </xf>
    <xf numFmtId="0" fontId="37" fillId="0" borderId="0" xfId="0" applyFont="1"/>
    <xf numFmtId="0" fontId="38" fillId="0" borderId="1" xfId="0" applyFont="1" applyBorder="1" applyAlignment="1">
      <alignment horizontal="right"/>
    </xf>
    <xf numFmtId="0" fontId="36" fillId="0" borderId="0" xfId="0" applyFont="1" applyAlignment="1">
      <alignment horizontal="right"/>
    </xf>
    <xf numFmtId="0" fontId="39" fillId="0" borderId="1" xfId="0" applyFont="1" applyBorder="1" applyAlignment="1">
      <alignment horizontal="right"/>
    </xf>
    <xf numFmtId="171" fontId="37" fillId="0" borderId="0" xfId="200" applyNumberFormat="1" applyFont="1"/>
    <xf numFmtId="0" fontId="39" fillId="0" borderId="0" xfId="0" applyFont="1" applyAlignment="1">
      <alignment horizontal="right"/>
    </xf>
    <xf numFmtId="174" fontId="37" fillId="0" borderId="0" xfId="1" applyNumberFormat="1" applyFont="1"/>
    <xf numFmtId="0" fontId="40" fillId="0" borderId="2" xfId="0" applyFont="1" applyBorder="1" applyAlignment="1">
      <alignment horizontal="right"/>
    </xf>
    <xf numFmtId="16" fontId="40" fillId="2" borderId="2" xfId="0" quotePrefix="1" applyNumberFormat="1" applyFont="1" applyFill="1" applyBorder="1" applyAlignment="1">
      <alignment horizontal="right"/>
    </xf>
    <xf numFmtId="164" fontId="27" fillId="2" borderId="2" xfId="1" applyFont="1" applyFill="1" applyBorder="1" applyAlignment="1">
      <alignment horizontal="right" vertical="top" wrapText="1"/>
    </xf>
    <xf numFmtId="164" fontId="27" fillId="2" borderId="2" xfId="1" applyFont="1" applyFill="1" applyBorder="1"/>
    <xf numFmtId="4" fontId="27" fillId="2" borderId="2" xfId="0" applyNumberFormat="1" applyFont="1" applyFill="1" applyBorder="1"/>
    <xf numFmtId="4" fontId="27" fillId="2" borderId="2" xfId="0" applyNumberFormat="1" applyFont="1" applyFill="1" applyBorder="1" applyAlignment="1">
      <alignment horizontal="right"/>
    </xf>
    <xf numFmtId="0" fontId="39" fillId="0" borderId="0" xfId="0" applyFont="1" applyBorder="1" applyAlignment="1">
      <alignment horizontal="right"/>
    </xf>
    <xf numFmtId="0" fontId="37" fillId="0" borderId="0" xfId="0" applyFont="1" applyBorder="1"/>
    <xf numFmtId="164" fontId="41" fillId="2" borderId="0" xfId="1" applyFont="1" applyFill="1" applyBorder="1"/>
    <xf numFmtId="43" fontId="37" fillId="0" borderId="0" xfId="200" applyFont="1" applyBorder="1"/>
    <xf numFmtId="0" fontId="42" fillId="0" borderId="0" xfId="0" applyFont="1" applyBorder="1"/>
    <xf numFmtId="4" fontId="41" fillId="2" borderId="0" xfId="0" applyNumberFormat="1" applyFont="1" applyFill="1" applyBorder="1"/>
    <xf numFmtId="4" fontId="41" fillId="2" borderId="0" xfId="0" applyNumberFormat="1" applyFont="1" applyFill="1" applyBorder="1" applyAlignment="1">
      <alignment horizontal="right"/>
    </xf>
    <xf numFmtId="172" fontId="43" fillId="2" borderId="0" xfId="0" applyNumberFormat="1" applyFont="1" applyFill="1" applyBorder="1"/>
    <xf numFmtId="0" fontId="44" fillId="0" borderId="0" xfId="0" applyFont="1" applyBorder="1" applyAlignment="1">
      <alignment horizontal="right"/>
    </xf>
    <xf numFmtId="4" fontId="44" fillId="2" borderId="0" xfId="0" applyNumberFormat="1" applyFont="1" applyFill="1" applyBorder="1" applyAlignment="1">
      <alignment horizontal="right"/>
    </xf>
    <xf numFmtId="0" fontId="27" fillId="0" borderId="0" xfId="0" applyFont="1"/>
    <xf numFmtId="0" fontId="40" fillId="2" borderId="0" xfId="0" applyFont="1" applyFill="1" applyAlignment="1">
      <alignment horizontal="right"/>
    </xf>
    <xf numFmtId="16" fontId="40" fillId="2" borderId="0" xfId="0" quotePrefix="1" applyNumberFormat="1" applyFont="1" applyFill="1" applyAlignment="1">
      <alignment horizontal="right" wrapText="1"/>
    </xf>
    <xf numFmtId="0" fontId="40" fillId="2" borderId="0" xfId="0" applyFont="1" applyFill="1" applyAlignment="1">
      <alignment horizontal="right" wrapText="1"/>
    </xf>
    <xf numFmtId="2" fontId="27" fillId="0" borderId="0" xfId="0" applyNumberFormat="1" applyFont="1"/>
    <xf numFmtId="164" fontId="27" fillId="0" borderId="0" xfId="1" applyFont="1"/>
    <xf numFmtId="0" fontId="40" fillId="0" borderId="0" xfId="0" applyFont="1" applyAlignment="1">
      <alignment horizontal="right"/>
    </xf>
    <xf numFmtId="16" fontId="40" fillId="2" borderId="0" xfId="0" applyNumberFormat="1" applyFont="1" applyFill="1"/>
    <xf numFmtId="49" fontId="7" fillId="2" borderId="2" xfId="0" applyNumberFormat="1" applyFont="1" applyFill="1" applyBorder="1" applyAlignment="1">
      <alignment horizontal="center" vertical="top" wrapText="1"/>
    </xf>
    <xf numFmtId="164" fontId="19" fillId="2" borderId="2" xfId="1" applyFont="1" applyFill="1" applyBorder="1" applyAlignment="1">
      <alignment horizontal="right"/>
    </xf>
    <xf numFmtId="49" fontId="31" fillId="5" borderId="2" xfId="0" applyNumberFormat="1" applyFont="1" applyFill="1" applyBorder="1" applyAlignment="1">
      <alignment horizontal="right"/>
    </xf>
    <xf numFmtId="173" fontId="18" fillId="2" borderId="2" xfId="0" applyNumberFormat="1" applyFont="1" applyFill="1" applyBorder="1" applyAlignment="1">
      <alignment horizontal="center" wrapText="1"/>
    </xf>
    <xf numFmtId="0" fontId="31" fillId="2" borderId="2" xfId="0" applyFont="1" applyFill="1" applyBorder="1" applyAlignment="1">
      <alignment horizontal="center" wrapText="1"/>
    </xf>
    <xf numFmtId="2" fontId="31" fillId="2" borderId="2" xfId="0" applyNumberFormat="1" applyFont="1" applyFill="1" applyBorder="1" applyAlignment="1">
      <alignment horizontal="center" wrapText="1"/>
    </xf>
    <xf numFmtId="0" fontId="31" fillId="2" borderId="7" xfId="0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172" fontId="31" fillId="2" borderId="2" xfId="0" applyNumberFormat="1" applyFont="1" applyFill="1" applyBorder="1" applyAlignment="1">
      <alignment horizontal="center" wrapText="1"/>
    </xf>
    <xf numFmtId="164" fontId="31" fillId="2" borderId="2" xfId="1" applyFont="1" applyFill="1" applyBorder="1" applyAlignment="1">
      <alignment horizontal="right"/>
    </xf>
    <xf numFmtId="164" fontId="7" fillId="29" borderId="2" xfId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/>
    </xf>
    <xf numFmtId="49" fontId="26" fillId="4" borderId="2" xfId="0" applyNumberFormat="1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173" fontId="19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5" fillId="0" borderId="0" xfId="0" applyFont="1"/>
    <xf numFmtId="164" fontId="45" fillId="0" borderId="0" xfId="1" applyFont="1" applyBorder="1"/>
    <xf numFmtId="4" fontId="45" fillId="2" borderId="0" xfId="0" applyNumberFormat="1" applyFont="1" applyFill="1"/>
  </cellXfs>
  <cellStyles count="465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" xfId="464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Sep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_-* #,##0.00_-;\-* #,##0.00_-;_-* "-"??_-;_-@_-</c:formatCode>
                <c:ptCount val="9"/>
                <c:pt idx="0" formatCode="0.00">
                  <c:v>71.229762141910001</c:v>
                </c:pt>
                <c:pt idx="1">
                  <c:v>4016.7591331062349</c:v>
                </c:pt>
                <c:pt idx="2" formatCode="0.00">
                  <c:v>230.13504923472004</c:v>
                </c:pt>
                <c:pt idx="3">
                  <c:v>1931.3497499436774</c:v>
                </c:pt>
                <c:pt idx="4" formatCode="0.00">
                  <c:v>421.89491953708995</c:v>
                </c:pt>
                <c:pt idx="5" formatCode="0.00">
                  <c:v>76.956495222053988</c:v>
                </c:pt>
                <c:pt idx="6" formatCode="0.00">
                  <c:v>8.1479981657499998</c:v>
                </c:pt>
                <c:pt idx="7" formatCode="0.00">
                  <c:v>68.314907149969997</c:v>
                </c:pt>
                <c:pt idx="8" formatCode="0.00">
                  <c:v>17.985833409784501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ser>
          <c:idx val="2"/>
          <c:order val="2"/>
          <c:tx>
            <c:strRef>
              <c:f>'NAV Comparison'!$C$4</c:f>
              <c:strCache>
                <c:ptCount val="1"/>
                <c:pt idx="0">
                  <c:v>Oct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0.00</c:formatCode>
                <c:ptCount val="9"/>
                <c:pt idx="0">
                  <c:v>80.026944757741362</c:v>
                </c:pt>
                <c:pt idx="1">
                  <c:v>4358.4102246460734</c:v>
                </c:pt>
                <c:pt idx="2">
                  <c:v>241.31955482041843</c:v>
                </c:pt>
                <c:pt idx="3">
                  <c:v>1893.5907993101837</c:v>
                </c:pt>
                <c:pt idx="4">
                  <c:v>478.51150703533</c:v>
                </c:pt>
                <c:pt idx="5">
                  <c:v>81.002610176752384</c:v>
                </c:pt>
                <c:pt idx="6">
                  <c:v>8.5904539153500004</c:v>
                </c:pt>
                <c:pt idx="7">
                  <c:v>71.698683684129989</c:v>
                </c:pt>
                <c:pt idx="8">
                  <c:v>18.55231161645878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9-4376-982D-C0EACFCCD7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400592"/>
        <c:axId val="148111208"/>
      </c:barChart>
      <c:catAx>
        <c:axId val="25140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8111208"/>
        <c:crosses val="autoZero"/>
        <c:auto val="1"/>
        <c:lblAlgn val="ctr"/>
        <c:lblOffset val="100"/>
        <c:noMultiLvlLbl val="0"/>
      </c:catAx>
      <c:valAx>
        <c:axId val="14811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140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Oct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2.964929024123427E-2"/>
                  <c:y val="-0.152070841363510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0.1591371302216133"/>
                  <c:y val="4.05882891525260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0.11216943084253583"/>
                  <c:y val="0.119724120513617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27590312917245502"/>
                  <c:y val="-0.2512933874582475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612-485C-B4A4-AAD79CF83AD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8590453915.3500004</c:v>
                </c:pt>
                <c:pt idx="1">
                  <c:v>18552311616.458782</c:v>
                </c:pt>
                <c:pt idx="2">
                  <c:v>71698683684.12999</c:v>
                </c:pt>
                <c:pt idx="3" formatCode="#,##0.00">
                  <c:v>80026944757.741364</c:v>
                </c:pt>
                <c:pt idx="4" formatCode="#,##0.00">
                  <c:v>81002610176.75238</c:v>
                </c:pt>
                <c:pt idx="5" formatCode="#,##0.00">
                  <c:v>241319554820.41843</c:v>
                </c:pt>
                <c:pt idx="6" formatCode="#,##0.00">
                  <c:v>478511507035.33002</c:v>
                </c:pt>
                <c:pt idx="7" formatCode="#,##0.00">
                  <c:v>1893590799310.1836</c:v>
                </c:pt>
                <c:pt idx="8" formatCode="#,##0.00">
                  <c:v>4358410224646.0732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61351</c:v>
                </c:pt>
                <c:pt idx="1">
                  <c:v>515168</c:v>
                </c:pt>
                <c:pt idx="2">
                  <c:v>50676</c:v>
                </c:pt>
                <c:pt idx="3">
                  <c:v>24357</c:v>
                </c:pt>
                <c:pt idx="4">
                  <c:v>221518</c:v>
                </c:pt>
                <c:pt idx="5">
                  <c:v>73985</c:v>
                </c:pt>
                <c:pt idx="6">
                  <c:v>12895</c:v>
                </c:pt>
                <c:pt idx="7">
                  <c:v>37234</c:v>
                </c:pt>
                <c:pt idx="8" formatCode="_-* #,##0_-;\-* #,##0_-;_-* &quot;-&quot;??_-;_-@_-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28697840"/>
        <c:axId val="251602304"/>
      </c:barChart>
      <c:catAx>
        <c:axId val="32869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02304"/>
        <c:crosses val="autoZero"/>
        <c:auto val="1"/>
        <c:lblAlgn val="ctr"/>
        <c:lblOffset val="100"/>
        <c:noMultiLvlLbl val="0"/>
      </c:catAx>
      <c:valAx>
        <c:axId val="251602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2869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30480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9"/>
  <sheetViews>
    <sheetView tabSelected="1" view="pageBreakPreview" zoomScale="110" zoomScaleNormal="70" zoomScaleSheetLayoutView="110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77734375" style="5" customWidth="1"/>
    <col min="2" max="2" width="44.77734375" style="15" customWidth="1"/>
    <col min="3" max="3" width="43.77734375" style="15" customWidth="1"/>
    <col min="4" max="4" width="21.5546875" style="4" customWidth="1"/>
    <col min="5" max="6" width="19.21875" style="4" customWidth="1"/>
    <col min="7" max="7" width="19.7773437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21875" style="4" customWidth="1"/>
    <col min="15" max="15" width="12.5546875" style="4" customWidth="1"/>
    <col min="16" max="17" width="12.21875" style="4" customWidth="1"/>
    <col min="18" max="18" width="14.44140625" style="4" customWidth="1"/>
    <col min="19" max="19" width="13.21875" style="4" customWidth="1"/>
    <col min="20" max="20" width="16.44140625" style="4" customWidth="1"/>
    <col min="21" max="22" width="20.21875" style="4" customWidth="1"/>
    <col min="23" max="16384" width="9" style="4"/>
  </cols>
  <sheetData>
    <row r="1" spans="1:23" ht="40.049999999999997" customHeight="1">
      <c r="A1" s="143" t="s">
        <v>319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5"/>
    </row>
    <row r="2" spans="1:23" ht="48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3" t="s">
        <v>7</v>
      </c>
      <c r="I2" s="30" t="s">
        <v>324</v>
      </c>
      <c r="J2" s="30" t="s">
        <v>8</v>
      </c>
      <c r="K2" s="30" t="s">
        <v>9</v>
      </c>
      <c r="L2" s="30" t="s">
        <v>8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</row>
    <row r="3" spans="1:23" ht="6" customHeight="1">
      <c r="A3" s="128" t="s">
        <v>322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pans="1:23" ht="16.5" customHeight="1">
      <c r="A4" s="128" t="s">
        <v>20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</row>
    <row r="5" spans="1:23" ht="15" customHeight="1">
      <c r="A5" s="63">
        <v>1</v>
      </c>
      <c r="B5" s="19" t="s">
        <v>21</v>
      </c>
      <c r="C5" s="19" t="s">
        <v>22</v>
      </c>
      <c r="D5" s="10">
        <v>4450896862.3599997</v>
      </c>
      <c r="E5" s="10">
        <v>16854698.440000001</v>
      </c>
      <c r="F5" s="10">
        <v>1260720935.5599999</v>
      </c>
      <c r="G5" s="10">
        <v>6899638.3099999996</v>
      </c>
      <c r="H5" s="12">
        <f>(E5+F5)-G5</f>
        <v>1270675995.6900001</v>
      </c>
      <c r="I5" s="29">
        <v>3514121776.4099998</v>
      </c>
      <c r="J5" s="13">
        <f t="shared" ref="J5:J23" si="0">(I5/$I$24)</f>
        <v>4.9335020513038737E-2</v>
      </c>
      <c r="K5" s="29">
        <v>4462040556.3699999</v>
      </c>
      <c r="L5" s="13">
        <f>(K5/$K$24)</f>
        <v>5.5756727560667831E-2</v>
      </c>
      <c r="M5" s="13">
        <f t="shared" ref="M5:M24" si="1">((K5-I5)/I5)</f>
        <v>0.26974556952559187</v>
      </c>
      <c r="N5" s="20">
        <f t="shared" ref="N5" si="2">(G5/K5)</f>
        <v>1.5462966377905486E-3</v>
      </c>
      <c r="O5" s="21">
        <f t="shared" ref="O5" si="3">H5/K5</f>
        <v>0.284774640579182</v>
      </c>
      <c r="P5" s="22">
        <f t="shared" ref="P5" si="4">K5/V5</f>
        <v>610.77562844216573</v>
      </c>
      <c r="Q5" s="22">
        <f t="shared" ref="Q5" si="5">H5/V5</f>
        <v>173.93341006414175</v>
      </c>
      <c r="R5" s="10">
        <v>610.78</v>
      </c>
      <c r="S5" s="10">
        <v>614.67999999999995</v>
      </c>
      <c r="T5" s="10">
        <v>1695</v>
      </c>
      <c r="U5" s="10">
        <v>6074106.4000000004</v>
      </c>
      <c r="V5" s="10">
        <v>7305531.4400000004</v>
      </c>
    </row>
    <row r="6" spans="1:23">
      <c r="A6" s="63">
        <v>2</v>
      </c>
      <c r="B6" s="19" t="s">
        <v>23</v>
      </c>
      <c r="C6" s="19" t="s">
        <v>24</v>
      </c>
      <c r="D6" s="10">
        <v>1157901585.3699999</v>
      </c>
      <c r="E6" s="10">
        <v>13702975.51</v>
      </c>
      <c r="F6" s="10">
        <v>0</v>
      </c>
      <c r="G6" s="10">
        <v>1577282.68</v>
      </c>
      <c r="H6" s="12">
        <f t="shared" ref="H6:H23" si="6">(E6+F6)-G6</f>
        <v>12125692.83</v>
      </c>
      <c r="I6" s="29">
        <v>1137462104.9400001</v>
      </c>
      <c r="J6" s="13">
        <f t="shared" si="0"/>
        <v>1.5968916232990519E-2</v>
      </c>
      <c r="K6" s="29">
        <v>1181763568.8099999</v>
      </c>
      <c r="L6" s="13">
        <f t="shared" ref="L6:L23" si="7">(K6/$K$24)</f>
        <v>1.4767070920768628E-2</v>
      </c>
      <c r="M6" s="13">
        <f t="shared" ref="M6:M23" si="8">((K6-I6)/I6)</f>
        <v>3.8947639378576697E-2</v>
      </c>
      <c r="N6" s="20">
        <f t="shared" ref="N6:N23" si="9">(G6/K6)</f>
        <v>1.3346854833139556E-3</v>
      </c>
      <c r="O6" s="21">
        <f t="shared" ref="O6:O23" si="10">H6/K6</f>
        <v>1.0260675781544193E-2</v>
      </c>
      <c r="P6" s="22">
        <f t="shared" ref="P6:P23" si="11">K6/V6</f>
        <v>39.808772005457094</v>
      </c>
      <c r="Q6" s="22">
        <f t="shared" ref="Q6:Q23" si="12">H6/V6</f>
        <v>0.408464902809408</v>
      </c>
      <c r="R6" s="10">
        <v>411.82</v>
      </c>
      <c r="S6" s="10">
        <v>416.72</v>
      </c>
      <c r="T6" s="10">
        <v>463</v>
      </c>
      <c r="U6" s="10">
        <v>29740420.079999998</v>
      </c>
      <c r="V6" s="10">
        <v>29686009.120000001</v>
      </c>
    </row>
    <row r="7" spans="1:23">
      <c r="A7" s="63">
        <v>3</v>
      </c>
      <c r="B7" s="19" t="s">
        <v>25</v>
      </c>
      <c r="C7" s="86" t="s">
        <v>26</v>
      </c>
      <c r="D7" s="10">
        <v>5778529559.9499998</v>
      </c>
      <c r="E7" s="10">
        <v>101925723.31</v>
      </c>
      <c r="F7" s="10">
        <v>375059587.20999998</v>
      </c>
      <c r="G7" s="10">
        <v>3804627.87</v>
      </c>
      <c r="H7" s="12">
        <f t="shared" si="6"/>
        <v>473180682.64999998</v>
      </c>
      <c r="I7" s="29">
        <v>6192559619</v>
      </c>
      <c r="J7" s="13">
        <f t="shared" si="0"/>
        <v>8.6937811285437885E-2</v>
      </c>
      <c r="K7" s="29">
        <v>6960222307</v>
      </c>
      <c r="L7" s="13">
        <f t="shared" si="7"/>
        <v>8.6973485343843596E-2</v>
      </c>
      <c r="M7" s="13">
        <f t="shared" si="8"/>
        <v>0.12396532859282594</v>
      </c>
      <c r="N7" s="20">
        <f t="shared" si="9"/>
        <v>5.4662447579779581E-4</v>
      </c>
      <c r="O7" s="21">
        <f t="shared" si="10"/>
        <v>6.7983558826004029E-2</v>
      </c>
      <c r="P7" s="22">
        <f t="shared" si="11"/>
        <v>52.538708238373218</v>
      </c>
      <c r="Q7" s="22">
        <f t="shared" si="12"/>
        <v>3.5717683621657081</v>
      </c>
      <c r="R7" s="10">
        <v>52.276000000000003</v>
      </c>
      <c r="S7" s="10">
        <v>53.852200000000003</v>
      </c>
      <c r="T7" s="10">
        <v>8011</v>
      </c>
      <c r="U7" s="10">
        <v>126938286</v>
      </c>
      <c r="V7" s="10">
        <v>132477987</v>
      </c>
    </row>
    <row r="8" spans="1:23">
      <c r="A8" s="63">
        <v>4</v>
      </c>
      <c r="B8" s="92" t="s">
        <v>27</v>
      </c>
      <c r="C8" s="92" t="s">
        <v>28</v>
      </c>
      <c r="D8" s="10">
        <v>1104787489.55</v>
      </c>
      <c r="E8" s="10">
        <v>5999763.4400000004</v>
      </c>
      <c r="F8" s="10">
        <v>0</v>
      </c>
      <c r="G8" s="10">
        <v>2531397.12</v>
      </c>
      <c r="H8" s="12">
        <f t="shared" si="6"/>
        <v>3468366.3200000003</v>
      </c>
      <c r="I8" s="29">
        <v>1042449313.99</v>
      </c>
      <c r="J8" s="13">
        <f t="shared" si="0"/>
        <v>1.4635024498792283E-2</v>
      </c>
      <c r="K8" s="29">
        <v>1250738458.72</v>
      </c>
      <c r="L8" s="13">
        <f t="shared" si="7"/>
        <v>1.5628966749964682E-2</v>
      </c>
      <c r="M8" s="13">
        <f t="shared" si="8"/>
        <v>0.19980745532151417</v>
      </c>
      <c r="N8" s="20">
        <f t="shared" si="9"/>
        <v>2.0239220297028526E-3</v>
      </c>
      <c r="O8" s="21">
        <f t="shared" si="10"/>
        <v>2.7730548267856977E-3</v>
      </c>
      <c r="P8" s="22">
        <f t="shared" si="11"/>
        <v>256.82488606602885</v>
      </c>
      <c r="Q8" s="22">
        <f t="shared" si="12"/>
        <v>0.71218948994408826</v>
      </c>
      <c r="R8" s="10">
        <v>255.54079999999999</v>
      </c>
      <c r="S8" s="10">
        <v>258.10899999999998</v>
      </c>
      <c r="T8" s="10">
        <v>2271</v>
      </c>
      <c r="U8" s="10">
        <v>4292380.3499999996</v>
      </c>
      <c r="V8" s="10">
        <v>4870004.92</v>
      </c>
    </row>
    <row r="9" spans="1:23">
      <c r="A9" s="63">
        <v>5</v>
      </c>
      <c r="B9" s="19" t="s">
        <v>207</v>
      </c>
      <c r="C9" s="86" t="s">
        <v>103</v>
      </c>
      <c r="D9" s="10">
        <v>1961909147.05</v>
      </c>
      <c r="E9" s="10">
        <v>45308449.909999996</v>
      </c>
      <c r="F9" s="10">
        <v>42167952.439999998</v>
      </c>
      <c r="G9" s="10">
        <v>1956962.04</v>
      </c>
      <c r="H9" s="12">
        <f t="shared" si="6"/>
        <v>85519440.309999987</v>
      </c>
      <c r="I9" s="29">
        <v>1758723530.1900001</v>
      </c>
      <c r="J9" s="13">
        <f t="shared" si="0"/>
        <v>2.4690852212676508E-2</v>
      </c>
      <c r="K9" s="29">
        <v>1986982737.6600001</v>
      </c>
      <c r="L9" s="13">
        <f t="shared" si="7"/>
        <v>2.4828921604779751E-2</v>
      </c>
      <c r="M9" s="13">
        <f t="shared" si="8"/>
        <v>0.12978686163671246</v>
      </c>
      <c r="N9" s="20">
        <f t="shared" si="9"/>
        <v>9.8489131430736323E-4</v>
      </c>
      <c r="O9" s="21">
        <f t="shared" si="10"/>
        <v>4.3039850668613877E-2</v>
      </c>
      <c r="P9" s="22">
        <f t="shared" si="11"/>
        <v>1.6842001204578667</v>
      </c>
      <c r="Q9" s="22">
        <f t="shared" si="12"/>
        <v>7.2487721680568093E-2</v>
      </c>
      <c r="R9" s="10">
        <v>1.6716</v>
      </c>
      <c r="S9" s="10">
        <v>1.6904999999999999</v>
      </c>
      <c r="T9" s="10">
        <v>897</v>
      </c>
      <c r="U9" s="10">
        <v>1094356756.3800001</v>
      </c>
      <c r="V9" s="10">
        <v>1179778289.72</v>
      </c>
    </row>
    <row r="10" spans="1:23">
      <c r="A10" s="63">
        <v>6</v>
      </c>
      <c r="B10" s="78" t="s">
        <v>206</v>
      </c>
      <c r="C10" s="79" t="s">
        <v>48</v>
      </c>
      <c r="D10" s="10">
        <v>216374044.33000001</v>
      </c>
      <c r="E10" s="10">
        <v>232793.22</v>
      </c>
      <c r="F10" s="17">
        <v>0</v>
      </c>
      <c r="G10" s="10">
        <v>402638.2</v>
      </c>
      <c r="H10" s="12">
        <f t="shared" si="6"/>
        <v>-169844.98</v>
      </c>
      <c r="I10" s="17">
        <v>200454557.50999999</v>
      </c>
      <c r="J10" s="13">
        <f t="shared" si="0"/>
        <v>2.8141966431200114E-3</v>
      </c>
      <c r="K10" s="17">
        <v>212565409.81999999</v>
      </c>
      <c r="L10" s="13">
        <f t="shared" si="7"/>
        <v>2.6561729985254447E-3</v>
      </c>
      <c r="M10" s="13">
        <f t="shared" si="8"/>
        <v>6.0416946665808949E-2</v>
      </c>
      <c r="N10" s="20">
        <f t="shared" si="9"/>
        <v>1.894184949192596E-3</v>
      </c>
      <c r="O10" s="21">
        <f t="shared" si="10"/>
        <v>-7.9902454563903142E-4</v>
      </c>
      <c r="P10" s="22">
        <f t="shared" si="11"/>
        <v>219.66207872645199</v>
      </c>
      <c r="Q10" s="22">
        <f t="shared" si="12"/>
        <v>-0.17551539264852847</v>
      </c>
      <c r="R10" s="10">
        <v>219.66210000000001</v>
      </c>
      <c r="S10" s="10">
        <v>219.66210000000001</v>
      </c>
      <c r="T10" s="10">
        <v>92</v>
      </c>
      <c r="U10" s="10">
        <v>967671.78</v>
      </c>
      <c r="V10" s="10">
        <v>967692.79</v>
      </c>
    </row>
    <row r="11" spans="1:23">
      <c r="A11" s="63">
        <v>7</v>
      </c>
      <c r="B11" s="19" t="s">
        <v>29</v>
      </c>
      <c r="C11" s="19" t="s">
        <v>30</v>
      </c>
      <c r="D11" s="10">
        <v>2840318668.6300001</v>
      </c>
      <c r="E11" s="10">
        <v>14920383.35</v>
      </c>
      <c r="F11" s="10">
        <v>92145597.549999997</v>
      </c>
      <c r="G11" s="10">
        <v>4808364.18</v>
      </c>
      <c r="H11" s="12">
        <f t="shared" si="6"/>
        <v>102257616.72</v>
      </c>
      <c r="I11" s="29">
        <v>2694623952.7399998</v>
      </c>
      <c r="J11" s="13">
        <f t="shared" si="0"/>
        <v>3.7830028792901767E-2</v>
      </c>
      <c r="K11" s="29">
        <v>2774924549.3099999</v>
      </c>
      <c r="L11" s="13">
        <f t="shared" si="7"/>
        <v>3.4674878039019093E-2</v>
      </c>
      <c r="M11" s="13">
        <f t="shared" si="8"/>
        <v>2.9800297918508207E-2</v>
      </c>
      <c r="N11" s="20">
        <f t="shared" si="9"/>
        <v>1.7327909622608028E-3</v>
      </c>
      <c r="O11" s="21">
        <f t="shared" si="10"/>
        <v>3.6850593557733638E-2</v>
      </c>
      <c r="P11" s="22">
        <f t="shared" si="11"/>
        <v>499.20152825771459</v>
      </c>
      <c r="Q11" s="22">
        <f t="shared" si="12"/>
        <v>18.395872621224523</v>
      </c>
      <c r="R11" s="10">
        <v>499.2</v>
      </c>
      <c r="S11" s="10">
        <v>506.26</v>
      </c>
      <c r="T11" s="10">
        <v>1839</v>
      </c>
      <c r="U11" s="10">
        <v>5512937.4000000004</v>
      </c>
      <c r="V11" s="10">
        <v>5558726.0700000003</v>
      </c>
    </row>
    <row r="12" spans="1:23">
      <c r="A12" s="63">
        <v>8</v>
      </c>
      <c r="B12" s="19" t="s">
        <v>31</v>
      </c>
      <c r="C12" s="86" t="s">
        <v>32</v>
      </c>
      <c r="D12" s="10">
        <v>495059245.69999999</v>
      </c>
      <c r="E12" s="10">
        <v>2902506.57</v>
      </c>
      <c r="F12" s="10">
        <v>21208277</v>
      </c>
      <c r="G12" s="10">
        <v>1671059.37</v>
      </c>
      <c r="H12" s="12">
        <f t="shared" si="6"/>
        <v>22439724.199999999</v>
      </c>
      <c r="I12" s="29">
        <v>495759617.38999999</v>
      </c>
      <c r="J12" s="13">
        <f t="shared" si="0"/>
        <v>6.9600066388303449E-3</v>
      </c>
      <c r="K12" s="29">
        <v>473716779.17000002</v>
      </c>
      <c r="L12" s="13">
        <f t="shared" si="7"/>
        <v>5.9194660074059031E-3</v>
      </c>
      <c r="M12" s="13">
        <f t="shared" si="8"/>
        <v>-4.4462754622992005E-2</v>
      </c>
      <c r="N12" s="20">
        <f t="shared" si="9"/>
        <v>3.5275494630523031E-3</v>
      </c>
      <c r="O12" s="21">
        <f t="shared" si="10"/>
        <v>4.7369494150738503E-2</v>
      </c>
      <c r="P12" s="22">
        <f t="shared" si="11"/>
        <v>235.7800495284815</v>
      </c>
      <c r="Q12" s="22">
        <f t="shared" si="12"/>
        <v>11.168781677000238</v>
      </c>
      <c r="R12" s="10">
        <v>235.78</v>
      </c>
      <c r="S12" s="10">
        <v>247.48</v>
      </c>
      <c r="T12" s="10">
        <v>2475</v>
      </c>
      <c r="U12" s="10">
        <v>2006629</v>
      </c>
      <c r="V12" s="10">
        <v>2009147</v>
      </c>
    </row>
    <row r="13" spans="1:23">
      <c r="A13" s="63">
        <v>9</v>
      </c>
      <c r="B13" s="19" t="s">
        <v>33</v>
      </c>
      <c r="C13" s="19" t="s">
        <v>34</v>
      </c>
      <c r="D13" s="10">
        <v>75726759.760000005</v>
      </c>
      <c r="E13" s="10">
        <v>1934374.93</v>
      </c>
      <c r="F13" s="10">
        <v>447444.54</v>
      </c>
      <c r="G13" s="10">
        <v>1551503.56</v>
      </c>
      <c r="H13" s="12">
        <f t="shared" si="6"/>
        <v>830315.90999999968</v>
      </c>
      <c r="I13" s="29">
        <v>87553615.299999997</v>
      </c>
      <c r="J13" s="13">
        <f t="shared" si="0"/>
        <v>1.2291718049762433E-3</v>
      </c>
      <c r="K13" s="29">
        <v>92729546.049999997</v>
      </c>
      <c r="L13" s="13">
        <f t="shared" si="7"/>
        <v>1.158729054704164E-3</v>
      </c>
      <c r="M13" s="13">
        <f t="shared" si="8"/>
        <v>5.9117270397856435E-2</v>
      </c>
      <c r="N13" s="20">
        <f t="shared" si="9"/>
        <v>1.6731490944250128E-2</v>
      </c>
      <c r="O13" s="21">
        <f t="shared" si="10"/>
        <v>8.9541677423104309E-3</v>
      </c>
      <c r="P13" s="22">
        <f t="shared" si="11"/>
        <v>335.4867204241574</v>
      </c>
      <c r="Q13" s="22">
        <f t="shared" si="12"/>
        <v>3.0040043699955086</v>
      </c>
      <c r="R13" s="10">
        <v>324.83</v>
      </c>
      <c r="S13" s="10">
        <v>333.5</v>
      </c>
      <c r="T13" s="10">
        <v>21</v>
      </c>
      <c r="U13" s="10">
        <v>275868.37</v>
      </c>
      <c r="V13" s="10">
        <v>276403.03000000003</v>
      </c>
      <c r="W13" s="6"/>
    </row>
    <row r="14" spans="1:23">
      <c r="A14" s="63">
        <v>10</v>
      </c>
      <c r="B14" s="86" t="s">
        <v>35</v>
      </c>
      <c r="C14" s="86" t="s">
        <v>36</v>
      </c>
      <c r="D14" s="10">
        <v>2820820467.54</v>
      </c>
      <c r="E14" s="10">
        <v>9036943.3800000008</v>
      </c>
      <c r="F14" s="10">
        <v>87628708.519999996</v>
      </c>
      <c r="G14" s="10">
        <v>4282727.42</v>
      </c>
      <c r="H14" s="12">
        <f t="shared" si="6"/>
        <v>92382924.479999989</v>
      </c>
      <c r="I14" s="29">
        <v>2062052499.1600001</v>
      </c>
      <c r="J14" s="13">
        <f t="shared" si="0"/>
        <v>2.8949310472942524E-2</v>
      </c>
      <c r="K14" s="29">
        <v>2788484852.52</v>
      </c>
      <c r="L14" s="13">
        <f t="shared" si="7"/>
        <v>3.4844324757884217E-2</v>
      </c>
      <c r="M14" s="13">
        <f t="shared" si="8"/>
        <v>0.35228606141498348</v>
      </c>
      <c r="N14" s="20">
        <f t="shared" si="9"/>
        <v>1.5358618197727086E-3</v>
      </c>
      <c r="O14" s="21">
        <f t="shared" si="10"/>
        <v>3.3130151091375667E-2</v>
      </c>
      <c r="P14" s="22">
        <f t="shared" si="11"/>
        <v>4.0410623371499685</v>
      </c>
      <c r="Q14" s="22">
        <f t="shared" si="12"/>
        <v>0.13388100579944612</v>
      </c>
      <c r="R14" s="10">
        <v>3.97</v>
      </c>
      <c r="S14" s="10">
        <v>3.99</v>
      </c>
      <c r="T14" s="10">
        <v>2300</v>
      </c>
      <c r="U14" s="10">
        <v>544029389</v>
      </c>
      <c r="V14" s="10">
        <v>690037574.25</v>
      </c>
    </row>
    <row r="15" spans="1:23">
      <c r="A15" s="63">
        <v>11</v>
      </c>
      <c r="B15" s="78" t="s">
        <v>251</v>
      </c>
      <c r="C15" s="79" t="s">
        <v>274</v>
      </c>
      <c r="D15" s="17">
        <v>8871117.3499999996</v>
      </c>
      <c r="E15" s="10">
        <v>2817973.6</v>
      </c>
      <c r="F15" s="10">
        <v>13072417.310000001</v>
      </c>
      <c r="G15" s="10">
        <v>219540.84</v>
      </c>
      <c r="H15" s="12">
        <f t="shared" si="6"/>
        <v>15670850.07</v>
      </c>
      <c r="I15" s="17">
        <v>74949035.890000001</v>
      </c>
      <c r="J15" s="13">
        <f t="shared" si="0"/>
        <v>1.0522151645077818E-3</v>
      </c>
      <c r="K15" s="17">
        <v>114532116.03</v>
      </c>
      <c r="L15" s="13">
        <f t="shared" si="7"/>
        <v>1.4311694189589913E-3</v>
      </c>
      <c r="M15" s="13">
        <f t="shared" si="8"/>
        <v>0.52813327976752977</v>
      </c>
      <c r="N15" s="20">
        <f t="shared" si="9"/>
        <v>1.9168495930215286E-3</v>
      </c>
      <c r="O15" s="21">
        <f t="shared" si="10"/>
        <v>0.13682494145044219</v>
      </c>
      <c r="P15" s="22">
        <f t="shared" si="11"/>
        <v>25.913515670339471</v>
      </c>
      <c r="Q15" s="22">
        <f t="shared" si="12"/>
        <v>3.5456152643693142</v>
      </c>
      <c r="R15" s="10">
        <v>25.913516000000001</v>
      </c>
      <c r="S15" s="10">
        <v>26.297149999999998</v>
      </c>
      <c r="T15" s="10">
        <v>76</v>
      </c>
      <c r="U15" s="17">
        <v>3317978</v>
      </c>
      <c r="V15" s="17">
        <v>4419783</v>
      </c>
    </row>
    <row r="16" spans="1:23">
      <c r="A16" s="63">
        <v>12</v>
      </c>
      <c r="B16" s="19" t="s">
        <v>37</v>
      </c>
      <c r="C16" s="86" t="s">
        <v>38</v>
      </c>
      <c r="D16" s="10">
        <v>2657486245.71</v>
      </c>
      <c r="E16" s="10">
        <v>12145756.75</v>
      </c>
      <c r="F16" s="10">
        <v>0</v>
      </c>
      <c r="G16" s="10">
        <v>4722928.2</v>
      </c>
      <c r="H16" s="12">
        <f t="shared" si="6"/>
        <v>7422828.5499999998</v>
      </c>
      <c r="I16" s="29">
        <v>2515325311.8400002</v>
      </c>
      <c r="J16" s="13">
        <f t="shared" si="0"/>
        <v>3.5312841657799653E-2</v>
      </c>
      <c r="K16" s="29">
        <v>2632487190.3800001</v>
      </c>
      <c r="L16" s="13">
        <f t="shared" si="7"/>
        <v>3.289501052863008E-2</v>
      </c>
      <c r="M16" s="13">
        <f t="shared" si="8"/>
        <v>4.6579215017835685E-2</v>
      </c>
      <c r="N16" s="20">
        <f t="shared" si="9"/>
        <v>1.7940935162986469E-3</v>
      </c>
      <c r="O16" s="21">
        <f t="shared" si="10"/>
        <v>2.8197016787491046E-3</v>
      </c>
      <c r="P16" s="22">
        <f t="shared" si="11"/>
        <v>5.4333189664191517</v>
      </c>
      <c r="Q16" s="22">
        <f t="shared" si="12"/>
        <v>1.5320338610791431E-2</v>
      </c>
      <c r="R16" s="10">
        <v>5.36</v>
      </c>
      <c r="S16" s="10">
        <v>5.47</v>
      </c>
      <c r="T16" s="10">
        <v>3687</v>
      </c>
      <c r="U16" s="10">
        <v>487223964</v>
      </c>
      <c r="V16" s="10">
        <v>484508126</v>
      </c>
    </row>
    <row r="17" spans="1:23">
      <c r="A17" s="63">
        <v>13</v>
      </c>
      <c r="B17" s="19" t="s">
        <v>39</v>
      </c>
      <c r="C17" s="19" t="s">
        <v>40</v>
      </c>
      <c r="D17" s="10">
        <v>3701276220.8600001</v>
      </c>
      <c r="E17" s="10">
        <v>13053097.07</v>
      </c>
      <c r="F17" s="10">
        <v>60773315.93</v>
      </c>
      <c r="G17" s="10">
        <v>4067833.39</v>
      </c>
      <c r="H17" s="12">
        <f t="shared" si="6"/>
        <v>69758579.609999999</v>
      </c>
      <c r="I17" s="29">
        <v>2124749085.6900001</v>
      </c>
      <c r="J17" s="13">
        <f t="shared" si="0"/>
        <v>2.9829512577297306E-2</v>
      </c>
      <c r="K17" s="29">
        <v>4076837942.8800001</v>
      </c>
      <c r="L17" s="13">
        <f t="shared" si="7"/>
        <v>5.0943316094616109E-2</v>
      </c>
      <c r="M17" s="13">
        <f t="shared" si="8"/>
        <v>0.91873853262822813</v>
      </c>
      <c r="N17" s="20">
        <f t="shared" si="9"/>
        <v>9.977912899638982E-4</v>
      </c>
      <c r="O17" s="21">
        <f t="shared" si="10"/>
        <v>1.7110952308474751E-2</v>
      </c>
      <c r="P17" s="22">
        <f t="shared" si="11"/>
        <v>33.676520380745082</v>
      </c>
      <c r="Q17" s="22">
        <f t="shared" si="12"/>
        <v>0.57623733415030709</v>
      </c>
      <c r="R17" s="10">
        <v>33.340000000000003</v>
      </c>
      <c r="S17" s="10">
        <v>33.43</v>
      </c>
      <c r="T17" s="10">
        <v>997</v>
      </c>
      <c r="U17" s="10">
        <v>63867526.25</v>
      </c>
      <c r="V17" s="10">
        <v>121058764.29000001</v>
      </c>
    </row>
    <row r="18" spans="1:23">
      <c r="A18" s="63">
        <v>14</v>
      </c>
      <c r="B18" s="92" t="s">
        <v>41</v>
      </c>
      <c r="C18" s="92" t="s">
        <v>42</v>
      </c>
      <c r="D18" s="10">
        <v>186276157.72999999</v>
      </c>
      <c r="E18" s="10">
        <v>3216964.3</v>
      </c>
      <c r="F18" s="10">
        <v>104399206.52</v>
      </c>
      <c r="G18" s="10">
        <v>280503.45</v>
      </c>
      <c r="H18" s="12">
        <f>(E18+F18)-G18</f>
        <v>107335667.36999999</v>
      </c>
      <c r="I18" s="29">
        <v>177935626.27000001</v>
      </c>
      <c r="J18" s="13">
        <f t="shared" si="0"/>
        <v>2.4980516699676953E-3</v>
      </c>
      <c r="K18" s="29">
        <v>193266839.91</v>
      </c>
      <c r="L18" s="13">
        <f t="shared" si="7"/>
        <v>2.4150220965583522E-3</v>
      </c>
      <c r="M18" s="13">
        <f t="shared" si="8"/>
        <v>8.6161574055643925E-2</v>
      </c>
      <c r="N18" s="20">
        <f t="shared" si="9"/>
        <v>1.4513790887801764E-3</v>
      </c>
      <c r="O18" s="21">
        <f t="shared" si="10"/>
        <v>0.55537549752447857</v>
      </c>
      <c r="P18" s="22">
        <f t="shared" si="11"/>
        <v>2.0767657552718797</v>
      </c>
      <c r="Q18" s="22">
        <f t="shared" si="12"/>
        <v>1.1533848145759196</v>
      </c>
      <c r="R18" s="10">
        <v>2.0299999999999998</v>
      </c>
      <c r="S18" s="10">
        <v>2.1</v>
      </c>
      <c r="T18" s="10">
        <v>26</v>
      </c>
      <c r="U18" s="10">
        <v>92139983.780000001</v>
      </c>
      <c r="V18" s="10">
        <v>93061453.569999993</v>
      </c>
    </row>
    <row r="19" spans="1:23">
      <c r="A19" s="63">
        <v>15</v>
      </c>
      <c r="B19" s="19" t="s">
        <v>43</v>
      </c>
      <c r="C19" s="19" t="s">
        <v>44</v>
      </c>
      <c r="D19" s="10">
        <v>8431086903.0900002</v>
      </c>
      <c r="E19" s="10">
        <v>28873924.199999999</v>
      </c>
      <c r="F19" s="10">
        <v>300317630.05000001</v>
      </c>
      <c r="G19" s="10">
        <v>14415616.92</v>
      </c>
      <c r="H19" s="12">
        <f t="shared" si="6"/>
        <v>314775937.32999998</v>
      </c>
      <c r="I19" s="29">
        <v>7935692694.5699997</v>
      </c>
      <c r="J19" s="13">
        <f t="shared" si="0"/>
        <v>0.11140978793049788</v>
      </c>
      <c r="K19" s="29">
        <v>8414105882.8999996</v>
      </c>
      <c r="L19" s="13">
        <f t="shared" si="7"/>
        <v>0.10514091108152752</v>
      </c>
      <c r="M19" s="13">
        <f t="shared" si="8"/>
        <v>6.0286254362817537E-2</v>
      </c>
      <c r="N19" s="20">
        <f t="shared" si="9"/>
        <v>1.7132678291221508E-3</v>
      </c>
      <c r="O19" s="21">
        <f t="shared" si="10"/>
        <v>3.7410503470097708E-2</v>
      </c>
      <c r="P19" s="22">
        <f t="shared" si="11"/>
        <v>50.706950694053049</v>
      </c>
      <c r="Q19" s="22">
        <f t="shared" si="12"/>
        <v>1.896972554897945</v>
      </c>
      <c r="R19" s="10">
        <v>50.707000000000001</v>
      </c>
      <c r="S19" s="10">
        <v>50.8093</v>
      </c>
      <c r="T19" s="10">
        <v>13331</v>
      </c>
      <c r="U19" s="10">
        <v>162693072</v>
      </c>
      <c r="V19" s="10">
        <v>165935947</v>
      </c>
    </row>
    <row r="20" spans="1:23">
      <c r="A20" s="63">
        <v>16</v>
      </c>
      <c r="B20" s="86" t="s">
        <v>45</v>
      </c>
      <c r="C20" s="19" t="s">
        <v>46</v>
      </c>
      <c r="D20" s="10">
        <v>1526660546.95</v>
      </c>
      <c r="E20" s="10">
        <v>6413976.2400000002</v>
      </c>
      <c r="F20" s="10">
        <v>29935689.899999999</v>
      </c>
      <c r="G20" s="10">
        <v>1842715.56</v>
      </c>
      <c r="H20" s="12">
        <f>(E20+F20)-G20</f>
        <v>34506950.579999998</v>
      </c>
      <c r="I20" s="29">
        <v>1493765690.1800001</v>
      </c>
      <c r="J20" s="13">
        <f t="shared" si="0"/>
        <v>2.0971089124290389E-2</v>
      </c>
      <c r="K20" s="29">
        <v>1550792209.8099999</v>
      </c>
      <c r="L20" s="13">
        <f t="shared" si="7"/>
        <v>1.9378375802107387E-2</v>
      </c>
      <c r="M20" s="13">
        <f t="shared" si="8"/>
        <v>3.8176348543075812E-2</v>
      </c>
      <c r="N20" s="20">
        <f t="shared" si="9"/>
        <v>1.1882414345025412E-3</v>
      </c>
      <c r="O20" s="21">
        <f t="shared" si="10"/>
        <v>2.2251176116126946E-2</v>
      </c>
      <c r="P20" s="22">
        <f t="shared" si="11"/>
        <v>12596.763455507444</v>
      </c>
      <c r="Q20" s="22">
        <f t="shared" si="12"/>
        <v>280.29280214168796</v>
      </c>
      <c r="R20" s="10">
        <v>12495.79</v>
      </c>
      <c r="S20" s="10">
        <v>12665.97</v>
      </c>
      <c r="T20" s="10">
        <v>30</v>
      </c>
      <c r="U20" s="10">
        <v>124099.29</v>
      </c>
      <c r="V20" s="10">
        <v>123110.37</v>
      </c>
    </row>
    <row r="21" spans="1:23">
      <c r="A21" s="63">
        <v>17</v>
      </c>
      <c r="B21" s="19" t="s">
        <v>47</v>
      </c>
      <c r="C21" s="19" t="s">
        <v>46</v>
      </c>
      <c r="D21" s="10">
        <v>24490820031.5</v>
      </c>
      <c r="E21" s="10">
        <v>89550802.170000002</v>
      </c>
      <c r="F21" s="10">
        <v>921518847.64999998</v>
      </c>
      <c r="G21" s="10">
        <v>67989427.700000003</v>
      </c>
      <c r="H21" s="12">
        <f t="shared" si="6"/>
        <v>943080222.11999989</v>
      </c>
      <c r="I21" s="29">
        <v>23317627526.470001</v>
      </c>
      <c r="J21" s="13">
        <f t="shared" si="0"/>
        <v>0.32735793052368528</v>
      </c>
      <c r="K21" s="29">
        <v>24781239957.529999</v>
      </c>
      <c r="L21" s="13">
        <f t="shared" si="7"/>
        <v>0.30966120264303604</v>
      </c>
      <c r="M21" s="13">
        <f t="shared" si="8"/>
        <v>6.2768496897830428E-2</v>
      </c>
      <c r="N21" s="20">
        <f t="shared" si="9"/>
        <v>2.7435845751269928E-3</v>
      </c>
      <c r="O21" s="21">
        <f t="shared" si="10"/>
        <v>3.805621606248305E-2</v>
      </c>
      <c r="P21" s="22">
        <f t="shared" si="11"/>
        <v>42214.128163328947</v>
      </c>
      <c r="Q21" s="22">
        <f t="shared" si="12"/>
        <v>1606.5099822729971</v>
      </c>
      <c r="R21" s="10">
        <v>41873.879999999997</v>
      </c>
      <c r="S21" s="10">
        <v>42447.32</v>
      </c>
      <c r="T21" s="10">
        <v>19531</v>
      </c>
      <c r="U21" s="10">
        <v>579611.63</v>
      </c>
      <c r="V21" s="10">
        <v>587036.64</v>
      </c>
    </row>
    <row r="22" spans="1:23">
      <c r="A22" s="63">
        <v>18</v>
      </c>
      <c r="B22" s="19" t="s">
        <v>49</v>
      </c>
      <c r="C22" s="19" t="s">
        <v>50</v>
      </c>
      <c r="D22" s="10">
        <v>5426255943.2013702</v>
      </c>
      <c r="E22" s="10">
        <v>24890276</v>
      </c>
      <c r="F22" s="10">
        <v>291212947.1699996</v>
      </c>
      <c r="G22" s="10">
        <v>10536773.02</v>
      </c>
      <c r="H22" s="12">
        <f t="shared" ref="H22" si="13">(E22+F22)-G22</f>
        <v>305566450.14999962</v>
      </c>
      <c r="I22" s="29">
        <v>5984840514</v>
      </c>
      <c r="J22" s="13">
        <f t="shared" si="0"/>
        <v>8.4021627112505173E-2</v>
      </c>
      <c r="K22" s="29">
        <v>6424464866.4513702</v>
      </c>
      <c r="L22" s="13">
        <f t="shared" si="7"/>
        <v>8.0278772179790139E-2</v>
      </c>
      <c r="M22" s="13">
        <f t="shared" si="8"/>
        <v>7.3456318747839949E-2</v>
      </c>
      <c r="N22" s="20">
        <f t="shared" si="9"/>
        <v>1.6401012752086403E-3</v>
      </c>
      <c r="O22" s="21">
        <f t="shared" si="10"/>
        <v>4.7562942050733463E-2</v>
      </c>
      <c r="P22" s="22">
        <f t="shared" si="11"/>
        <v>1.9478611774975987</v>
      </c>
      <c r="Q22" s="22">
        <f t="shared" si="12"/>
        <v>9.2646008308191738E-2</v>
      </c>
      <c r="R22" s="10">
        <v>1.95</v>
      </c>
      <c r="S22" s="10">
        <v>1.97</v>
      </c>
      <c r="T22" s="10">
        <v>3534</v>
      </c>
      <c r="U22" s="10">
        <v>3192959098.3900003</v>
      </c>
      <c r="V22" s="10">
        <v>3298214955.2900004</v>
      </c>
    </row>
    <row r="23" spans="1:23">
      <c r="A23" s="63">
        <v>19</v>
      </c>
      <c r="B23" s="79" t="s">
        <v>252</v>
      </c>
      <c r="C23" s="79" t="s">
        <v>253</v>
      </c>
      <c r="D23" s="10">
        <v>9808231647</v>
      </c>
      <c r="E23" s="10">
        <v>40168249.689999998</v>
      </c>
      <c r="F23" s="10">
        <v>335814098.26999998</v>
      </c>
      <c r="G23" s="10">
        <v>19548466.489999998</v>
      </c>
      <c r="H23" s="12">
        <f t="shared" si="6"/>
        <v>356433881.46999997</v>
      </c>
      <c r="I23" s="29">
        <v>8419116070.3699999</v>
      </c>
      <c r="J23" s="13">
        <f t="shared" si="0"/>
        <v>0.11819660514374201</v>
      </c>
      <c r="K23" s="29">
        <v>9655048986.4200001</v>
      </c>
      <c r="L23" s="13">
        <f t="shared" si="7"/>
        <v>0.12064747711721213</v>
      </c>
      <c r="M23" s="13">
        <f t="shared" si="8"/>
        <v>0.14680079306659136</v>
      </c>
      <c r="N23" s="20">
        <f t="shared" si="9"/>
        <v>2.0246884834551611E-3</v>
      </c>
      <c r="O23" s="21">
        <f t="shared" si="10"/>
        <v>3.6916838223330674E-2</v>
      </c>
      <c r="P23" s="22">
        <f t="shared" si="11"/>
        <v>213.582796768804</v>
      </c>
      <c r="Q23" s="22">
        <f t="shared" si="12"/>
        <v>7.8848015556004514</v>
      </c>
      <c r="R23" s="10">
        <v>211.47</v>
      </c>
      <c r="S23" s="10">
        <v>215.05</v>
      </c>
      <c r="T23" s="10">
        <v>75</v>
      </c>
      <c r="U23" s="10">
        <v>40764095</v>
      </c>
      <c r="V23" s="10">
        <v>45205181</v>
      </c>
    </row>
    <row r="24" spans="1:23">
      <c r="A24" s="129" t="s">
        <v>51</v>
      </c>
      <c r="B24" s="129"/>
      <c r="C24" s="129"/>
      <c r="D24" s="129"/>
      <c r="E24" s="129"/>
      <c r="F24" s="129"/>
      <c r="G24" s="129"/>
      <c r="H24" s="129"/>
      <c r="I24" s="50">
        <f>SUM(I5:I23)</f>
        <v>71229762141.910004</v>
      </c>
      <c r="J24" s="34">
        <f>(I24/$I$237)</f>
        <v>1.0409486521851578E-2</v>
      </c>
      <c r="K24" s="50">
        <f>SUM(K5:K23)</f>
        <v>80026944757.741364</v>
      </c>
      <c r="L24" s="34">
        <f>(K24/$K$237)</f>
        <v>1.1066126991416216E-2</v>
      </c>
      <c r="M24" s="34">
        <f t="shared" si="1"/>
        <v>0.12350430987407852</v>
      </c>
      <c r="N24" s="20"/>
      <c r="O24" s="20"/>
      <c r="P24" s="35"/>
      <c r="Q24" s="35"/>
      <c r="R24" s="36"/>
      <c r="S24" s="36"/>
      <c r="T24" s="36">
        <f>SUM(T5:T23)</f>
        <v>61351</v>
      </c>
      <c r="U24" s="36"/>
      <c r="V24" s="36"/>
    </row>
    <row r="25" spans="1:23" ht="6" customHeight="1">
      <c r="A25" s="145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5"/>
    </row>
    <row r="26" spans="1:23">
      <c r="A26" s="128" t="s">
        <v>52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</row>
    <row r="27" spans="1:23" ht="13.05" customHeight="1">
      <c r="A27" s="63">
        <v>20</v>
      </c>
      <c r="B27" s="19" t="s">
        <v>53</v>
      </c>
      <c r="C27" s="19" t="s">
        <v>22</v>
      </c>
      <c r="D27" s="10">
        <v>5104615613.8699999</v>
      </c>
      <c r="E27" s="10">
        <v>80765556.75</v>
      </c>
      <c r="F27" s="10">
        <v>0</v>
      </c>
      <c r="G27" s="10">
        <v>9465017.8200000003</v>
      </c>
      <c r="H27" s="12">
        <f>(E27+F27)-G27</f>
        <v>71300538.930000007</v>
      </c>
      <c r="I27" s="44">
        <v>4757209546.46</v>
      </c>
      <c r="J27" s="13">
        <f t="shared" ref="J27:J68" si="14">(I27/$I$69)</f>
        <v>1.1843402576099107E-3</v>
      </c>
      <c r="K27" s="44">
        <v>5080689941.8299999</v>
      </c>
      <c r="L27" s="13">
        <f t="shared" ref="L27" si="15">(K27/$K$69)</f>
        <v>1.1657209119737186E-3</v>
      </c>
      <c r="M27" s="13">
        <f t="shared" ref="M27:M69" si="16">((K27-I27)/I27)</f>
        <v>6.7997928661921683E-2</v>
      </c>
      <c r="N27" s="20">
        <f t="shared" ref="N27" si="17">(G27/K27)</f>
        <v>1.862939468530296E-3</v>
      </c>
      <c r="O27" s="21">
        <f t="shared" ref="O27" si="18">H27/K27</f>
        <v>1.403363317705596E-2</v>
      </c>
      <c r="P27" s="24">
        <f t="shared" ref="P27" si="19">K27/V27</f>
        <v>100.23395021246908</v>
      </c>
      <c r="Q27" s="24">
        <f t="shared" ref="Q27" si="20">H27/V27</f>
        <v>1.4066464891690815</v>
      </c>
      <c r="R27" s="10">
        <v>100</v>
      </c>
      <c r="S27" s="10">
        <v>100</v>
      </c>
      <c r="T27" s="10">
        <v>873</v>
      </c>
      <c r="U27" s="18">
        <v>47452146</v>
      </c>
      <c r="V27" s="18">
        <v>50688314</v>
      </c>
    </row>
    <row r="28" spans="1:23" ht="15" customHeight="1">
      <c r="A28" s="63">
        <v>21</v>
      </c>
      <c r="B28" s="19" t="s">
        <v>54</v>
      </c>
      <c r="C28" s="19" t="s">
        <v>55</v>
      </c>
      <c r="D28" s="10">
        <v>29046575533.119999</v>
      </c>
      <c r="E28" s="10">
        <v>509406750.42000002</v>
      </c>
      <c r="F28" s="10">
        <v>0</v>
      </c>
      <c r="G28" s="10">
        <v>50977534.530000001</v>
      </c>
      <c r="H28" s="12">
        <f t="shared" ref="H28:H68" si="21">(E28+F28)-G28</f>
        <v>458429215.88999999</v>
      </c>
      <c r="I28" s="44">
        <v>26175959454.049999</v>
      </c>
      <c r="J28" s="13">
        <f t="shared" si="14"/>
        <v>6.5166863599828654E-3</v>
      </c>
      <c r="K28" s="44">
        <v>29240331630.490002</v>
      </c>
      <c r="L28" s="13">
        <f t="shared" ref="L28:L68" si="22">(K28/$K$69)</f>
        <v>6.7089443451515572E-3</v>
      </c>
      <c r="M28" s="13">
        <f t="shared" ref="M28:M68" si="23">((K28-I28)/I28)</f>
        <v>0.11706818929863051</v>
      </c>
      <c r="N28" s="20">
        <f t="shared" ref="N28:N68" si="24">(G28/K28)</f>
        <v>1.7433979605362545E-3</v>
      </c>
      <c r="O28" s="21">
        <f t="shared" ref="O28:O68" si="25">H28/K28</f>
        <v>1.5677975943746768E-2</v>
      </c>
      <c r="P28" s="24">
        <f t="shared" ref="P28:P68" si="26">K28/V28</f>
        <v>101.6431737399124</v>
      </c>
      <c r="Q28" s="24">
        <f t="shared" ref="Q28:Q68" si="27">H28/V28</f>
        <v>1.59355923274042</v>
      </c>
      <c r="R28" s="10">
        <v>100</v>
      </c>
      <c r="S28" s="10">
        <v>100</v>
      </c>
      <c r="T28" s="10">
        <v>3549</v>
      </c>
      <c r="U28" s="18">
        <v>249777792.28</v>
      </c>
      <c r="V28" s="18">
        <v>287676294.97000003</v>
      </c>
    </row>
    <row r="29" spans="1:23">
      <c r="A29" s="63">
        <v>22</v>
      </c>
      <c r="B29" s="19" t="s">
        <v>56</v>
      </c>
      <c r="C29" s="19" t="s">
        <v>24</v>
      </c>
      <c r="D29" s="10">
        <v>2486426029.9400001</v>
      </c>
      <c r="E29" s="10">
        <v>40680233.649999999</v>
      </c>
      <c r="F29" s="10">
        <v>0</v>
      </c>
      <c r="G29" s="10">
        <v>3209589.08</v>
      </c>
      <c r="H29" s="12">
        <f t="shared" si="21"/>
        <v>37470644.57</v>
      </c>
      <c r="I29" s="44">
        <v>2445549753.5900002</v>
      </c>
      <c r="J29" s="13">
        <f t="shared" si="14"/>
        <v>6.0883654522217044E-4</v>
      </c>
      <c r="K29" s="44">
        <v>2536936192.9699998</v>
      </c>
      <c r="L29" s="13">
        <f t="shared" si="22"/>
        <v>5.8207834100242658E-4</v>
      </c>
      <c r="M29" s="13">
        <f t="shared" si="23"/>
        <v>3.7368464594043464E-2</v>
      </c>
      <c r="N29" s="20">
        <f t="shared" si="24"/>
        <v>1.2651437938778127E-3</v>
      </c>
      <c r="O29" s="21">
        <f t="shared" si="25"/>
        <v>1.4770038235030654E-2</v>
      </c>
      <c r="P29" s="24">
        <f t="shared" si="26"/>
        <v>138.76291505454986</v>
      </c>
      <c r="Q29" s="24">
        <f t="shared" si="27"/>
        <v>2.049533560960012</v>
      </c>
      <c r="R29" s="10">
        <v>100</v>
      </c>
      <c r="S29" s="10">
        <v>100</v>
      </c>
      <c r="T29" s="10">
        <v>1792</v>
      </c>
      <c r="U29" s="18">
        <v>16437632</v>
      </c>
      <c r="V29" s="18">
        <v>18282523.050000001</v>
      </c>
    </row>
    <row r="30" spans="1:23">
      <c r="A30" s="63">
        <v>23</v>
      </c>
      <c r="B30" s="19" t="s">
        <v>57</v>
      </c>
      <c r="C30" s="86" t="s">
        <v>58</v>
      </c>
      <c r="D30" s="10">
        <v>125919631665.75999</v>
      </c>
      <c r="E30" s="10">
        <v>4928367159.2299995</v>
      </c>
      <c r="F30" s="10">
        <v>0</v>
      </c>
      <c r="G30" s="10">
        <v>570480930.78999996</v>
      </c>
      <c r="H30" s="12">
        <f t="shared" si="21"/>
        <v>4357886228.4399996</v>
      </c>
      <c r="I30" s="44">
        <v>269735294439</v>
      </c>
      <c r="J30" s="13">
        <f t="shared" si="14"/>
        <v>6.7152469316826738E-2</v>
      </c>
      <c r="K30" s="44">
        <v>295292376904</v>
      </c>
      <c r="L30" s="13">
        <f t="shared" si="22"/>
        <v>6.7752313729940228E-2</v>
      </c>
      <c r="M30" s="13">
        <f t="shared" si="23"/>
        <v>9.4748751801850953E-2</v>
      </c>
      <c r="N30" s="20">
        <f t="shared" si="24"/>
        <v>1.9319189231067221E-3</v>
      </c>
      <c r="O30" s="21">
        <f t="shared" si="25"/>
        <v>1.4757869045352142E-2</v>
      </c>
      <c r="P30" s="24">
        <f t="shared" si="26"/>
        <v>1</v>
      </c>
      <c r="Q30" s="24">
        <f t="shared" si="27"/>
        <v>1.4757869045352142E-2</v>
      </c>
      <c r="R30" s="10">
        <v>1</v>
      </c>
      <c r="S30" s="10">
        <v>1</v>
      </c>
      <c r="T30" s="10">
        <v>76309</v>
      </c>
      <c r="U30" s="18">
        <v>269735294439</v>
      </c>
      <c r="V30" s="18">
        <v>295292376904</v>
      </c>
    </row>
    <row r="31" spans="1:23">
      <c r="A31" s="63">
        <v>24</v>
      </c>
      <c r="B31" s="19" t="s">
        <v>269</v>
      </c>
      <c r="C31" s="86" t="s">
        <v>101</v>
      </c>
      <c r="D31" s="10">
        <v>719343942.58000004</v>
      </c>
      <c r="E31" s="10">
        <v>25193844.68</v>
      </c>
      <c r="F31" s="10">
        <v>0</v>
      </c>
      <c r="G31" s="10">
        <v>4022939.85</v>
      </c>
      <c r="H31" s="12">
        <f t="shared" si="21"/>
        <v>21170904.829999998</v>
      </c>
      <c r="I31" s="44">
        <v>1262732914.21</v>
      </c>
      <c r="J31" s="13">
        <f t="shared" si="14"/>
        <v>3.1436610271263766E-4</v>
      </c>
      <c r="K31" s="44">
        <v>1374873709.8</v>
      </c>
      <c r="L31" s="13">
        <f t="shared" si="22"/>
        <v>3.1545302964491997E-4</v>
      </c>
      <c r="M31" s="13">
        <f t="shared" si="23"/>
        <v>8.8808008667579749E-2</v>
      </c>
      <c r="N31" s="20">
        <f t="shared" si="24"/>
        <v>2.9260431858757477E-3</v>
      </c>
      <c r="O31" s="21">
        <f t="shared" si="25"/>
        <v>1.5398436001136197E-2</v>
      </c>
      <c r="P31" s="24">
        <f t="shared" si="26"/>
        <v>0.92590623603632494</v>
      </c>
      <c r="Q31" s="24">
        <f t="shared" si="27"/>
        <v>1.4257507918658254E-2</v>
      </c>
      <c r="R31" s="10">
        <v>1</v>
      </c>
      <c r="S31" s="10">
        <v>1</v>
      </c>
      <c r="T31" s="10">
        <v>362</v>
      </c>
      <c r="U31" s="18">
        <v>1345317888</v>
      </c>
      <c r="V31" s="18">
        <v>1484895183</v>
      </c>
    </row>
    <row r="32" spans="1:23" ht="15" customHeight="1">
      <c r="A32" s="63">
        <v>25</v>
      </c>
      <c r="B32" s="19" t="s">
        <v>59</v>
      </c>
      <c r="C32" s="19" t="s">
        <v>28</v>
      </c>
      <c r="D32" s="10">
        <v>66542549969.169998</v>
      </c>
      <c r="E32" s="10">
        <v>2718862406.9699998</v>
      </c>
      <c r="F32" s="10">
        <v>0</v>
      </c>
      <c r="G32" s="10">
        <v>235004649.05000001</v>
      </c>
      <c r="H32" s="12">
        <f t="shared" si="21"/>
        <v>2483857757.9199996</v>
      </c>
      <c r="I32" s="44">
        <v>159583766803.28</v>
      </c>
      <c r="J32" s="13">
        <f t="shared" si="14"/>
        <v>3.9729483774116892E-2</v>
      </c>
      <c r="K32" s="44">
        <v>166300573472.78</v>
      </c>
      <c r="L32" s="13">
        <f t="shared" si="22"/>
        <v>3.8156246177190566E-2</v>
      </c>
      <c r="M32" s="13">
        <f t="shared" si="23"/>
        <v>4.2089535822148208E-2</v>
      </c>
      <c r="N32" s="20">
        <f t="shared" si="24"/>
        <v>1.4131319221726284E-3</v>
      </c>
      <c r="O32" s="21">
        <f t="shared" si="25"/>
        <v>1.493595425470109E-2</v>
      </c>
      <c r="P32" s="24">
        <f t="shared" si="26"/>
        <v>1.0150144991835455</v>
      </c>
      <c r="Q32" s="24">
        <f t="shared" si="27"/>
        <v>1.5160210127663772E-2</v>
      </c>
      <c r="R32" s="10">
        <v>1</v>
      </c>
      <c r="S32" s="10">
        <v>1</v>
      </c>
      <c r="T32" s="10">
        <v>36690</v>
      </c>
      <c r="U32" s="18">
        <v>152952559442.45001</v>
      </c>
      <c r="V32" s="18">
        <v>163840589081.78</v>
      </c>
    </row>
    <row r="33" spans="1:22" ht="15" customHeight="1">
      <c r="A33" s="63">
        <v>26</v>
      </c>
      <c r="B33" s="19" t="s">
        <v>264</v>
      </c>
      <c r="C33" s="19" t="s">
        <v>103</v>
      </c>
      <c r="D33" s="10">
        <v>14322367860.450001</v>
      </c>
      <c r="E33" s="10">
        <v>223186204.44</v>
      </c>
      <c r="F33" s="10">
        <v>0</v>
      </c>
      <c r="G33" s="10">
        <v>18310694.93</v>
      </c>
      <c r="H33" s="12">
        <f t="shared" si="21"/>
        <v>204875509.50999999</v>
      </c>
      <c r="I33" s="44">
        <v>12635854671.360001</v>
      </c>
      <c r="J33" s="13">
        <f t="shared" si="14"/>
        <v>3.1457835166701816E-3</v>
      </c>
      <c r="K33" s="44">
        <v>14448446697.360001</v>
      </c>
      <c r="L33" s="13">
        <f t="shared" si="22"/>
        <v>3.3150726876640651E-3</v>
      </c>
      <c r="M33" s="13">
        <f t="shared" si="23"/>
        <v>0.14344831221495127</v>
      </c>
      <c r="N33" s="20">
        <f t="shared" si="24"/>
        <v>1.2673123494545406E-3</v>
      </c>
      <c r="O33" s="21">
        <f t="shared" si="25"/>
        <v>1.4179760205464477E-2</v>
      </c>
      <c r="P33" s="24">
        <f t="shared" si="26"/>
        <v>1</v>
      </c>
      <c r="Q33" s="24">
        <f t="shared" si="27"/>
        <v>1.4179760205464477E-2</v>
      </c>
      <c r="R33" s="10">
        <v>1</v>
      </c>
      <c r="S33" s="10">
        <v>1</v>
      </c>
      <c r="T33" s="10">
        <v>1300</v>
      </c>
      <c r="U33" s="18">
        <v>12635854671.360001</v>
      </c>
      <c r="V33" s="18">
        <v>14448446697.360001</v>
      </c>
    </row>
    <row r="34" spans="1:22">
      <c r="A34" s="63">
        <v>27</v>
      </c>
      <c r="B34" s="86" t="s">
        <v>259</v>
      </c>
      <c r="C34" s="86" t="s">
        <v>44</v>
      </c>
      <c r="D34" s="10">
        <v>36871637233.360001</v>
      </c>
      <c r="E34" s="10">
        <v>569959076.94000006</v>
      </c>
      <c r="F34" s="10">
        <v>0</v>
      </c>
      <c r="G34" s="10">
        <v>60550213.899999999</v>
      </c>
      <c r="H34" s="12">
        <f t="shared" si="21"/>
        <v>509408863.04000008</v>
      </c>
      <c r="I34" s="44">
        <v>35709616603.379997</v>
      </c>
      <c r="J34" s="13">
        <f t="shared" si="14"/>
        <v>8.8901563225587503E-3</v>
      </c>
      <c r="K34" s="44">
        <v>36305059154.260002</v>
      </c>
      <c r="L34" s="13">
        <f t="shared" si="22"/>
        <v>8.3298857342434234E-3</v>
      </c>
      <c r="M34" s="13">
        <f t="shared" si="23"/>
        <v>1.6674571376485876E-2</v>
      </c>
      <c r="N34" s="20">
        <f t="shared" si="24"/>
        <v>1.6678175248998346E-3</v>
      </c>
      <c r="O34" s="21">
        <f t="shared" si="25"/>
        <v>1.4031346454374982E-2</v>
      </c>
      <c r="P34" s="24">
        <f t="shared" si="26"/>
        <v>101.6674571358834</v>
      </c>
      <c r="Q34" s="24">
        <f t="shared" si="27"/>
        <v>1.426531314208898</v>
      </c>
      <c r="R34" s="10">
        <v>100</v>
      </c>
      <c r="S34" s="10">
        <v>100</v>
      </c>
      <c r="T34" s="10">
        <v>6586</v>
      </c>
      <c r="U34" s="18">
        <v>357096166.04000002</v>
      </c>
      <c r="V34" s="18">
        <v>357096166.04000002</v>
      </c>
    </row>
    <row r="35" spans="1:22">
      <c r="A35" s="63">
        <v>28</v>
      </c>
      <c r="B35" s="25" t="s">
        <v>213</v>
      </c>
      <c r="C35" s="25" t="s">
        <v>214</v>
      </c>
      <c r="D35" s="10">
        <v>1983478886.1199999</v>
      </c>
      <c r="E35" s="10">
        <v>77900628.319999993</v>
      </c>
      <c r="F35" s="10">
        <v>0</v>
      </c>
      <c r="G35" s="10">
        <v>2048817.8</v>
      </c>
      <c r="H35" s="12">
        <f t="shared" si="21"/>
        <v>75851810.519999996</v>
      </c>
      <c r="I35" s="44">
        <v>1582835393.4100001</v>
      </c>
      <c r="J35" s="13">
        <f t="shared" si="14"/>
        <v>3.9405783144033429E-4</v>
      </c>
      <c r="K35" s="44">
        <v>1937731658.46</v>
      </c>
      <c r="L35" s="13">
        <f t="shared" si="22"/>
        <v>4.4459597848372671E-4</v>
      </c>
      <c r="M35" s="13">
        <f t="shared" si="23"/>
        <v>0.22421552268010952</v>
      </c>
      <c r="N35" s="20">
        <f t="shared" si="24"/>
        <v>1.0573279282789264E-3</v>
      </c>
      <c r="O35" s="21">
        <f t="shared" si="25"/>
        <v>3.9144641203974928E-2</v>
      </c>
      <c r="P35" s="24">
        <f t="shared" si="26"/>
        <v>1.0130930090157215</v>
      </c>
      <c r="Q35" s="24">
        <f t="shared" si="27"/>
        <v>3.965716234417576E-2</v>
      </c>
      <c r="R35" s="10">
        <v>1</v>
      </c>
      <c r="S35" s="10">
        <v>1</v>
      </c>
      <c r="T35" s="10">
        <v>548</v>
      </c>
      <c r="U35" s="18">
        <v>1560342273.3199999</v>
      </c>
      <c r="V35" s="18">
        <v>1912688806.6700001</v>
      </c>
    </row>
    <row r="36" spans="1:22">
      <c r="A36" s="63">
        <v>29</v>
      </c>
      <c r="B36" s="19" t="s">
        <v>229</v>
      </c>
      <c r="C36" s="19" t="s">
        <v>60</v>
      </c>
      <c r="D36" s="10">
        <v>77305015133.979996</v>
      </c>
      <c r="E36" s="10">
        <v>1320013771.45</v>
      </c>
      <c r="F36" s="10">
        <v>0</v>
      </c>
      <c r="G36" s="10">
        <v>124306967.87</v>
      </c>
      <c r="H36" s="12">
        <f t="shared" si="21"/>
        <v>1195706803.5799999</v>
      </c>
      <c r="I36" s="44">
        <v>72539414959.029999</v>
      </c>
      <c r="J36" s="13">
        <f t="shared" si="14"/>
        <v>1.805918964897801E-2</v>
      </c>
      <c r="K36" s="44">
        <v>75909262921.350006</v>
      </c>
      <c r="L36" s="13">
        <f t="shared" si="22"/>
        <v>1.7416732021253059E-2</v>
      </c>
      <c r="M36" s="13">
        <f t="shared" si="23"/>
        <v>4.645540585381458E-2</v>
      </c>
      <c r="N36" s="20">
        <f t="shared" si="24"/>
        <v>1.6375731114501154E-3</v>
      </c>
      <c r="O36" s="21">
        <f t="shared" si="25"/>
        <v>1.575179046092014E-2</v>
      </c>
      <c r="P36" s="24">
        <f t="shared" si="26"/>
        <v>100.00000000046109</v>
      </c>
      <c r="Q36" s="24">
        <f t="shared" si="27"/>
        <v>1.5751790460992769</v>
      </c>
      <c r="R36" s="10">
        <v>100</v>
      </c>
      <c r="S36" s="10">
        <v>100</v>
      </c>
      <c r="T36" s="10">
        <v>5278</v>
      </c>
      <c r="U36" s="18">
        <v>725394149.59000003</v>
      </c>
      <c r="V36" s="18">
        <v>759092629.21000004</v>
      </c>
    </row>
    <row r="37" spans="1:22">
      <c r="A37" s="63">
        <v>30</v>
      </c>
      <c r="B37" s="19" t="s">
        <v>61</v>
      </c>
      <c r="C37" s="19" t="s">
        <v>62</v>
      </c>
      <c r="D37" s="10">
        <v>14473653039</v>
      </c>
      <c r="E37" s="10">
        <v>533908552.44999999</v>
      </c>
      <c r="F37" s="10">
        <v>0</v>
      </c>
      <c r="G37" s="10">
        <v>51983227.380000003</v>
      </c>
      <c r="H37" s="12">
        <f t="shared" si="21"/>
        <v>481925325.06999999</v>
      </c>
      <c r="I37" s="44">
        <v>27512771800</v>
      </c>
      <c r="J37" s="13">
        <f t="shared" si="14"/>
        <v>6.8494950501858595E-3</v>
      </c>
      <c r="K37" s="44">
        <v>35081977800</v>
      </c>
      <c r="L37" s="13">
        <f t="shared" si="22"/>
        <v>8.0492601640885803E-3</v>
      </c>
      <c r="M37" s="13">
        <f t="shared" si="23"/>
        <v>0.27511608263330267</v>
      </c>
      <c r="N37" s="20">
        <f t="shared" si="24"/>
        <v>1.4817644454469725E-3</v>
      </c>
      <c r="O37" s="21">
        <f t="shared" si="25"/>
        <v>1.3737119606466428E-2</v>
      </c>
      <c r="P37" s="24">
        <f t="shared" si="26"/>
        <v>100</v>
      </c>
      <c r="Q37" s="24">
        <f t="shared" si="27"/>
        <v>1.3737119606466428</v>
      </c>
      <c r="R37" s="10">
        <v>100</v>
      </c>
      <c r="S37" s="10">
        <v>100</v>
      </c>
      <c r="T37" s="10">
        <v>5423</v>
      </c>
      <c r="U37" s="18">
        <v>275127718</v>
      </c>
      <c r="V37" s="18">
        <v>350819778</v>
      </c>
    </row>
    <row r="38" spans="1:22">
      <c r="A38" s="63">
        <v>31</v>
      </c>
      <c r="B38" s="19" t="s">
        <v>63</v>
      </c>
      <c r="C38" s="19" t="s">
        <v>64</v>
      </c>
      <c r="D38" s="10">
        <v>63977302173.529999</v>
      </c>
      <c r="E38" s="10">
        <v>977947803.24000001</v>
      </c>
      <c r="F38" s="10">
        <v>0</v>
      </c>
      <c r="G38" s="10">
        <v>103315740.45</v>
      </c>
      <c r="H38" s="12">
        <f t="shared" si="21"/>
        <v>874632062.78999996</v>
      </c>
      <c r="I38" s="44">
        <v>60419732474.919998</v>
      </c>
      <c r="J38" s="13">
        <f t="shared" si="14"/>
        <v>1.5041910772527775E-2</v>
      </c>
      <c r="K38" s="44">
        <v>64805423984.169998</v>
      </c>
      <c r="L38" s="13">
        <f t="shared" si="22"/>
        <v>1.4869051017204916E-2</v>
      </c>
      <c r="M38" s="13">
        <f t="shared" si="23"/>
        <v>7.2587072626819127E-2</v>
      </c>
      <c r="N38" s="20">
        <f t="shared" si="24"/>
        <v>1.594245266804163E-3</v>
      </c>
      <c r="O38" s="21">
        <f t="shared" si="25"/>
        <v>1.3496278691173228E-2</v>
      </c>
      <c r="P38" s="24">
        <f t="shared" si="26"/>
        <v>1</v>
      </c>
      <c r="Q38" s="24">
        <f t="shared" si="27"/>
        <v>1.3496278691173228E-2</v>
      </c>
      <c r="R38" s="10">
        <v>1</v>
      </c>
      <c r="S38" s="10">
        <v>1</v>
      </c>
      <c r="T38" s="10">
        <v>12102</v>
      </c>
      <c r="U38" s="18">
        <v>60419732474.919998</v>
      </c>
      <c r="V38" s="18">
        <v>64805423984.169998</v>
      </c>
    </row>
    <row r="39" spans="1:22">
      <c r="A39" s="63">
        <v>32</v>
      </c>
      <c r="B39" s="78" t="s">
        <v>305</v>
      </c>
      <c r="C39" s="79" t="s">
        <v>110</v>
      </c>
      <c r="D39" s="10">
        <v>376437968.81</v>
      </c>
      <c r="E39" s="10">
        <v>17541668.129999999</v>
      </c>
      <c r="F39" s="10">
        <v>0</v>
      </c>
      <c r="G39" s="10">
        <v>1463655.12</v>
      </c>
      <c r="H39" s="12">
        <f t="shared" ref="H39" si="28">(E39+F39)-G39</f>
        <v>16078013.009999998</v>
      </c>
      <c r="I39" s="44">
        <v>870447105.01999998</v>
      </c>
      <c r="J39" s="13">
        <f t="shared" si="14"/>
        <v>2.1670383415469251E-4</v>
      </c>
      <c r="K39" s="44">
        <v>932371128.29999995</v>
      </c>
      <c r="L39" s="13">
        <f t="shared" si="22"/>
        <v>2.1392459182194434E-4</v>
      </c>
      <c r="M39" s="13">
        <f t="shared" si="23"/>
        <v>7.1140478178254335E-2</v>
      </c>
      <c r="N39" s="20">
        <f t="shared" si="24"/>
        <v>1.5698202953460117E-3</v>
      </c>
      <c r="O39" s="21">
        <f t="shared" si="25"/>
        <v>1.7244220162967908E-2</v>
      </c>
      <c r="P39" s="24">
        <f t="shared" si="26"/>
        <v>1029.708437155911</v>
      </c>
      <c r="Q39" s="24">
        <f t="shared" si="27"/>
        <v>17.756518993982134</v>
      </c>
      <c r="R39" s="10">
        <v>1000</v>
      </c>
      <c r="S39" s="10">
        <v>1000</v>
      </c>
      <c r="T39" s="10">
        <v>45</v>
      </c>
      <c r="U39" s="18">
        <v>883711</v>
      </c>
      <c r="V39" s="18">
        <v>905471</v>
      </c>
    </row>
    <row r="40" spans="1:22">
      <c r="A40" s="63">
        <v>33</v>
      </c>
      <c r="B40" s="19" t="s">
        <v>65</v>
      </c>
      <c r="C40" s="19" t="s">
        <v>66</v>
      </c>
      <c r="D40" s="10">
        <v>32667496265.82</v>
      </c>
      <c r="E40" s="10">
        <v>1360775076.28</v>
      </c>
      <c r="F40" s="10"/>
      <c r="G40" s="10">
        <v>125771277.83</v>
      </c>
      <c r="H40" s="12">
        <f t="shared" si="21"/>
        <v>1235003798.45</v>
      </c>
      <c r="I40" s="44">
        <v>82901819507.970001</v>
      </c>
      <c r="J40" s="13">
        <f t="shared" si="14"/>
        <v>2.0638982015299602E-2</v>
      </c>
      <c r="K40" s="44">
        <v>79650315952.350006</v>
      </c>
      <c r="L40" s="13">
        <f t="shared" si="22"/>
        <v>1.8275084686141044E-2</v>
      </c>
      <c r="M40" s="13">
        <f t="shared" si="23"/>
        <v>-3.9221136217732863E-2</v>
      </c>
      <c r="N40" s="20">
        <f t="shared" si="24"/>
        <v>1.579043049938953E-3</v>
      </c>
      <c r="O40" s="21">
        <f t="shared" si="25"/>
        <v>1.5505322027709576E-2</v>
      </c>
      <c r="P40" s="24">
        <f t="shared" si="26"/>
        <v>102.10757591346066</v>
      </c>
      <c r="Q40" s="24">
        <f t="shared" si="27"/>
        <v>1.5832108460070093</v>
      </c>
      <c r="R40" s="10">
        <v>100</v>
      </c>
      <c r="S40" s="10">
        <v>100</v>
      </c>
      <c r="T40" s="10">
        <v>7889</v>
      </c>
      <c r="U40" s="18">
        <v>791018638</v>
      </c>
      <c r="V40" s="18">
        <v>780062745</v>
      </c>
    </row>
    <row r="41" spans="1:22">
      <c r="A41" s="63">
        <v>34</v>
      </c>
      <c r="B41" s="19" t="s">
        <v>67</v>
      </c>
      <c r="C41" s="19" t="s">
        <v>66</v>
      </c>
      <c r="D41" s="10">
        <v>4842313990.2299995</v>
      </c>
      <c r="E41" s="10">
        <v>192364196.05000001</v>
      </c>
      <c r="F41" s="10">
        <v>0</v>
      </c>
      <c r="G41" s="10">
        <v>15260900.880000001</v>
      </c>
      <c r="H41" s="12">
        <f t="shared" si="21"/>
        <v>177103295.17000002</v>
      </c>
      <c r="I41" s="44">
        <v>11746490929.280001</v>
      </c>
      <c r="J41" s="13">
        <f t="shared" si="14"/>
        <v>2.9243702547322573E-3</v>
      </c>
      <c r="K41" s="44">
        <v>11373722775.42</v>
      </c>
      <c r="L41" s="13">
        <f t="shared" si="22"/>
        <v>2.60960354560099E-3</v>
      </c>
      <c r="M41" s="13">
        <f t="shared" si="23"/>
        <v>-3.1734426570816703E-2</v>
      </c>
      <c r="N41" s="20">
        <f t="shared" si="24"/>
        <v>1.3417683181957509E-3</v>
      </c>
      <c r="O41" s="21">
        <f t="shared" si="25"/>
        <v>1.5571268850753229E-2</v>
      </c>
      <c r="P41" s="24">
        <f t="shared" si="26"/>
        <v>1016872.8453661153</v>
      </c>
      <c r="Q41" s="24">
        <f t="shared" si="27"/>
        <v>15834.000462226197</v>
      </c>
      <c r="R41" s="10">
        <v>1000000</v>
      </c>
      <c r="S41" s="10">
        <v>1000000</v>
      </c>
      <c r="T41" s="10">
        <v>78</v>
      </c>
      <c r="U41" s="18">
        <v>11368</v>
      </c>
      <c r="V41" s="18">
        <v>11185</v>
      </c>
    </row>
    <row r="42" spans="1:22">
      <c r="A42" s="63">
        <v>35</v>
      </c>
      <c r="B42" s="86" t="s">
        <v>68</v>
      </c>
      <c r="C42" s="86" t="s">
        <v>69</v>
      </c>
      <c r="D42" s="10">
        <v>7449577595.1199999</v>
      </c>
      <c r="E42" s="10">
        <v>133989738.59</v>
      </c>
      <c r="F42" s="10">
        <v>0</v>
      </c>
      <c r="G42" s="10">
        <v>11905659.18</v>
      </c>
      <c r="H42" s="12">
        <f t="shared" si="21"/>
        <v>122084079.41</v>
      </c>
      <c r="I42" s="44">
        <v>6843299442.1999998</v>
      </c>
      <c r="J42" s="13">
        <f t="shared" si="14"/>
        <v>1.7036867821616051E-3</v>
      </c>
      <c r="K42" s="44">
        <v>6978114931.9399996</v>
      </c>
      <c r="L42" s="13">
        <f t="shared" si="22"/>
        <v>1.601068869671776E-3</v>
      </c>
      <c r="M42" s="13">
        <f t="shared" si="23"/>
        <v>1.9700363966048951E-2</v>
      </c>
      <c r="N42" s="20">
        <f t="shared" si="24"/>
        <v>1.7061426038579282E-3</v>
      </c>
      <c r="O42" s="21">
        <f t="shared" si="25"/>
        <v>1.7495280688370543E-2</v>
      </c>
      <c r="P42" s="24">
        <f t="shared" si="26"/>
        <v>0.92624374254615671</v>
      </c>
      <c r="Q42" s="24">
        <f t="shared" si="27"/>
        <v>1.6204894261691832E-2</v>
      </c>
      <c r="R42" s="10">
        <v>1</v>
      </c>
      <c r="S42" s="10">
        <v>1</v>
      </c>
      <c r="T42" s="10">
        <v>1055</v>
      </c>
      <c r="U42" s="18">
        <v>6840226583.8400002</v>
      </c>
      <c r="V42" s="18">
        <v>7533778217.7700005</v>
      </c>
    </row>
    <row r="43" spans="1:22">
      <c r="A43" s="63">
        <v>36</v>
      </c>
      <c r="B43" s="19" t="s">
        <v>70</v>
      </c>
      <c r="C43" s="19" t="s">
        <v>71</v>
      </c>
      <c r="D43" s="10">
        <v>1766126371.1800001</v>
      </c>
      <c r="E43" s="10">
        <v>54306095.920000002</v>
      </c>
      <c r="F43" s="10">
        <v>0</v>
      </c>
      <c r="G43" s="10">
        <v>3675576.3</v>
      </c>
      <c r="H43" s="12">
        <f>(E43+F43)-G43</f>
        <v>50630519.620000005</v>
      </c>
      <c r="I43" s="44">
        <v>2995845553.2600002</v>
      </c>
      <c r="J43" s="13">
        <f t="shared" si="14"/>
        <v>7.4583649504103003E-4</v>
      </c>
      <c r="K43" s="44">
        <v>3229194146.3600001</v>
      </c>
      <c r="L43" s="13">
        <f t="shared" si="22"/>
        <v>7.4091101569546004E-4</v>
      </c>
      <c r="M43" s="13">
        <f t="shared" si="23"/>
        <v>7.789072866125428E-2</v>
      </c>
      <c r="N43" s="20">
        <f t="shared" si="24"/>
        <v>1.1382332970419785E-3</v>
      </c>
      <c r="O43" s="21">
        <f t="shared" si="25"/>
        <v>1.5678995230767264E-2</v>
      </c>
      <c r="P43" s="24">
        <f t="shared" si="26"/>
        <v>0.9733203379442138</v>
      </c>
      <c r="Q43" s="24">
        <f t="shared" si="27"/>
        <v>1.5260684936636109E-2</v>
      </c>
      <c r="R43" s="10">
        <v>1</v>
      </c>
      <c r="S43" s="10">
        <v>1</v>
      </c>
      <c r="T43" s="10">
        <v>1686</v>
      </c>
      <c r="U43" s="18">
        <v>3274344012.0799999</v>
      </c>
      <c r="V43" s="18">
        <v>3317709515.02</v>
      </c>
    </row>
    <row r="44" spans="1:22">
      <c r="A44" s="63">
        <v>37</v>
      </c>
      <c r="B44" s="19" t="s">
        <v>72</v>
      </c>
      <c r="C44" s="19" t="s">
        <v>73</v>
      </c>
      <c r="D44" s="10">
        <v>666045500557.29004</v>
      </c>
      <c r="E44" s="10">
        <v>10982354927.17</v>
      </c>
      <c r="F44" s="10">
        <v>0</v>
      </c>
      <c r="G44" s="10">
        <v>1054428764.5</v>
      </c>
      <c r="H44" s="12">
        <f t="shared" ref="H44" si="29">(E44+F44)-G44</f>
        <v>9927926162.6700001</v>
      </c>
      <c r="I44" s="44">
        <v>610727831178.16003</v>
      </c>
      <c r="J44" s="13">
        <f t="shared" si="14"/>
        <v>0.15204492252087637</v>
      </c>
      <c r="K44" s="44">
        <v>655129103702.23999</v>
      </c>
      <c r="L44" s="13">
        <f t="shared" si="22"/>
        <v>0.15031377725703643</v>
      </c>
      <c r="M44" s="13">
        <f t="shared" si="23"/>
        <v>7.2702225537069592E-2</v>
      </c>
      <c r="N44" s="20">
        <f t="shared" si="24"/>
        <v>1.6094976677745705E-3</v>
      </c>
      <c r="O44" s="21">
        <f t="shared" si="25"/>
        <v>1.515415222215849E-2</v>
      </c>
      <c r="P44" s="24">
        <f t="shared" si="26"/>
        <v>100.04929552381904</v>
      </c>
      <c r="Q44" s="24">
        <f t="shared" si="27"/>
        <v>1.5161622540876738</v>
      </c>
      <c r="R44" s="10">
        <v>100</v>
      </c>
      <c r="S44" s="10">
        <v>100</v>
      </c>
      <c r="T44" s="10">
        <v>33224</v>
      </c>
      <c r="U44" s="18">
        <v>6103925032</v>
      </c>
      <c r="V44" s="18">
        <v>6548063135</v>
      </c>
    </row>
    <row r="45" spans="1:22">
      <c r="A45" s="63">
        <v>38</v>
      </c>
      <c r="B45" s="19" t="s">
        <v>265</v>
      </c>
      <c r="C45" s="19" t="s">
        <v>266</v>
      </c>
      <c r="D45" s="10">
        <v>2649002797.5</v>
      </c>
      <c r="E45" s="10">
        <v>43307693.549999997</v>
      </c>
      <c r="F45" s="10">
        <v>0</v>
      </c>
      <c r="G45" s="10">
        <v>38828289.880000003</v>
      </c>
      <c r="H45" s="12">
        <f>(E45+F45)-G45</f>
        <v>4479403.6699999943</v>
      </c>
      <c r="I45" s="44">
        <v>2101529689.1300001</v>
      </c>
      <c r="J45" s="13">
        <f t="shared" si="14"/>
        <v>5.2319036802807935E-4</v>
      </c>
      <c r="K45" s="44">
        <v>2757089883.2600002</v>
      </c>
      <c r="L45" s="13">
        <f t="shared" si="22"/>
        <v>6.3259072486319045E-4</v>
      </c>
      <c r="M45" s="13">
        <f t="shared" si="23"/>
        <v>0.31194429349289449</v>
      </c>
      <c r="N45" s="20">
        <f t="shared" si="24"/>
        <v>1.4083070020948751E-2</v>
      </c>
      <c r="O45" s="21">
        <f t="shared" si="25"/>
        <v>1.6246853964381892E-3</v>
      </c>
      <c r="P45" s="24">
        <f t="shared" si="26"/>
        <v>0.99950951068999305</v>
      </c>
      <c r="Q45" s="24">
        <f t="shared" si="27"/>
        <v>1.6238885056191119E-3</v>
      </c>
      <c r="R45" s="10">
        <v>1</v>
      </c>
      <c r="S45" s="10">
        <v>1</v>
      </c>
      <c r="T45" s="10">
        <v>432</v>
      </c>
      <c r="U45" s="18">
        <v>2271262531.52</v>
      </c>
      <c r="V45" s="18">
        <v>2758442870</v>
      </c>
    </row>
    <row r="46" spans="1:22" ht="15.6" customHeight="1">
      <c r="A46" s="63">
        <v>39</v>
      </c>
      <c r="B46" s="19" t="s">
        <v>74</v>
      </c>
      <c r="C46" s="19" t="s">
        <v>75</v>
      </c>
      <c r="D46" s="10">
        <v>1691328262.6500001</v>
      </c>
      <c r="E46" s="10">
        <v>30861411.670000002</v>
      </c>
      <c r="F46" s="10">
        <v>0</v>
      </c>
      <c r="G46" s="10">
        <v>2184049.7999999998</v>
      </c>
      <c r="H46" s="12">
        <f t="shared" si="21"/>
        <v>28677361.870000001</v>
      </c>
      <c r="I46" s="44">
        <v>1245377083.3699999</v>
      </c>
      <c r="J46" s="13">
        <f t="shared" si="14"/>
        <v>3.1004524844558616E-4</v>
      </c>
      <c r="K46" s="44">
        <v>1660260389.98</v>
      </c>
      <c r="L46" s="13">
        <f t="shared" si="22"/>
        <v>3.8093256586805625E-4</v>
      </c>
      <c r="M46" s="13">
        <f t="shared" si="23"/>
        <v>0.33313870324907757</v>
      </c>
      <c r="N46" s="20">
        <f t="shared" si="24"/>
        <v>1.3154863015350921E-3</v>
      </c>
      <c r="O46" s="21">
        <f t="shared" si="25"/>
        <v>1.7272809761091426E-2</v>
      </c>
      <c r="P46" s="24">
        <f t="shared" si="26"/>
        <v>9.9720107934050919</v>
      </c>
      <c r="Q46" s="24">
        <f t="shared" si="27"/>
        <v>0.17224464537003653</v>
      </c>
      <c r="R46" s="10">
        <v>10</v>
      </c>
      <c r="S46" s="10">
        <v>10</v>
      </c>
      <c r="T46" s="10">
        <v>505</v>
      </c>
      <c r="U46" s="18">
        <v>125283949</v>
      </c>
      <c r="V46" s="18">
        <v>166492037</v>
      </c>
    </row>
    <row r="47" spans="1:22">
      <c r="A47" s="63">
        <v>40</v>
      </c>
      <c r="B47" s="19" t="s">
        <v>76</v>
      </c>
      <c r="C47" s="19" t="s">
        <v>77</v>
      </c>
      <c r="D47" s="10">
        <v>2791164220.3299999</v>
      </c>
      <c r="E47" s="10">
        <v>123428169.37</v>
      </c>
      <c r="F47" s="10">
        <v>0</v>
      </c>
      <c r="G47" s="10">
        <v>16859761.370000001</v>
      </c>
      <c r="H47" s="12">
        <f t="shared" si="21"/>
        <v>106568408</v>
      </c>
      <c r="I47" s="44">
        <v>8854063898.2099991</v>
      </c>
      <c r="J47" s="13">
        <f t="shared" si="14"/>
        <v>2.2042805169059233E-3</v>
      </c>
      <c r="K47" s="44">
        <v>9249190821.6900005</v>
      </c>
      <c r="L47" s="13">
        <f t="shared" si="22"/>
        <v>2.1221478348658852E-3</v>
      </c>
      <c r="M47" s="13">
        <f t="shared" si="23"/>
        <v>4.46266175648318E-2</v>
      </c>
      <c r="N47" s="20">
        <f t="shared" si="24"/>
        <v>1.8228363642863415E-3</v>
      </c>
      <c r="O47" s="21">
        <f t="shared" si="25"/>
        <v>1.1521916895701796E-2</v>
      </c>
      <c r="P47" s="24">
        <f t="shared" si="26"/>
        <v>99.659109324218406</v>
      </c>
      <c r="Q47" s="24">
        <f t="shared" si="27"/>
        <v>1.1482639755333044</v>
      </c>
      <c r="R47" s="10">
        <v>100</v>
      </c>
      <c r="S47" s="10">
        <v>100</v>
      </c>
      <c r="T47" s="10">
        <v>1762</v>
      </c>
      <c r="U47" s="18">
        <v>88862721</v>
      </c>
      <c r="V47" s="18">
        <v>92808283</v>
      </c>
    </row>
    <row r="48" spans="1:22">
      <c r="A48" s="63">
        <v>41</v>
      </c>
      <c r="B48" s="78" t="s">
        <v>249</v>
      </c>
      <c r="C48" s="78" t="s">
        <v>225</v>
      </c>
      <c r="D48" s="10">
        <v>122610551.95999999</v>
      </c>
      <c r="E48" s="10">
        <v>7468524.3700000001</v>
      </c>
      <c r="F48" s="10">
        <v>0</v>
      </c>
      <c r="G48" s="10">
        <v>186935.48</v>
      </c>
      <c r="H48" s="12">
        <f t="shared" si="21"/>
        <v>7281588.8899999997</v>
      </c>
      <c r="I48" s="44">
        <v>113330849.73</v>
      </c>
      <c r="J48" s="13">
        <f t="shared" si="14"/>
        <v>2.8214499793110358E-5</v>
      </c>
      <c r="K48" s="44">
        <v>122575202.45</v>
      </c>
      <c r="L48" s="13">
        <f t="shared" si="22"/>
        <v>2.8123833263068711E-5</v>
      </c>
      <c r="M48" s="13">
        <f t="shared" si="23"/>
        <v>8.1569605645980703E-2</v>
      </c>
      <c r="N48" s="20">
        <f t="shared" si="24"/>
        <v>1.5250676830515812E-3</v>
      </c>
      <c r="O48" s="21">
        <f t="shared" si="25"/>
        <v>5.9405073330148106E-2</v>
      </c>
      <c r="P48" s="24">
        <f t="shared" si="26"/>
        <v>0.99747456977695104</v>
      </c>
      <c r="Q48" s="24">
        <f t="shared" si="27"/>
        <v>5.9255049962557711E-2</v>
      </c>
      <c r="R48" s="10">
        <v>1</v>
      </c>
      <c r="S48" s="10">
        <v>1</v>
      </c>
      <c r="T48" s="10">
        <v>92</v>
      </c>
      <c r="U48" s="18">
        <v>118415778.73999999</v>
      </c>
      <c r="V48" s="18">
        <v>122885541.31</v>
      </c>
    </row>
    <row r="49" spans="1:22">
      <c r="A49" s="63">
        <v>42</v>
      </c>
      <c r="B49" s="86" t="s">
        <v>267</v>
      </c>
      <c r="C49" s="86" t="s">
        <v>36</v>
      </c>
      <c r="D49" s="10">
        <v>708077734.13</v>
      </c>
      <c r="E49" s="10">
        <v>11580705.51</v>
      </c>
      <c r="F49" s="10">
        <v>0</v>
      </c>
      <c r="G49" s="10">
        <v>1393879</v>
      </c>
      <c r="H49" s="12">
        <f t="shared" si="21"/>
        <v>10186826.51</v>
      </c>
      <c r="I49" s="44">
        <v>651872707</v>
      </c>
      <c r="J49" s="13">
        <f t="shared" si="14"/>
        <v>1.6228822426200465E-4</v>
      </c>
      <c r="K49" s="44">
        <v>694889909.89999998</v>
      </c>
      <c r="L49" s="13">
        <f t="shared" si="22"/>
        <v>1.5943655463419092E-4</v>
      </c>
      <c r="M49" s="13">
        <f t="shared" si="23"/>
        <v>6.5990188633560903E-2</v>
      </c>
      <c r="N49" s="20">
        <f t="shared" si="24"/>
        <v>2.0058990354322312E-3</v>
      </c>
      <c r="O49" s="21">
        <f t="shared" si="25"/>
        <v>1.46596264600618E-2</v>
      </c>
      <c r="P49" s="24">
        <f t="shared" si="26"/>
        <v>99.999999985609236</v>
      </c>
      <c r="Q49" s="24">
        <f t="shared" si="27"/>
        <v>1.4659626457952166</v>
      </c>
      <c r="R49" s="10">
        <v>100</v>
      </c>
      <c r="S49" s="10">
        <v>100</v>
      </c>
      <c r="T49" s="10">
        <v>4379</v>
      </c>
      <c r="U49" s="18">
        <v>6518727.0700000003</v>
      </c>
      <c r="V49" s="18">
        <v>6948899.0999999996</v>
      </c>
    </row>
    <row r="50" spans="1:22">
      <c r="A50" s="63">
        <v>43</v>
      </c>
      <c r="B50" s="86" t="s">
        <v>78</v>
      </c>
      <c r="C50" s="86" t="s">
        <v>36</v>
      </c>
      <c r="D50" s="10">
        <v>215459622748.13</v>
      </c>
      <c r="E50" s="10">
        <v>3324481943.73</v>
      </c>
      <c r="F50" s="10">
        <v>0</v>
      </c>
      <c r="G50" s="10">
        <v>218508160.18000001</v>
      </c>
      <c r="H50" s="12">
        <f t="shared" si="21"/>
        <v>3105973783.5500002</v>
      </c>
      <c r="I50" s="44">
        <v>176543820412</v>
      </c>
      <c r="J50" s="13">
        <f t="shared" si="14"/>
        <v>4.3951806558904953E-2</v>
      </c>
      <c r="K50" s="44">
        <v>210963916172.72</v>
      </c>
      <c r="L50" s="13">
        <f t="shared" si="22"/>
        <v>4.8403868681234891E-2</v>
      </c>
      <c r="M50" s="13">
        <f t="shared" si="23"/>
        <v>0.19496630173966942</v>
      </c>
      <c r="N50" s="20">
        <f t="shared" si="24"/>
        <v>1.0357608265154851E-3</v>
      </c>
      <c r="O50" s="21">
        <f t="shared" si="25"/>
        <v>1.472277268974796E-2</v>
      </c>
      <c r="P50" s="24">
        <f t="shared" si="26"/>
        <v>99.999999999867271</v>
      </c>
      <c r="Q50" s="24">
        <f t="shared" si="27"/>
        <v>1.4722772689728421</v>
      </c>
      <c r="R50" s="10">
        <v>100</v>
      </c>
      <c r="S50" s="10">
        <v>100</v>
      </c>
      <c r="T50" s="10">
        <v>21118</v>
      </c>
      <c r="U50" s="18">
        <v>1765438204.1199999</v>
      </c>
      <c r="V50" s="18">
        <v>2109639161.73</v>
      </c>
    </row>
    <row r="51" spans="1:22">
      <c r="A51" s="63">
        <v>44</v>
      </c>
      <c r="B51" s="19" t="s">
        <v>79</v>
      </c>
      <c r="C51" s="19" t="s">
        <v>38</v>
      </c>
      <c r="D51" s="10">
        <v>40951788469.580002</v>
      </c>
      <c r="E51" s="10">
        <v>657658609.16999996</v>
      </c>
      <c r="F51" s="10">
        <v>0</v>
      </c>
      <c r="G51" s="10">
        <v>45702946.509999998</v>
      </c>
      <c r="H51" s="12">
        <f t="shared" si="21"/>
        <v>611955662.65999997</v>
      </c>
      <c r="I51" s="44">
        <v>33347449775.950001</v>
      </c>
      <c r="J51" s="13">
        <f t="shared" si="14"/>
        <v>8.3020785341842984E-3</v>
      </c>
      <c r="K51" s="44">
        <v>40758865175.900002</v>
      </c>
      <c r="L51" s="13">
        <f t="shared" si="22"/>
        <v>9.3517734850692823E-3</v>
      </c>
      <c r="M51" s="13">
        <f t="shared" si="23"/>
        <v>0.22224834131979332</v>
      </c>
      <c r="N51" s="20">
        <f t="shared" si="24"/>
        <v>1.1213007602827801E-3</v>
      </c>
      <c r="O51" s="21">
        <f t="shared" si="25"/>
        <v>1.5014050563454808E-2</v>
      </c>
      <c r="P51" s="24">
        <f t="shared" si="26"/>
        <v>1.0004658742817252</v>
      </c>
      <c r="Q51" s="24">
        <f t="shared" si="27"/>
        <v>1.5021045223476843E-2</v>
      </c>
      <c r="R51" s="10">
        <v>1</v>
      </c>
      <c r="S51" s="10">
        <v>1</v>
      </c>
      <c r="T51" s="10">
        <v>2626</v>
      </c>
      <c r="U51" s="18">
        <v>33331454771</v>
      </c>
      <c r="V51" s="18">
        <v>40739885511</v>
      </c>
    </row>
    <row r="52" spans="1:22">
      <c r="A52" s="63">
        <v>45</v>
      </c>
      <c r="B52" s="19" t="s">
        <v>275</v>
      </c>
      <c r="C52" s="86" t="s">
        <v>276</v>
      </c>
      <c r="D52" s="10">
        <v>2047977314.73</v>
      </c>
      <c r="E52" s="10">
        <v>91139425.569999993</v>
      </c>
      <c r="F52" s="10"/>
      <c r="G52" s="10">
        <v>76349967.549999997</v>
      </c>
      <c r="H52" s="12">
        <f t="shared" si="21"/>
        <v>14789458.019999996</v>
      </c>
      <c r="I52" s="44">
        <v>4292161308.3699999</v>
      </c>
      <c r="J52" s="13">
        <f t="shared" si="14"/>
        <v>1.0685632785381362E-3</v>
      </c>
      <c r="K52" s="44">
        <v>4683034134.2299995</v>
      </c>
      <c r="L52" s="13">
        <f t="shared" si="22"/>
        <v>1.0744821833769188E-3</v>
      </c>
      <c r="M52" s="13">
        <f t="shared" si="23"/>
        <v>9.1066667298307646E-2</v>
      </c>
      <c r="N52" s="20">
        <f t="shared" si="24"/>
        <v>1.630352574027388E-2</v>
      </c>
      <c r="O52" s="21">
        <f t="shared" si="25"/>
        <v>3.1580931498872639E-3</v>
      </c>
      <c r="P52" s="24">
        <f t="shared" si="26"/>
        <v>100.00702748146475</v>
      </c>
      <c r="Q52" s="24">
        <f t="shared" si="27"/>
        <v>0.31583150842980118</v>
      </c>
      <c r="R52" s="10">
        <v>100</v>
      </c>
      <c r="S52" s="10">
        <v>100</v>
      </c>
      <c r="T52" s="10">
        <v>265</v>
      </c>
      <c r="U52" s="18">
        <v>41338703.520000003</v>
      </c>
      <c r="V52" s="18">
        <v>46827050.579999998</v>
      </c>
    </row>
    <row r="53" spans="1:22">
      <c r="A53" s="63">
        <v>46</v>
      </c>
      <c r="B53" s="19" t="s">
        <v>80</v>
      </c>
      <c r="C53" s="19" t="s">
        <v>40</v>
      </c>
      <c r="D53" s="10">
        <v>68396489603.900002</v>
      </c>
      <c r="E53" s="10">
        <v>2310158828.73</v>
      </c>
      <c r="F53" s="10">
        <v>0</v>
      </c>
      <c r="G53" s="10">
        <v>99484385.439999998</v>
      </c>
      <c r="H53" s="12">
        <f t="shared" si="21"/>
        <v>2210674443.29</v>
      </c>
      <c r="I53" s="44">
        <v>67442139836.230003</v>
      </c>
      <c r="J53" s="13">
        <f t="shared" si="14"/>
        <v>1.6790187711374104E-2</v>
      </c>
      <c r="K53" s="44">
        <v>66976115617.57</v>
      </c>
      <c r="L53" s="13">
        <f t="shared" si="22"/>
        <v>1.5367097672181335E-2</v>
      </c>
      <c r="M53" s="13">
        <f t="shared" si="23"/>
        <v>-6.9099856527632718E-3</v>
      </c>
      <c r="N53" s="20">
        <f t="shared" si="24"/>
        <v>1.4853710837464875E-3</v>
      </c>
      <c r="O53" s="21">
        <f t="shared" si="25"/>
        <v>3.3006907356539328E-2</v>
      </c>
      <c r="P53" s="24">
        <f t="shared" si="26"/>
        <v>9.9880565553426184</v>
      </c>
      <c r="Q53" s="24">
        <f t="shared" si="27"/>
        <v>0.32967485739406915</v>
      </c>
      <c r="R53" s="10">
        <v>10</v>
      </c>
      <c r="S53" s="10">
        <v>10</v>
      </c>
      <c r="T53" s="10">
        <v>7928</v>
      </c>
      <c r="U53" s="18">
        <v>6741266588.3699999</v>
      </c>
      <c r="V53" s="18">
        <v>6705620382.3500004</v>
      </c>
    </row>
    <row r="54" spans="1:22" ht="14.1" customHeight="1">
      <c r="A54" s="63">
        <v>47</v>
      </c>
      <c r="B54" s="19" t="s">
        <v>81</v>
      </c>
      <c r="C54" s="19" t="s">
        <v>260</v>
      </c>
      <c r="D54" s="10">
        <v>16612728461.91</v>
      </c>
      <c r="E54" s="10">
        <v>522449909.12</v>
      </c>
      <c r="F54" s="10">
        <v>182328.76</v>
      </c>
      <c r="G54" s="10">
        <v>40637739.880000003</v>
      </c>
      <c r="H54" s="12">
        <f t="shared" si="21"/>
        <v>481994498</v>
      </c>
      <c r="I54" s="44">
        <v>29081291036</v>
      </c>
      <c r="J54" s="13">
        <f t="shared" si="14"/>
        <v>7.2399887751075816E-3</v>
      </c>
      <c r="K54" s="44">
        <v>31120651097</v>
      </c>
      <c r="L54" s="13">
        <f t="shared" si="22"/>
        <v>7.1403675865612595E-3</v>
      </c>
      <c r="M54" s="13">
        <f t="shared" si="23"/>
        <v>7.0126187261612877E-2</v>
      </c>
      <c r="N54" s="20">
        <f t="shared" si="24"/>
        <v>1.3058126500418059E-3</v>
      </c>
      <c r="O54" s="21">
        <f t="shared" si="25"/>
        <v>1.5487931036457774E-2</v>
      </c>
      <c r="P54" s="24">
        <f t="shared" si="26"/>
        <v>99.999999999999986</v>
      </c>
      <c r="Q54" s="24">
        <f t="shared" si="27"/>
        <v>1.5487931036457774</v>
      </c>
      <c r="R54" s="10">
        <v>100</v>
      </c>
      <c r="S54" s="10">
        <v>100</v>
      </c>
      <c r="T54" s="10">
        <v>4862</v>
      </c>
      <c r="U54" s="18">
        <v>290812910</v>
      </c>
      <c r="V54" s="18">
        <v>311206510.97000003</v>
      </c>
    </row>
    <row r="55" spans="1:22">
      <c r="A55" s="63">
        <v>48</v>
      </c>
      <c r="B55" s="19" t="s">
        <v>82</v>
      </c>
      <c r="C55" s="86" t="s">
        <v>83</v>
      </c>
      <c r="D55" s="10">
        <v>161408519.97</v>
      </c>
      <c r="E55" s="10">
        <v>3652637.22</v>
      </c>
      <c r="F55" s="10">
        <v>0</v>
      </c>
      <c r="G55" s="10">
        <v>3484722.52</v>
      </c>
      <c r="H55" s="12">
        <f t="shared" si="21"/>
        <v>167914.70000000019</v>
      </c>
      <c r="I55" s="44">
        <v>260183995.94999999</v>
      </c>
      <c r="J55" s="13">
        <f t="shared" si="14"/>
        <v>6.4774607420583585E-5</v>
      </c>
      <c r="K55" s="44">
        <v>201665906.28</v>
      </c>
      <c r="L55" s="13">
        <f t="shared" si="22"/>
        <v>4.627051972749453E-5</v>
      </c>
      <c r="M55" s="13">
        <f t="shared" si="23"/>
        <v>-0.22491041178891538</v>
      </c>
      <c r="N55" s="20">
        <f t="shared" si="24"/>
        <v>1.7279680954904144E-2</v>
      </c>
      <c r="O55" s="21">
        <f t="shared" si="25"/>
        <v>8.3263801550501819E-4</v>
      </c>
      <c r="P55" s="24">
        <f t="shared" si="26"/>
        <v>1.0008653876074936</v>
      </c>
      <c r="Q55" s="24">
        <f t="shared" si="27"/>
        <v>8.3335857012516417E-4</v>
      </c>
      <c r="R55" s="10">
        <v>1</v>
      </c>
      <c r="S55" s="10">
        <v>1</v>
      </c>
      <c r="T55" s="10">
        <v>93</v>
      </c>
      <c r="U55" s="18">
        <v>231154738</v>
      </c>
      <c r="V55" s="18">
        <v>201491538</v>
      </c>
    </row>
    <row r="56" spans="1:22" ht="15" customHeight="1">
      <c r="A56" s="63">
        <v>49</v>
      </c>
      <c r="B56" s="86" t="s">
        <v>84</v>
      </c>
      <c r="C56" s="86" t="s">
        <v>42</v>
      </c>
      <c r="D56" s="10">
        <v>1957890806.53</v>
      </c>
      <c r="E56" s="10">
        <v>75920538.75</v>
      </c>
      <c r="F56" s="10">
        <v>0</v>
      </c>
      <c r="G56" s="10">
        <v>2559260.7999999998</v>
      </c>
      <c r="H56" s="12">
        <f t="shared" si="21"/>
        <v>73361277.950000003</v>
      </c>
      <c r="I56" s="44">
        <v>1900434044.4000001</v>
      </c>
      <c r="J56" s="13">
        <f t="shared" si="14"/>
        <v>4.7312621479753976E-4</v>
      </c>
      <c r="K56" s="44">
        <v>1986831754.9400001</v>
      </c>
      <c r="L56" s="13">
        <f t="shared" si="22"/>
        <v>4.5586157624741291E-4</v>
      </c>
      <c r="M56" s="13">
        <f t="shared" si="23"/>
        <v>4.5462093669910664E-2</v>
      </c>
      <c r="N56" s="20">
        <f t="shared" si="24"/>
        <v>1.2881114838419151E-3</v>
      </c>
      <c r="O56" s="21">
        <f t="shared" si="25"/>
        <v>3.6923749465749514E-2</v>
      </c>
      <c r="P56" s="24">
        <f t="shared" si="26"/>
        <v>10.291718558161937</v>
      </c>
      <c r="Q56" s="24">
        <f t="shared" si="27"/>
        <v>0.38000883761357623</v>
      </c>
      <c r="R56" s="10">
        <v>10</v>
      </c>
      <c r="S56" s="10">
        <v>10</v>
      </c>
      <c r="T56" s="10">
        <v>884</v>
      </c>
      <c r="U56" s="18">
        <v>175088320.47</v>
      </c>
      <c r="V56" s="18">
        <v>193051504.83000001</v>
      </c>
    </row>
    <row r="57" spans="1:22" ht="15" customHeight="1">
      <c r="A57" s="63">
        <v>50</v>
      </c>
      <c r="B57" s="10" t="s">
        <v>208</v>
      </c>
      <c r="C57" s="10" t="s">
        <v>209</v>
      </c>
      <c r="D57" s="10">
        <v>658237317.37</v>
      </c>
      <c r="E57" s="10">
        <v>19756823.039999999</v>
      </c>
      <c r="F57" s="10">
        <v>0</v>
      </c>
      <c r="G57" s="10">
        <v>1831854.98</v>
      </c>
      <c r="H57" s="12">
        <f t="shared" si="21"/>
        <v>17924968.059999999</v>
      </c>
      <c r="I57" s="44">
        <v>941250240</v>
      </c>
      <c r="J57" s="13">
        <f t="shared" si="14"/>
        <v>2.3433076488012206E-4</v>
      </c>
      <c r="K57" s="44">
        <v>1088392419</v>
      </c>
      <c r="L57" s="13">
        <f t="shared" si="22"/>
        <v>2.4972234436431085E-4</v>
      </c>
      <c r="M57" s="13">
        <f t="shared" si="23"/>
        <v>0.15632631233113947</v>
      </c>
      <c r="N57" s="20">
        <f t="shared" si="24"/>
        <v>1.6830831858265635E-3</v>
      </c>
      <c r="O57" s="21">
        <f t="shared" si="25"/>
        <v>1.646921436339038E-2</v>
      </c>
      <c r="P57" s="24">
        <f t="shared" si="26"/>
        <v>1</v>
      </c>
      <c r="Q57" s="24">
        <f t="shared" si="27"/>
        <v>1.646921436339038E-2</v>
      </c>
      <c r="R57" s="10">
        <v>1</v>
      </c>
      <c r="S57" s="10">
        <v>1</v>
      </c>
      <c r="T57" s="10">
        <v>159</v>
      </c>
      <c r="U57" s="18">
        <v>941250240</v>
      </c>
      <c r="V57" s="18">
        <v>1088392419</v>
      </c>
    </row>
    <row r="58" spans="1:22" ht="15" customHeight="1">
      <c r="A58" s="63">
        <v>51</v>
      </c>
      <c r="B58" s="10" t="s">
        <v>295</v>
      </c>
      <c r="C58" s="10" t="s">
        <v>296</v>
      </c>
      <c r="D58" s="10">
        <v>1260583823.29</v>
      </c>
      <c r="E58" s="10">
        <v>17077695.890000001</v>
      </c>
      <c r="F58" s="10">
        <v>0</v>
      </c>
      <c r="G58" s="10">
        <v>0</v>
      </c>
      <c r="H58" s="12">
        <f t="shared" si="21"/>
        <v>17077695.890000001</v>
      </c>
      <c r="I58" s="44">
        <v>1177379513.9200001</v>
      </c>
      <c r="J58" s="13">
        <f t="shared" si="14"/>
        <v>2.9311678268582425E-4</v>
      </c>
      <c r="K58" s="44">
        <v>1577607500.4400001</v>
      </c>
      <c r="L58" s="13">
        <f t="shared" si="22"/>
        <v>3.6196856631780466E-4</v>
      </c>
      <c r="M58" s="13">
        <f t="shared" si="23"/>
        <v>0.33993116220229602</v>
      </c>
      <c r="N58" s="20">
        <f t="shared" si="24"/>
        <v>0</v>
      </c>
      <c r="O58" s="21">
        <f t="shared" si="25"/>
        <v>1.0825060026170624E-2</v>
      </c>
      <c r="P58" s="24">
        <f t="shared" si="26"/>
        <v>1</v>
      </c>
      <c r="Q58" s="24">
        <f t="shared" si="27"/>
        <v>1.0825060026170624E-2</v>
      </c>
      <c r="R58" s="10">
        <v>1</v>
      </c>
      <c r="S58" s="10">
        <v>1</v>
      </c>
      <c r="T58" s="10">
        <v>1449</v>
      </c>
      <c r="U58" s="18">
        <v>1177379530.6099999</v>
      </c>
      <c r="V58" s="18">
        <v>1577607500.4400001</v>
      </c>
    </row>
    <row r="59" spans="1:22" ht="15" customHeight="1">
      <c r="A59" s="63">
        <v>52</v>
      </c>
      <c r="B59" s="78" t="s">
        <v>210</v>
      </c>
      <c r="C59" s="79" t="s">
        <v>211</v>
      </c>
      <c r="D59" s="10">
        <v>14106976385.280001</v>
      </c>
      <c r="E59" s="10">
        <v>719257531.89999998</v>
      </c>
      <c r="F59" s="10">
        <v>0</v>
      </c>
      <c r="G59" s="10">
        <v>39408854.600000001</v>
      </c>
      <c r="H59" s="12">
        <f t="shared" si="21"/>
        <v>679848677.29999995</v>
      </c>
      <c r="I59" s="44">
        <v>13607459481.08</v>
      </c>
      <c r="J59" s="13">
        <f t="shared" si="14"/>
        <v>3.3876712618705362E-3</v>
      </c>
      <c r="K59" s="44">
        <v>14627287175.51</v>
      </c>
      <c r="L59" s="13">
        <f t="shared" si="22"/>
        <v>3.356106107863634E-3</v>
      </c>
      <c r="M59" s="13">
        <f t="shared" si="23"/>
        <v>7.4946223124748815E-2</v>
      </c>
      <c r="N59" s="20">
        <f t="shared" si="24"/>
        <v>2.6942011958294623E-3</v>
      </c>
      <c r="O59" s="21">
        <f t="shared" si="25"/>
        <v>4.6478111022408099E-2</v>
      </c>
      <c r="P59" s="24">
        <f t="shared" si="26"/>
        <v>100.02737224679306</v>
      </c>
      <c r="Q59" s="24">
        <f t="shared" si="27"/>
        <v>4.6490833125661908</v>
      </c>
      <c r="R59" s="10">
        <v>100</v>
      </c>
      <c r="S59" s="10">
        <v>100</v>
      </c>
      <c r="T59" s="10">
        <v>148</v>
      </c>
      <c r="U59" s="18">
        <v>129670171.95</v>
      </c>
      <c r="V59" s="18">
        <v>146232844.53999999</v>
      </c>
    </row>
    <row r="60" spans="1:22" ht="15" customHeight="1">
      <c r="A60" s="63">
        <v>53</v>
      </c>
      <c r="B60" s="78" t="s">
        <v>212</v>
      </c>
      <c r="C60" s="79" t="s">
        <v>110</v>
      </c>
      <c r="D60" s="10">
        <v>34148418.799999997</v>
      </c>
      <c r="E60" s="10">
        <v>1284317.5900000001</v>
      </c>
      <c r="F60" s="10">
        <v>0</v>
      </c>
      <c r="G60" s="10">
        <v>79754.55</v>
      </c>
      <c r="H60" s="12">
        <f t="shared" si="21"/>
        <v>1204563.04</v>
      </c>
      <c r="I60" s="44">
        <v>68568386.780000001</v>
      </c>
      <c r="J60" s="13">
        <f t="shared" si="14"/>
        <v>1.7070574686656601E-5</v>
      </c>
      <c r="K60" s="44">
        <v>69951036.489999995</v>
      </c>
      <c r="L60" s="13">
        <f t="shared" si="22"/>
        <v>1.6049667856971953E-5</v>
      </c>
      <c r="M60" s="13">
        <f t="shared" si="23"/>
        <v>2.0164536092065158E-2</v>
      </c>
      <c r="N60" s="20">
        <f t="shared" si="24"/>
        <v>1.1401482236993229E-3</v>
      </c>
      <c r="O60" s="21">
        <f t="shared" si="25"/>
        <v>1.7220088513945051E-2</v>
      </c>
      <c r="P60" s="24">
        <f t="shared" si="26"/>
        <v>1354.0133268166155</v>
      </c>
      <c r="Q60" s="24">
        <f t="shared" si="27"/>
        <v>23.316229336843328</v>
      </c>
      <c r="R60" s="10">
        <v>1000</v>
      </c>
      <c r="S60" s="10">
        <v>1000</v>
      </c>
      <c r="T60" s="10">
        <v>23</v>
      </c>
      <c r="U60" s="18">
        <v>51662</v>
      </c>
      <c r="V60" s="18">
        <v>51662</v>
      </c>
    </row>
    <row r="61" spans="1:22">
      <c r="A61" s="63">
        <v>54</v>
      </c>
      <c r="B61" s="19" t="s">
        <v>85</v>
      </c>
      <c r="C61" s="19" t="s">
        <v>46</v>
      </c>
      <c r="D61" s="10">
        <v>2125692206937.0901</v>
      </c>
      <c r="E61" s="10">
        <v>34423086515.220001</v>
      </c>
      <c r="F61" s="10">
        <v>0</v>
      </c>
      <c r="G61" s="10">
        <v>3402297482.25</v>
      </c>
      <c r="H61" s="12">
        <f t="shared" si="21"/>
        <v>31020789032.970001</v>
      </c>
      <c r="I61" s="44">
        <v>1952616825094.8701</v>
      </c>
      <c r="J61" s="13">
        <f t="shared" si="14"/>
        <v>0.48611747938813427</v>
      </c>
      <c r="K61" s="44">
        <v>2128369889592.8101</v>
      </c>
      <c r="L61" s="13">
        <f t="shared" si="22"/>
        <v>0.48833629233825626</v>
      </c>
      <c r="M61" s="13">
        <f t="shared" si="23"/>
        <v>9.0008988061137274E-2</v>
      </c>
      <c r="N61" s="20">
        <f t="shared" si="24"/>
        <v>1.5985461450504319E-3</v>
      </c>
      <c r="O61" s="21">
        <f t="shared" si="25"/>
        <v>1.4574905041014632E-2</v>
      </c>
      <c r="P61" s="24">
        <f t="shared" si="26"/>
        <v>1</v>
      </c>
      <c r="Q61" s="24">
        <f t="shared" si="27"/>
        <v>1.4574905041014632E-2</v>
      </c>
      <c r="R61" s="10">
        <v>100</v>
      </c>
      <c r="S61" s="10">
        <v>100</v>
      </c>
      <c r="T61" s="10">
        <v>242970</v>
      </c>
      <c r="U61" s="18">
        <v>1952616825094.8601</v>
      </c>
      <c r="V61" s="18">
        <v>2128369889592.8101</v>
      </c>
    </row>
    <row r="62" spans="1:22">
      <c r="A62" s="63">
        <v>55</v>
      </c>
      <c r="B62" s="19" t="s">
        <v>297</v>
      </c>
      <c r="C62" s="19" t="s">
        <v>298</v>
      </c>
      <c r="D62" s="10">
        <v>3188709982.1399999</v>
      </c>
      <c r="E62" s="10">
        <v>360330953.02999997</v>
      </c>
      <c r="F62" s="10">
        <v>0</v>
      </c>
      <c r="G62" s="10">
        <v>30868469.800000001</v>
      </c>
      <c r="H62" s="12">
        <f t="shared" si="21"/>
        <v>329462483.22999996</v>
      </c>
      <c r="I62" s="44">
        <v>5788177976.4849997</v>
      </c>
      <c r="J62" s="13">
        <f t="shared" si="14"/>
        <v>1.4410069871451051E-3</v>
      </c>
      <c r="K62" s="44">
        <v>6683464366.783</v>
      </c>
      <c r="L62" s="13">
        <f t="shared" si="22"/>
        <v>1.5334638141653438E-3</v>
      </c>
      <c r="M62" s="13">
        <f t="shared" si="23"/>
        <v>0.15467499339778129</v>
      </c>
      <c r="N62" s="20">
        <f t="shared" si="24"/>
        <v>4.618633107915879E-3</v>
      </c>
      <c r="O62" s="21">
        <f t="shared" si="25"/>
        <v>4.9295165672976052E-2</v>
      </c>
      <c r="P62" s="24">
        <f t="shared" si="26"/>
        <v>115.46749933987788</v>
      </c>
      <c r="Q62" s="24">
        <f t="shared" si="27"/>
        <v>5.6919895098035322</v>
      </c>
      <c r="R62" s="10">
        <v>100</v>
      </c>
      <c r="S62" s="10">
        <v>100</v>
      </c>
      <c r="T62" s="10">
        <v>759</v>
      </c>
      <c r="U62" s="18">
        <v>57881779.764799997</v>
      </c>
      <c r="V62" s="18">
        <v>57881779.764799997</v>
      </c>
    </row>
    <row r="63" spans="1:22">
      <c r="A63" s="63">
        <v>56</v>
      </c>
      <c r="B63" s="19" t="s">
        <v>86</v>
      </c>
      <c r="C63" s="19" t="s">
        <v>87</v>
      </c>
      <c r="D63" s="10">
        <v>7427532872.1899996</v>
      </c>
      <c r="E63" s="10">
        <v>133091227.66</v>
      </c>
      <c r="F63" s="10">
        <v>0</v>
      </c>
      <c r="G63" s="10">
        <v>10600421.57</v>
      </c>
      <c r="H63" s="12">
        <f t="shared" si="21"/>
        <v>122490806.09</v>
      </c>
      <c r="I63" s="44">
        <v>6790257324.3000002</v>
      </c>
      <c r="J63" s="13">
        <f t="shared" si="14"/>
        <v>1.6904815796233636E-3</v>
      </c>
      <c r="K63" s="44">
        <v>7419674329.8100004</v>
      </c>
      <c r="L63" s="13">
        <f t="shared" si="22"/>
        <v>1.7023809020667664E-3</v>
      </c>
      <c r="M63" s="13">
        <f t="shared" si="23"/>
        <v>9.2694131525403733E-2</v>
      </c>
      <c r="N63" s="20">
        <f t="shared" si="24"/>
        <v>1.4286909504114922E-3</v>
      </c>
      <c r="O63" s="21">
        <f t="shared" si="25"/>
        <v>1.6508919481528873E-2</v>
      </c>
      <c r="P63" s="24">
        <f t="shared" si="26"/>
        <v>1.0160882072757371</v>
      </c>
      <c r="Q63" s="24">
        <f t="shared" si="27"/>
        <v>1.6774518400046165E-2</v>
      </c>
      <c r="R63" s="10">
        <v>1</v>
      </c>
      <c r="S63" s="10">
        <v>1</v>
      </c>
      <c r="T63" s="10">
        <v>586</v>
      </c>
      <c r="U63" s="18">
        <v>6517388856.7799997</v>
      </c>
      <c r="V63" s="18">
        <v>7302195101.4499998</v>
      </c>
    </row>
    <row r="64" spans="1:22">
      <c r="A64" s="63">
        <v>57</v>
      </c>
      <c r="B64" s="19" t="s">
        <v>88</v>
      </c>
      <c r="C64" s="19" t="s">
        <v>50</v>
      </c>
      <c r="D64" s="10">
        <v>66254581087.419991</v>
      </c>
      <c r="E64" s="10">
        <v>2974551878</v>
      </c>
      <c r="F64" s="10">
        <v>0</v>
      </c>
      <c r="G64" s="10">
        <v>283210274</v>
      </c>
      <c r="H64" s="12">
        <f t="shared" si="21"/>
        <v>2691341604</v>
      </c>
      <c r="I64" s="44">
        <v>178297038992</v>
      </c>
      <c r="J64" s="13">
        <f t="shared" si="14"/>
        <v>4.438828246445526E-2</v>
      </c>
      <c r="K64" s="44">
        <v>188494685437.43997</v>
      </c>
      <c r="L64" s="13">
        <f t="shared" si="22"/>
        <v>4.3248495603175299E-2</v>
      </c>
      <c r="M64" s="13">
        <f t="shared" si="23"/>
        <v>5.7194704427466853E-2</v>
      </c>
      <c r="N64" s="20">
        <f t="shared" si="24"/>
        <v>1.5024841328696E-3</v>
      </c>
      <c r="O64" s="21">
        <f t="shared" si="25"/>
        <v>1.4278076847388023E-2</v>
      </c>
      <c r="P64" s="24">
        <f t="shared" si="26"/>
        <v>1.0075565387053238</v>
      </c>
      <c r="Q64" s="24">
        <f t="shared" si="27"/>
        <v>1.43859696877229E-2</v>
      </c>
      <c r="R64" s="10">
        <v>1</v>
      </c>
      <c r="S64" s="10">
        <v>1</v>
      </c>
      <c r="T64" s="10">
        <v>17186</v>
      </c>
      <c r="U64" s="18">
        <v>171863361649.53003</v>
      </c>
      <c r="V64" s="18">
        <v>187081000615.26004</v>
      </c>
    </row>
    <row r="65" spans="1:23">
      <c r="A65" s="63">
        <v>58</v>
      </c>
      <c r="B65" s="93" t="s">
        <v>89</v>
      </c>
      <c r="C65" s="19" t="s">
        <v>90</v>
      </c>
      <c r="D65" s="10">
        <v>1364136172.6099999</v>
      </c>
      <c r="E65" s="10">
        <v>36894245.140000001</v>
      </c>
      <c r="F65" s="10">
        <v>0</v>
      </c>
      <c r="G65" s="10">
        <v>3498622.3</v>
      </c>
      <c r="H65" s="12">
        <f t="shared" si="21"/>
        <v>33395622.84</v>
      </c>
      <c r="I65" s="44">
        <v>2257408216.77</v>
      </c>
      <c r="J65" s="13">
        <f t="shared" si="14"/>
        <v>5.6199740685578621E-4</v>
      </c>
      <c r="K65" s="44">
        <v>2254944700.3800001</v>
      </c>
      <c r="L65" s="13">
        <f t="shared" si="22"/>
        <v>5.1737780157284615E-4</v>
      </c>
      <c r="M65" s="13">
        <f t="shared" si="23"/>
        <v>-1.0913030136502184E-3</v>
      </c>
      <c r="N65" s="20">
        <f t="shared" si="24"/>
        <v>1.5515335251504911E-3</v>
      </c>
      <c r="O65" s="21">
        <f t="shared" si="25"/>
        <v>1.4809952028700401E-2</v>
      </c>
      <c r="P65" s="24">
        <f t="shared" si="26"/>
        <v>1.0145778488756292</v>
      </c>
      <c r="Q65" s="24">
        <f t="shared" si="27"/>
        <v>1.5025849271230112E-2</v>
      </c>
      <c r="R65" s="10">
        <v>1</v>
      </c>
      <c r="S65" s="10">
        <v>1</v>
      </c>
      <c r="T65" s="10">
        <v>153</v>
      </c>
      <c r="U65" s="18">
        <v>2229657484.0900002</v>
      </c>
      <c r="V65" s="18">
        <v>2222544778.48</v>
      </c>
    </row>
    <row r="66" spans="1:23">
      <c r="A66" s="63">
        <v>59</v>
      </c>
      <c r="B66" s="19" t="s">
        <v>91</v>
      </c>
      <c r="C66" s="19" t="s">
        <v>92</v>
      </c>
      <c r="D66" s="10">
        <v>7404959615.3900003</v>
      </c>
      <c r="E66" s="10">
        <v>108677916.40000001</v>
      </c>
      <c r="F66" s="10">
        <v>0</v>
      </c>
      <c r="G66" s="10">
        <v>11447903.76</v>
      </c>
      <c r="H66" s="12">
        <f t="shared" si="21"/>
        <v>97230012.640000001</v>
      </c>
      <c r="I66" s="44">
        <v>7311165181.4499998</v>
      </c>
      <c r="J66" s="13">
        <f t="shared" si="14"/>
        <v>1.8201651976567834E-3</v>
      </c>
      <c r="K66" s="44">
        <v>7394688751.5200005</v>
      </c>
      <c r="L66" s="13">
        <f t="shared" si="22"/>
        <v>1.6966481745348994E-3</v>
      </c>
      <c r="M66" s="13">
        <f t="shared" si="23"/>
        <v>1.1424112025524732E-2</v>
      </c>
      <c r="N66" s="20">
        <f t="shared" si="24"/>
        <v>1.5481251672217913E-3</v>
      </c>
      <c r="O66" s="21">
        <f t="shared" si="25"/>
        <v>1.3148628144763237E-2</v>
      </c>
      <c r="P66" s="24">
        <f t="shared" si="26"/>
        <v>1.013295655500825</v>
      </c>
      <c r="Q66" s="24">
        <f t="shared" si="27"/>
        <v>1.3323447774884461E-2</v>
      </c>
      <c r="R66" s="10">
        <v>1</v>
      </c>
      <c r="S66" s="10">
        <v>1</v>
      </c>
      <c r="T66" s="10">
        <v>528</v>
      </c>
      <c r="U66" s="18">
        <v>7034338525.8699999</v>
      </c>
      <c r="V66" s="18">
        <v>7297661557.4899998</v>
      </c>
    </row>
    <row r="67" spans="1:23">
      <c r="A67" s="63">
        <v>60</v>
      </c>
      <c r="B67" s="78" t="s">
        <v>293</v>
      </c>
      <c r="C67" s="78" t="s">
        <v>291</v>
      </c>
      <c r="D67" s="10">
        <v>3674227100.0999999</v>
      </c>
      <c r="E67" s="10">
        <v>163785877.65000001</v>
      </c>
      <c r="F67" s="10"/>
      <c r="G67" s="10">
        <v>16665253.060000001</v>
      </c>
      <c r="H67" s="12">
        <f t="shared" si="21"/>
        <v>147120624.59</v>
      </c>
      <c r="I67" s="44">
        <v>8598462609.5900002</v>
      </c>
      <c r="J67" s="13">
        <f t="shared" si="14"/>
        <v>2.1406468062078318E-3</v>
      </c>
      <c r="K67" s="44">
        <v>8960557973.7900009</v>
      </c>
      <c r="L67" s="13">
        <f t="shared" si="22"/>
        <v>2.0559234931855565E-3</v>
      </c>
      <c r="M67" s="13">
        <f t="shared" si="23"/>
        <v>4.2111640259521528E-2</v>
      </c>
      <c r="N67" s="20">
        <f t="shared" si="24"/>
        <v>1.859845459261192E-3</v>
      </c>
      <c r="O67" s="21">
        <f t="shared" si="25"/>
        <v>1.6418690110630817E-2</v>
      </c>
      <c r="P67" s="24">
        <f t="shared" si="26"/>
        <v>1.0015306694979826</v>
      </c>
      <c r="Q67" s="24">
        <f t="shared" si="27"/>
        <v>1.644382169877999E-2</v>
      </c>
      <c r="R67" s="10">
        <v>1</v>
      </c>
      <c r="S67" s="10">
        <v>1</v>
      </c>
      <c r="T67" s="10">
        <v>4845</v>
      </c>
      <c r="U67" s="18">
        <v>8589029292.8599997</v>
      </c>
      <c r="V67" s="18">
        <v>8946863283.0599995</v>
      </c>
    </row>
    <row r="68" spans="1:23">
      <c r="A68" s="63">
        <v>61</v>
      </c>
      <c r="B68" s="19" t="s">
        <v>93</v>
      </c>
      <c r="C68" s="19" t="s">
        <v>94</v>
      </c>
      <c r="D68" s="10">
        <v>128318509295.91</v>
      </c>
      <c r="E68" s="10">
        <v>2075712744.5899999</v>
      </c>
      <c r="F68" s="10">
        <v>0</v>
      </c>
      <c r="G68" s="10">
        <v>152112386.84</v>
      </c>
      <c r="H68" s="12">
        <f t="shared" si="21"/>
        <v>1923600357.75</v>
      </c>
      <c r="I68" s="44">
        <v>123025012924.07001</v>
      </c>
      <c r="J68" s="13">
        <f t="shared" si="14"/>
        <v>3.0627928846938966E-2</v>
      </c>
      <c r="K68" s="44">
        <v>134687488592.10001</v>
      </c>
      <c r="L68" s="13">
        <f t="shared" si="22"/>
        <v>3.0902893864938417E-2</v>
      </c>
      <c r="M68" s="13">
        <f t="shared" si="23"/>
        <v>9.4797597584712137E-2</v>
      </c>
      <c r="N68" s="20">
        <f t="shared" si="24"/>
        <v>1.1293728053737135E-3</v>
      </c>
      <c r="O68" s="21">
        <f t="shared" si="25"/>
        <v>1.4281952821732452E-2</v>
      </c>
      <c r="P68" s="24">
        <f t="shared" si="26"/>
        <v>1.0132471582098757</v>
      </c>
      <c r="Q68" s="24">
        <f t="shared" si="27"/>
        <v>1.447114811030792E-2</v>
      </c>
      <c r="R68" s="10">
        <v>1</v>
      </c>
      <c r="S68" s="10">
        <v>1</v>
      </c>
      <c r="T68" s="10">
        <v>6627</v>
      </c>
      <c r="U68" s="18">
        <v>117503624509.89999</v>
      </c>
      <c r="V68" s="18">
        <v>132926589036.83</v>
      </c>
    </row>
    <row r="69" spans="1:23" ht="15" customHeight="1">
      <c r="A69" s="129" t="s">
        <v>51</v>
      </c>
      <c r="B69" s="129"/>
      <c r="C69" s="129"/>
      <c r="D69" s="129"/>
      <c r="E69" s="129"/>
      <c r="F69" s="129"/>
      <c r="G69" s="129"/>
      <c r="H69" s="129"/>
      <c r="I69" s="26">
        <f>SUM(I27:I68)</f>
        <v>4016759133106.2349</v>
      </c>
      <c r="J69" s="34">
        <f>(I69/$I$237)</f>
        <v>0.58700743622155238</v>
      </c>
      <c r="K69" s="36">
        <f>SUM(K27:K68)</f>
        <v>4358410224646.0732</v>
      </c>
      <c r="L69" s="34">
        <f>(K69/$K$237)</f>
        <v>0.60268102415536418</v>
      </c>
      <c r="M69" s="34">
        <f t="shared" si="16"/>
        <v>8.5056404981802627E-2</v>
      </c>
      <c r="N69" s="20"/>
      <c r="O69" s="20"/>
      <c r="P69" s="37"/>
      <c r="Q69" s="37"/>
      <c r="R69" s="36"/>
      <c r="S69" s="36"/>
      <c r="T69" s="36">
        <f>SUM(T27:T68)</f>
        <v>515168</v>
      </c>
      <c r="U69" s="36"/>
      <c r="V69" s="36"/>
    </row>
    <row r="70" spans="1:23" ht="6" customHeigh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5"/>
    </row>
    <row r="71" spans="1:23" ht="12.75" customHeight="1">
      <c r="A71" s="136" t="s">
        <v>95</v>
      </c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8"/>
    </row>
    <row r="72" spans="1:23">
      <c r="A72" s="63">
        <v>62</v>
      </c>
      <c r="B72" s="19" t="s">
        <v>96</v>
      </c>
      <c r="C72" s="19" t="s">
        <v>24</v>
      </c>
      <c r="D72" s="10">
        <v>670759603.28999996</v>
      </c>
      <c r="E72" s="10">
        <v>9054857.6099999994</v>
      </c>
      <c r="F72" s="10">
        <v>0</v>
      </c>
      <c r="G72" s="10">
        <v>961156.09</v>
      </c>
      <c r="H72" s="12">
        <f t="shared" ref="H72:H110" si="30">(E72+F72)-G72</f>
        <v>8093701.5199999996</v>
      </c>
      <c r="I72" s="10">
        <v>849735007.03999996</v>
      </c>
      <c r="J72" s="13">
        <f t="shared" ref="J72:J110" si="31">(I72/$I$111)</f>
        <v>3.692332001864417E-3</v>
      </c>
      <c r="K72" s="10">
        <v>675523579.67999995</v>
      </c>
      <c r="L72" s="13">
        <f t="shared" ref="L72" si="32">(K72/$K$111)</f>
        <v>2.799290675729536E-3</v>
      </c>
      <c r="M72" s="13">
        <f t="shared" ref="M72:M111" si="33">((K72-I72)/I72)</f>
        <v>-0.20501853626915395</v>
      </c>
      <c r="N72" s="20">
        <f t="shared" ref="N72" si="34">(G72/K72)</f>
        <v>1.4228312954749944E-3</v>
      </c>
      <c r="O72" s="21">
        <f t="shared" ref="O72" si="35">H72/K72</f>
        <v>1.1981375282020562E-2</v>
      </c>
      <c r="P72" s="24">
        <f t="shared" ref="P72" si="36">K72/V72</f>
        <v>1.747924970245867</v>
      </c>
      <c r="Q72" s="24">
        <f t="shared" ref="Q72" si="37">H72/V72</f>
        <v>2.0942545033330359E-2</v>
      </c>
      <c r="R72" s="10">
        <v>1.69</v>
      </c>
      <c r="S72" s="10">
        <v>1.69</v>
      </c>
      <c r="T72" s="17">
        <v>397</v>
      </c>
      <c r="U72" s="10">
        <v>499273009.26999998</v>
      </c>
      <c r="V72" s="10">
        <v>386471725.72000003</v>
      </c>
    </row>
    <row r="73" spans="1:23" ht="13.05" customHeight="1">
      <c r="A73" s="63">
        <v>63</v>
      </c>
      <c r="B73" s="19" t="s">
        <v>97</v>
      </c>
      <c r="C73" s="86" t="s">
        <v>26</v>
      </c>
      <c r="D73" s="10">
        <v>1089266488.02</v>
      </c>
      <c r="E73" s="10">
        <v>17205438.210000001</v>
      </c>
      <c r="F73" s="10">
        <v>4690593.87</v>
      </c>
      <c r="G73" s="10">
        <v>2447024.33</v>
      </c>
      <c r="H73" s="12">
        <f t="shared" si="30"/>
        <v>19449007.75</v>
      </c>
      <c r="I73" s="10">
        <v>1375438061</v>
      </c>
      <c r="J73" s="13">
        <f t="shared" si="31"/>
        <v>5.9766561659069977E-3</v>
      </c>
      <c r="K73" s="10">
        <v>1357171806</v>
      </c>
      <c r="L73" s="13">
        <f t="shared" ref="L73:L110" si="38">(K73/$K$111)</f>
        <v>5.6239611705315795E-3</v>
      </c>
      <c r="M73" s="13">
        <f t="shared" ref="M73:M110" si="39">((K73-I73)/I73)</f>
        <v>-1.328031811677487E-2</v>
      </c>
      <c r="N73" s="20">
        <f t="shared" ref="N73:N110" si="40">(G73/K73)</f>
        <v>1.803032098944148E-3</v>
      </c>
      <c r="O73" s="21">
        <f t="shared" ref="O73:O110" si="41">H73/K73</f>
        <v>1.4330542134766392E-2</v>
      </c>
      <c r="P73" s="24">
        <f t="shared" ref="P73:P110" si="42">K73/V73</f>
        <v>1.3571806575322485</v>
      </c>
      <c r="Q73" s="24">
        <f t="shared" ref="Q73:Q110" si="43">H73/V73</f>
        <v>1.9449134597255842E-2</v>
      </c>
      <c r="R73" s="10">
        <v>1.3572</v>
      </c>
      <c r="S73" s="10">
        <v>1.3572</v>
      </c>
      <c r="T73" s="17">
        <v>1313</v>
      </c>
      <c r="U73" s="10">
        <v>1027979023</v>
      </c>
      <c r="V73" s="10">
        <v>999993478</v>
      </c>
    </row>
    <row r="74" spans="1:23" ht="15" customHeight="1">
      <c r="A74" s="63">
        <v>64</v>
      </c>
      <c r="B74" s="19" t="s">
        <v>98</v>
      </c>
      <c r="C74" s="19" t="s">
        <v>99</v>
      </c>
      <c r="D74" s="10">
        <v>654914074.38999999</v>
      </c>
      <c r="E74" s="10">
        <v>9986611.8399999999</v>
      </c>
      <c r="F74" s="10">
        <v>0</v>
      </c>
      <c r="G74" s="10">
        <v>1482316.14</v>
      </c>
      <c r="H74" s="12">
        <f t="shared" si="30"/>
        <v>8504295.6999999993</v>
      </c>
      <c r="I74" s="10">
        <v>802124751</v>
      </c>
      <c r="J74" s="13">
        <f t="shared" si="31"/>
        <v>3.4854523622861746E-3</v>
      </c>
      <c r="K74" s="10">
        <v>813921156</v>
      </c>
      <c r="L74" s="13">
        <f t="shared" si="38"/>
        <v>3.3727940390313239E-3</v>
      </c>
      <c r="M74" s="13">
        <f t="shared" si="39"/>
        <v>1.4706446827994714E-2</v>
      </c>
      <c r="N74" s="20">
        <f t="shared" si="40"/>
        <v>1.8212036007084695E-3</v>
      </c>
      <c r="O74" s="21">
        <f t="shared" si="41"/>
        <v>1.0448549761004122E-2</v>
      </c>
      <c r="P74" s="24">
        <f t="shared" si="42"/>
        <v>1.1880297722068394</v>
      </c>
      <c r="Q74" s="24">
        <f t="shared" si="43"/>
        <v>1.2413188192457554E-2</v>
      </c>
      <c r="R74" s="10">
        <v>1.1879999999999999</v>
      </c>
      <c r="S74" s="10">
        <v>1.1879999999999999</v>
      </c>
      <c r="T74" s="17">
        <v>512</v>
      </c>
      <c r="U74" s="10">
        <v>682304833</v>
      </c>
      <c r="V74" s="10">
        <v>685101649</v>
      </c>
    </row>
    <row r="75" spans="1:23">
      <c r="A75" s="63">
        <v>65</v>
      </c>
      <c r="B75" s="19" t="s">
        <v>100</v>
      </c>
      <c r="C75" s="86" t="s">
        <v>101</v>
      </c>
      <c r="D75" s="10">
        <v>268716066.63999999</v>
      </c>
      <c r="E75" s="10">
        <v>4402180.25</v>
      </c>
      <c r="F75" s="10">
        <v>0</v>
      </c>
      <c r="G75" s="10">
        <v>522803.3</v>
      </c>
      <c r="H75" s="12">
        <f t="shared" si="30"/>
        <v>3879376.95</v>
      </c>
      <c r="I75" s="10">
        <v>308451598.70999998</v>
      </c>
      <c r="J75" s="13">
        <f t="shared" si="31"/>
        <v>1.3403069186362965E-3</v>
      </c>
      <c r="K75" s="10">
        <v>322660921.37</v>
      </c>
      <c r="L75" s="13">
        <f t="shared" si="38"/>
        <v>1.3370691057760029E-3</v>
      </c>
      <c r="M75" s="13">
        <f t="shared" si="39"/>
        <v>4.60666202393697E-2</v>
      </c>
      <c r="N75" s="20">
        <f t="shared" si="40"/>
        <v>1.6202870114552664E-3</v>
      </c>
      <c r="O75" s="21">
        <f t="shared" si="41"/>
        <v>1.2023076527298024E-2</v>
      </c>
      <c r="P75" s="24">
        <f t="shared" si="42"/>
        <v>1253.3149529221662</v>
      </c>
      <c r="Q75" s="24">
        <f t="shared" si="43"/>
        <v>15.068701591790123</v>
      </c>
      <c r="R75" s="10">
        <v>1253.31</v>
      </c>
      <c r="S75" s="10">
        <v>1253.31</v>
      </c>
      <c r="T75" s="17">
        <v>99</v>
      </c>
      <c r="U75" s="10">
        <v>254086</v>
      </c>
      <c r="V75" s="10">
        <v>257446</v>
      </c>
    </row>
    <row r="76" spans="1:23">
      <c r="A76" s="63">
        <v>66</v>
      </c>
      <c r="B76" s="19" t="s">
        <v>102</v>
      </c>
      <c r="C76" s="86" t="s">
        <v>103</v>
      </c>
      <c r="D76" s="10">
        <v>1976136475.9400001</v>
      </c>
      <c r="E76" s="10">
        <v>27515338.129999999</v>
      </c>
      <c r="F76" s="10">
        <v>0</v>
      </c>
      <c r="G76" s="10">
        <v>4042633.14</v>
      </c>
      <c r="H76" s="12">
        <f t="shared" si="30"/>
        <v>23472704.989999998</v>
      </c>
      <c r="I76" s="10">
        <v>1622628537.3399999</v>
      </c>
      <c r="J76" s="13">
        <f t="shared" si="31"/>
        <v>7.050766681284795E-3</v>
      </c>
      <c r="K76" s="10">
        <v>1964153761.3800001</v>
      </c>
      <c r="L76" s="13">
        <f t="shared" si="38"/>
        <v>8.1392233747557448E-3</v>
      </c>
      <c r="M76" s="13">
        <f t="shared" si="39"/>
        <v>0.21047653001337435</v>
      </c>
      <c r="N76" s="20">
        <f t="shared" si="40"/>
        <v>2.0582060424636389E-3</v>
      </c>
      <c r="O76" s="21">
        <f t="shared" si="41"/>
        <v>1.1950543512188296E-2</v>
      </c>
      <c r="P76" s="24">
        <f t="shared" si="42"/>
        <v>1.0621830305898143</v>
      </c>
      <c r="Q76" s="24">
        <f t="shared" si="43"/>
        <v>1.2693664524971608E-2</v>
      </c>
      <c r="R76" s="10">
        <v>1.0629</v>
      </c>
      <c r="S76" s="10">
        <v>1.0629</v>
      </c>
      <c r="T76" s="17">
        <v>969</v>
      </c>
      <c r="U76" s="10">
        <v>1548747250.78</v>
      </c>
      <c r="V76" s="10">
        <v>1849166955.99</v>
      </c>
    </row>
    <row r="77" spans="1:23">
      <c r="A77" s="63">
        <v>67</v>
      </c>
      <c r="B77" s="19" t="s">
        <v>104</v>
      </c>
      <c r="C77" s="19" t="s">
        <v>105</v>
      </c>
      <c r="D77" s="10">
        <v>476326138.38</v>
      </c>
      <c r="E77" s="10">
        <v>6866410.8099999996</v>
      </c>
      <c r="F77" s="10">
        <v>0</v>
      </c>
      <c r="G77" s="10">
        <v>926944.42</v>
      </c>
      <c r="H77" s="12">
        <f t="shared" si="30"/>
        <v>5939466.3899999997</v>
      </c>
      <c r="I77" s="10">
        <v>476896682.55000001</v>
      </c>
      <c r="J77" s="13">
        <f t="shared" si="31"/>
        <v>2.072247074645297E-3</v>
      </c>
      <c r="K77" s="10">
        <v>482960966.38</v>
      </c>
      <c r="L77" s="13">
        <f t="shared" si="38"/>
        <v>2.0013337366688029E-3</v>
      </c>
      <c r="M77" s="13">
        <f t="shared" si="39"/>
        <v>1.2716137586811954E-2</v>
      </c>
      <c r="N77" s="20">
        <f t="shared" si="40"/>
        <v>1.9192946936226478E-3</v>
      </c>
      <c r="O77" s="21">
        <f t="shared" si="41"/>
        <v>1.2298025727666674E-2</v>
      </c>
      <c r="P77" s="24">
        <f t="shared" si="42"/>
        <v>2.7733946383878427</v>
      </c>
      <c r="Q77" s="24">
        <f t="shared" si="43"/>
        <v>3.4107278615866501E-2</v>
      </c>
      <c r="R77" s="10">
        <v>2.7654000000000001</v>
      </c>
      <c r="S77" s="10">
        <v>2.7654000000000001</v>
      </c>
      <c r="T77" s="17">
        <v>1390</v>
      </c>
      <c r="U77" s="10">
        <v>174095492.65000001</v>
      </c>
      <c r="V77" s="10">
        <v>174140729.81</v>
      </c>
    </row>
    <row r="78" spans="1:23">
      <c r="A78" s="63">
        <v>68</v>
      </c>
      <c r="B78" s="19" t="s">
        <v>308</v>
      </c>
      <c r="C78" s="19" t="s">
        <v>309</v>
      </c>
      <c r="D78" s="10">
        <v>650227836.89999998</v>
      </c>
      <c r="E78" s="10">
        <v>15355801.539999999</v>
      </c>
      <c r="F78" s="10">
        <v>0</v>
      </c>
      <c r="G78" s="10">
        <v>3977854.23</v>
      </c>
      <c r="H78" s="12">
        <f t="shared" ref="H78" si="44">(E78+F78)-G78</f>
        <v>11377947.309999999</v>
      </c>
      <c r="I78" s="10">
        <v>882441588.83000004</v>
      </c>
      <c r="J78" s="13">
        <f t="shared" si="31"/>
        <v>3.8344510832418991E-3</v>
      </c>
      <c r="K78" s="10">
        <v>974045589.96000004</v>
      </c>
      <c r="L78" s="13">
        <f t="shared" si="38"/>
        <v>4.0363309582799895E-3</v>
      </c>
      <c r="M78" s="13">
        <f t="shared" si="39"/>
        <v>0.10380743869002672</v>
      </c>
      <c r="N78" s="20">
        <f t="shared" si="40"/>
        <v>4.0838480980786062E-3</v>
      </c>
      <c r="O78" s="21">
        <f t="shared" si="41"/>
        <v>1.1681123991811556E-2</v>
      </c>
      <c r="P78" s="24">
        <f t="shared" si="42"/>
        <v>1083.6611680964613</v>
      </c>
      <c r="Q78" s="24">
        <f t="shared" si="43"/>
        <v>12.658380469646112</v>
      </c>
      <c r="R78" s="10">
        <v>1083.6600000000001</v>
      </c>
      <c r="S78" s="10">
        <v>1083.6600000000001</v>
      </c>
      <c r="T78" s="17">
        <v>244</v>
      </c>
      <c r="U78" s="10">
        <v>826292</v>
      </c>
      <c r="V78" s="10">
        <v>898847</v>
      </c>
    </row>
    <row r="79" spans="1:23">
      <c r="A79" s="63">
        <v>69</v>
      </c>
      <c r="B79" s="78" t="s">
        <v>245</v>
      </c>
      <c r="C79" s="79" t="s">
        <v>214</v>
      </c>
      <c r="D79" s="10">
        <v>233354744.13</v>
      </c>
      <c r="E79" s="10">
        <v>6124348.9400000004</v>
      </c>
      <c r="F79" s="10">
        <v>0</v>
      </c>
      <c r="G79" s="10">
        <v>491128.35</v>
      </c>
      <c r="H79" s="12">
        <f t="shared" si="30"/>
        <v>5633220.5900000008</v>
      </c>
      <c r="I79" s="10">
        <v>226010156.16999999</v>
      </c>
      <c r="J79" s="13">
        <f t="shared" si="31"/>
        <v>9.8207620665154323E-4</v>
      </c>
      <c r="K79" s="10">
        <v>229398744.31</v>
      </c>
      <c r="L79" s="13">
        <f t="shared" si="38"/>
        <v>9.506015560185768E-4</v>
      </c>
      <c r="M79" s="13">
        <f t="shared" si="39"/>
        <v>1.499307906079757E-2</v>
      </c>
      <c r="N79" s="20">
        <f t="shared" si="40"/>
        <v>2.1409373947414E-3</v>
      </c>
      <c r="O79" s="21">
        <f t="shared" si="41"/>
        <v>2.4556457826061587E-2</v>
      </c>
      <c r="P79" s="24">
        <f t="shared" si="42"/>
        <v>12.548239406925211</v>
      </c>
      <c r="Q79" s="24">
        <f t="shared" si="43"/>
        <v>0.30814031178748302</v>
      </c>
      <c r="R79" s="10">
        <v>12.5482</v>
      </c>
      <c r="S79" s="10">
        <v>12.605399999999999</v>
      </c>
      <c r="T79" s="17">
        <v>43</v>
      </c>
      <c r="U79" s="10">
        <v>18533756.640000001</v>
      </c>
      <c r="V79" s="10">
        <v>18281349.030000001</v>
      </c>
    </row>
    <row r="80" spans="1:23">
      <c r="A80" s="63">
        <v>70</v>
      </c>
      <c r="B80" s="86" t="s">
        <v>106</v>
      </c>
      <c r="C80" s="19" t="s">
        <v>60</v>
      </c>
      <c r="D80" s="10">
        <v>2116589535.4300001</v>
      </c>
      <c r="E80" s="10">
        <v>22297988.41</v>
      </c>
      <c r="F80" s="10">
        <v>0</v>
      </c>
      <c r="G80" s="10">
        <v>3896865.17</v>
      </c>
      <c r="H80" s="12">
        <f t="shared" si="30"/>
        <v>18401123.240000002</v>
      </c>
      <c r="I80" s="10">
        <v>2098960652.1300001</v>
      </c>
      <c r="J80" s="13">
        <f t="shared" si="31"/>
        <v>9.120560553943358E-3</v>
      </c>
      <c r="K80" s="10">
        <v>2086572043.46</v>
      </c>
      <c r="L80" s="13">
        <f t="shared" si="38"/>
        <v>8.6465104123565704E-3</v>
      </c>
      <c r="M80" s="13">
        <f t="shared" si="39"/>
        <v>-5.9022586523612367E-3</v>
      </c>
      <c r="N80" s="20">
        <f t="shared" si="40"/>
        <v>1.8675919588849335E-3</v>
      </c>
      <c r="O80" s="21">
        <f t="shared" si="41"/>
        <v>8.8188295715334371E-3</v>
      </c>
      <c r="P80" s="24">
        <f t="shared" si="42"/>
        <v>4805.9137610913394</v>
      </c>
      <c r="Q80" s="24">
        <f t="shared" si="43"/>
        <v>42.38253439455179</v>
      </c>
      <c r="R80" s="10">
        <v>4805.91</v>
      </c>
      <c r="S80" s="10">
        <v>4805.91</v>
      </c>
      <c r="T80" s="17">
        <v>1159</v>
      </c>
      <c r="U80" s="10">
        <v>440593.89</v>
      </c>
      <c r="V80" s="10">
        <v>434167.6</v>
      </c>
    </row>
    <row r="81" spans="1:24">
      <c r="A81" s="63">
        <v>71</v>
      </c>
      <c r="B81" s="19" t="s">
        <v>107</v>
      </c>
      <c r="C81" s="19" t="s">
        <v>62</v>
      </c>
      <c r="D81" s="10">
        <v>324651200.06</v>
      </c>
      <c r="E81" s="10">
        <v>4238415.2</v>
      </c>
      <c r="F81" s="10">
        <v>0</v>
      </c>
      <c r="G81" s="10">
        <v>815966.61</v>
      </c>
      <c r="H81" s="12">
        <f t="shared" si="30"/>
        <v>3422448.5900000003</v>
      </c>
      <c r="I81" s="10">
        <v>344515535.37</v>
      </c>
      <c r="J81" s="13">
        <f t="shared" si="31"/>
        <v>1.4970146290868571E-3</v>
      </c>
      <c r="K81" s="10">
        <v>347837057.74000001</v>
      </c>
      <c r="L81" s="13">
        <f t="shared" si="38"/>
        <v>1.4413960692031286E-3</v>
      </c>
      <c r="M81" s="13">
        <f t="shared" si="39"/>
        <v>9.6411395974720943E-3</v>
      </c>
      <c r="N81" s="20">
        <f t="shared" si="40"/>
        <v>2.3458300139196663E-3</v>
      </c>
      <c r="O81" s="21">
        <f t="shared" si="41"/>
        <v>9.8392293570922513E-3</v>
      </c>
      <c r="P81" s="24">
        <f t="shared" si="42"/>
        <v>116.23549975940011</v>
      </c>
      <c r="Q81" s="24">
        <f t="shared" si="43"/>
        <v>1.1436677415689787</v>
      </c>
      <c r="R81" s="10">
        <v>116.45</v>
      </c>
      <c r="S81" s="10">
        <v>116.45</v>
      </c>
      <c r="T81" s="17">
        <v>93</v>
      </c>
      <c r="U81" s="10">
        <v>2993865</v>
      </c>
      <c r="V81" s="10">
        <v>2992520</v>
      </c>
      <c r="W81" s="15"/>
      <c r="X81" s="15"/>
    </row>
    <row r="82" spans="1:24">
      <c r="A82" s="63">
        <v>72</v>
      </c>
      <c r="B82" s="86" t="s">
        <v>108</v>
      </c>
      <c r="C82" s="86" t="s">
        <v>64</v>
      </c>
      <c r="D82" s="10">
        <v>471186601.02999997</v>
      </c>
      <c r="E82" s="10">
        <v>7272425.3899999997</v>
      </c>
      <c r="F82" s="10">
        <v>0</v>
      </c>
      <c r="G82" s="10">
        <v>955531.11</v>
      </c>
      <c r="H82" s="12">
        <f t="shared" si="30"/>
        <v>6316894.2799999993</v>
      </c>
      <c r="I82" s="10">
        <v>449005793.81999999</v>
      </c>
      <c r="J82" s="13">
        <f t="shared" si="31"/>
        <v>1.9510535023374413E-3</v>
      </c>
      <c r="K82" s="10">
        <v>540771632.97000003</v>
      </c>
      <c r="L82" s="13">
        <f t="shared" si="38"/>
        <v>2.2408943749810221E-3</v>
      </c>
      <c r="M82" s="13">
        <f t="shared" si="39"/>
        <v>0.20437562368468601</v>
      </c>
      <c r="N82" s="20">
        <f t="shared" si="40"/>
        <v>1.766977133678551E-3</v>
      </c>
      <c r="O82" s="21">
        <f t="shared" si="41"/>
        <v>1.1681260433922274E-2</v>
      </c>
      <c r="P82" s="24">
        <f t="shared" si="42"/>
        <v>1.4997848159469049</v>
      </c>
      <c r="Q82" s="24">
        <f t="shared" si="43"/>
        <v>1.751937702991798E-2</v>
      </c>
      <c r="R82" s="10">
        <v>1.4998</v>
      </c>
      <c r="S82" s="10">
        <v>1.4998</v>
      </c>
      <c r="T82" s="17">
        <v>1068</v>
      </c>
      <c r="U82" s="10">
        <v>310291240.52999997</v>
      </c>
      <c r="V82" s="10">
        <v>360566147.37</v>
      </c>
    </row>
    <row r="83" spans="1:24">
      <c r="A83" s="63">
        <v>73</v>
      </c>
      <c r="B83" s="78" t="s">
        <v>257</v>
      </c>
      <c r="C83" s="79" t="s">
        <v>64</v>
      </c>
      <c r="D83" s="16">
        <v>40214825.229999997</v>
      </c>
      <c r="E83" s="10">
        <v>374407</v>
      </c>
      <c r="F83" s="10">
        <v>0</v>
      </c>
      <c r="G83" s="10">
        <v>194151.61</v>
      </c>
      <c r="H83" s="12">
        <f t="shared" si="30"/>
        <v>180255.39</v>
      </c>
      <c r="I83" s="10">
        <v>26481477.59</v>
      </c>
      <c r="J83" s="13">
        <f t="shared" si="31"/>
        <v>1.1506929378232574E-4</v>
      </c>
      <c r="K83" s="10">
        <v>44561927.030000001</v>
      </c>
      <c r="L83" s="13">
        <f t="shared" si="38"/>
        <v>1.8465941172136435E-4</v>
      </c>
      <c r="M83" s="13">
        <f t="shared" si="39"/>
        <v>0.68275833093345162</v>
      </c>
      <c r="N83" s="20">
        <f t="shared" si="40"/>
        <v>4.3568943925897359E-3</v>
      </c>
      <c r="O83" s="21">
        <f t="shared" si="41"/>
        <v>4.0450537491039914E-3</v>
      </c>
      <c r="P83" s="24">
        <f t="shared" si="42"/>
        <v>1.0348073585921511</v>
      </c>
      <c r="Q83" s="24">
        <f t="shared" si="43"/>
        <v>4.1858513854735793E-3</v>
      </c>
      <c r="R83" s="17">
        <v>1.0347999999999999</v>
      </c>
      <c r="S83" s="18">
        <v>1.0347999999999999</v>
      </c>
      <c r="T83" s="17">
        <v>4</v>
      </c>
      <c r="U83" s="10">
        <v>25934256.280000001</v>
      </c>
      <c r="V83" s="10">
        <v>43063017.149999999</v>
      </c>
    </row>
    <row r="84" spans="1:24">
      <c r="A84" s="63">
        <v>74</v>
      </c>
      <c r="B84" s="19" t="s">
        <v>239</v>
      </c>
      <c r="C84" s="19" t="s">
        <v>48</v>
      </c>
      <c r="D84" s="10">
        <v>174109577.31</v>
      </c>
      <c r="E84" s="10">
        <v>831884.55</v>
      </c>
      <c r="F84" s="10">
        <v>0</v>
      </c>
      <c r="G84" s="10">
        <v>381484.11</v>
      </c>
      <c r="H84" s="12">
        <f t="shared" si="30"/>
        <v>450400.44000000006</v>
      </c>
      <c r="I84" s="10">
        <v>146809103.68000001</v>
      </c>
      <c r="J84" s="13">
        <f t="shared" si="31"/>
        <v>6.3792587947030194E-4</v>
      </c>
      <c r="K84" s="10">
        <v>168708990.25</v>
      </c>
      <c r="L84" s="13">
        <f t="shared" si="38"/>
        <v>6.9911031609331176E-4</v>
      </c>
      <c r="M84" s="13">
        <f t="shared" si="39"/>
        <v>0.1491725378130174</v>
      </c>
      <c r="N84" s="20">
        <f t="shared" si="40"/>
        <v>2.2611960953278242E-3</v>
      </c>
      <c r="O84" s="21">
        <f t="shared" si="41"/>
        <v>2.6696884341052482E-3</v>
      </c>
      <c r="P84" s="24">
        <f t="shared" si="42"/>
        <v>133.9553077367089</v>
      </c>
      <c r="Q84" s="24">
        <f t="shared" si="43"/>
        <v>0.35761893575170101</v>
      </c>
      <c r="R84" s="10">
        <v>133.95529999999999</v>
      </c>
      <c r="S84" s="10">
        <v>133.95529999999999</v>
      </c>
      <c r="T84" s="17">
        <v>311</v>
      </c>
      <c r="U84" s="10">
        <v>1114475.71</v>
      </c>
      <c r="V84" s="10">
        <v>1259442.3700000001</v>
      </c>
    </row>
    <row r="85" spans="1:24">
      <c r="A85" s="63">
        <v>75</v>
      </c>
      <c r="B85" s="19" t="s">
        <v>109</v>
      </c>
      <c r="C85" s="19" t="s">
        <v>110</v>
      </c>
      <c r="D85" s="10">
        <f>1542551778+421327415.51</f>
        <v>1963879193.51</v>
      </c>
      <c r="E85" s="10">
        <v>45459848.219999999</v>
      </c>
      <c r="F85" s="10">
        <v>0</v>
      </c>
      <c r="G85" s="10">
        <v>4512130.8</v>
      </c>
      <c r="H85" s="12">
        <f t="shared" si="30"/>
        <v>40947717.420000002</v>
      </c>
      <c r="I85" s="10">
        <v>2588857168.6500001</v>
      </c>
      <c r="J85" s="13">
        <f t="shared" si="31"/>
        <v>1.124929547784599E-2</v>
      </c>
      <c r="K85" s="10">
        <v>2803820394.6100001</v>
      </c>
      <c r="L85" s="13">
        <f t="shared" si="38"/>
        <v>1.1618703659123295E-2</v>
      </c>
      <c r="M85" s="13">
        <f t="shared" si="39"/>
        <v>8.3034023106070373E-2</v>
      </c>
      <c r="N85" s="20">
        <f t="shared" si="40"/>
        <v>1.609279541825866E-3</v>
      </c>
      <c r="O85" s="21">
        <f t="shared" si="41"/>
        <v>1.4604258353608153E-2</v>
      </c>
      <c r="P85" s="24">
        <f t="shared" si="42"/>
        <v>1321.1770386123974</v>
      </c>
      <c r="Q85" s="24">
        <f t="shared" si="43"/>
        <v>19.294810802750384</v>
      </c>
      <c r="R85" s="10">
        <v>1249.7</v>
      </c>
      <c r="S85" s="10">
        <v>1249.7</v>
      </c>
      <c r="T85" s="17">
        <v>829</v>
      </c>
      <c r="U85" s="10">
        <v>2111367</v>
      </c>
      <c r="V85" s="10">
        <v>2122213.9900000002</v>
      </c>
    </row>
    <row r="86" spans="1:24">
      <c r="A86" s="63">
        <v>76</v>
      </c>
      <c r="B86" s="19" t="s">
        <v>111</v>
      </c>
      <c r="C86" s="19" t="s">
        <v>66</v>
      </c>
      <c r="D86" s="10">
        <v>169863772.69</v>
      </c>
      <c r="E86" s="10">
        <v>1805963.6</v>
      </c>
      <c r="F86" s="10">
        <v>0</v>
      </c>
      <c r="G86" s="10">
        <v>563253.28</v>
      </c>
      <c r="H86" s="12">
        <f t="shared" si="30"/>
        <v>1242710.32</v>
      </c>
      <c r="I86" s="10">
        <v>157516688.84</v>
      </c>
      <c r="J86" s="13">
        <f t="shared" si="31"/>
        <v>6.8445327803738881E-4</v>
      </c>
      <c r="K86" s="10">
        <v>167238887.28999999</v>
      </c>
      <c r="L86" s="13">
        <f t="shared" si="38"/>
        <v>6.9301838143391787E-4</v>
      </c>
      <c r="M86" s="13">
        <f t="shared" si="39"/>
        <v>6.1721704040360197E-2</v>
      </c>
      <c r="N86" s="20">
        <f t="shared" si="40"/>
        <v>3.3679563953525516E-3</v>
      </c>
      <c r="O86" s="21">
        <f t="shared" si="41"/>
        <v>7.4307497504756933E-3</v>
      </c>
      <c r="P86" s="24">
        <f t="shared" si="42"/>
        <v>1179.9822711493684</v>
      </c>
      <c r="Q86" s="24">
        <f t="shared" si="43"/>
        <v>8.7681529669089109</v>
      </c>
      <c r="R86" s="10">
        <v>1051.42</v>
      </c>
      <c r="S86" s="10">
        <v>1061.33</v>
      </c>
      <c r="T86" s="17">
        <v>284</v>
      </c>
      <c r="U86" s="10">
        <v>141579</v>
      </c>
      <c r="V86" s="10">
        <v>141730</v>
      </c>
    </row>
    <row r="87" spans="1:24">
      <c r="A87" s="63">
        <v>77</v>
      </c>
      <c r="B87" s="19" t="s">
        <v>112</v>
      </c>
      <c r="C87" s="86" t="s">
        <v>69</v>
      </c>
      <c r="D87" s="10">
        <v>704126979.13</v>
      </c>
      <c r="E87" s="10">
        <v>9471290.0099999998</v>
      </c>
      <c r="F87" s="10">
        <v>0</v>
      </c>
      <c r="G87" s="10">
        <v>1235122.33</v>
      </c>
      <c r="H87" s="12">
        <f t="shared" si="30"/>
        <v>8236167.6799999997</v>
      </c>
      <c r="I87" s="10">
        <v>697781948.19000006</v>
      </c>
      <c r="J87" s="13">
        <f t="shared" si="31"/>
        <v>3.032054224292955E-3</v>
      </c>
      <c r="K87" s="10">
        <v>691740863.32000005</v>
      </c>
      <c r="L87" s="13">
        <f t="shared" si="38"/>
        <v>2.8664932016585617E-3</v>
      </c>
      <c r="M87" s="13">
        <f t="shared" si="39"/>
        <v>-8.6575539617643835E-3</v>
      </c>
      <c r="N87" s="20">
        <f t="shared" si="40"/>
        <v>1.7855274937381156E-3</v>
      </c>
      <c r="O87" s="21">
        <f t="shared" si="41"/>
        <v>1.1906435078116732E-2</v>
      </c>
      <c r="P87" s="24">
        <f t="shared" si="42"/>
        <v>1.1374641982272893</v>
      </c>
      <c r="Q87" s="24">
        <f t="shared" si="43"/>
        <v>1.3543143629875319E-2</v>
      </c>
      <c r="R87" s="10">
        <v>1.1638999999999999</v>
      </c>
      <c r="S87" s="10">
        <v>1.1638999999999999</v>
      </c>
      <c r="T87" s="17">
        <v>55</v>
      </c>
      <c r="U87" s="10">
        <v>607208457.20000005</v>
      </c>
      <c r="V87" s="10">
        <v>608142976.63</v>
      </c>
    </row>
    <row r="88" spans="1:24">
      <c r="A88" s="63">
        <v>78</v>
      </c>
      <c r="B88" s="19" t="s">
        <v>246</v>
      </c>
      <c r="C88" s="19" t="s">
        <v>30</v>
      </c>
      <c r="D88" s="10">
        <v>11874935455.23</v>
      </c>
      <c r="E88" s="10">
        <v>123988119.62</v>
      </c>
      <c r="F88" s="10">
        <v>0</v>
      </c>
      <c r="G88" s="10">
        <v>13987156.060000001</v>
      </c>
      <c r="H88" s="12">
        <f t="shared" si="30"/>
        <v>110000963.56</v>
      </c>
      <c r="I88" s="10">
        <v>11634649118.620001</v>
      </c>
      <c r="J88" s="13">
        <f t="shared" si="31"/>
        <v>5.0555746103469683E-2</v>
      </c>
      <c r="K88" s="10">
        <v>11525279605.26</v>
      </c>
      <c r="L88" s="13">
        <f t="shared" si="38"/>
        <v>4.775941018885399E-2</v>
      </c>
      <c r="M88" s="13">
        <f t="shared" si="39"/>
        <v>-9.4003276115105609E-3</v>
      </c>
      <c r="N88" s="20">
        <f t="shared" si="40"/>
        <v>1.2136066576307987E-3</v>
      </c>
      <c r="O88" s="21">
        <f t="shared" si="41"/>
        <v>9.5443206002392231E-3</v>
      </c>
      <c r="P88" s="24">
        <f t="shared" si="42"/>
        <v>1751.2249529355468</v>
      </c>
      <c r="Q88" s="24">
        <f t="shared" si="43"/>
        <v>16.714252393955704</v>
      </c>
      <c r="R88" s="10">
        <v>1751.22</v>
      </c>
      <c r="S88" s="10">
        <v>1751.22</v>
      </c>
      <c r="T88" s="17">
        <v>2058</v>
      </c>
      <c r="U88" s="10">
        <v>6680784.21</v>
      </c>
      <c r="V88" s="10">
        <v>6581267.3499999996</v>
      </c>
    </row>
    <row r="89" spans="1:24" ht="14.55" customHeight="1">
      <c r="A89" s="63">
        <v>79</v>
      </c>
      <c r="B89" s="19" t="s">
        <v>113</v>
      </c>
      <c r="C89" s="19" t="s">
        <v>75</v>
      </c>
      <c r="D89" s="10">
        <v>22718058.02</v>
      </c>
      <c r="E89" s="10">
        <v>295884.81</v>
      </c>
      <c r="F89" s="10">
        <v>0</v>
      </c>
      <c r="G89" s="10">
        <v>252810.56</v>
      </c>
      <c r="H89" s="12">
        <v>39065.81</v>
      </c>
      <c r="I89" s="10">
        <v>23459741.420000002</v>
      </c>
      <c r="J89" s="13">
        <f t="shared" si="31"/>
        <v>1.0193902014496224E-4</v>
      </c>
      <c r="K89" s="10">
        <v>23667934.600000001</v>
      </c>
      <c r="L89" s="13">
        <f t="shared" si="38"/>
        <v>9.8077151756776826E-5</v>
      </c>
      <c r="M89" s="13">
        <f t="shared" si="39"/>
        <v>8.8744874153860002E-3</v>
      </c>
      <c r="N89" s="20">
        <f t="shared" si="40"/>
        <v>1.0681564076993857E-2</v>
      </c>
      <c r="O89" s="21">
        <f t="shared" si="41"/>
        <v>1.6505795989481902E-3</v>
      </c>
      <c r="P89" s="24">
        <f t="shared" si="42"/>
        <v>0.72309639361578781</v>
      </c>
      <c r="Q89" s="24">
        <f t="shared" si="43"/>
        <v>1.1935281553752297E-3</v>
      </c>
      <c r="R89" s="10">
        <v>0.72309999999999997</v>
      </c>
      <c r="S89" s="10">
        <v>0.72309999999999997</v>
      </c>
      <c r="T89" s="17">
        <v>728</v>
      </c>
      <c r="U89" s="10">
        <v>32738919.920000002</v>
      </c>
      <c r="V89" s="10">
        <v>32731368.609999999</v>
      </c>
    </row>
    <row r="90" spans="1:24" ht="14.55" customHeight="1">
      <c r="A90" s="63">
        <v>80</v>
      </c>
      <c r="B90" s="19" t="s">
        <v>240</v>
      </c>
      <c r="C90" s="86" t="s">
        <v>36</v>
      </c>
      <c r="D90" s="10">
        <v>11366234366.5</v>
      </c>
      <c r="E90" s="10">
        <v>111796805.73999999</v>
      </c>
      <c r="F90" s="10">
        <v>0</v>
      </c>
      <c r="G90" s="10">
        <v>3110830.15</v>
      </c>
      <c r="H90" s="12">
        <f t="shared" si="30"/>
        <v>108685975.58999999</v>
      </c>
      <c r="I90" s="10">
        <v>10035195758</v>
      </c>
      <c r="J90" s="13">
        <f t="shared" si="31"/>
        <v>4.3605681930547105E-2</v>
      </c>
      <c r="K90" s="10">
        <v>10088765159.76</v>
      </c>
      <c r="L90" s="13">
        <f t="shared" si="38"/>
        <v>4.180666240358228E-2</v>
      </c>
      <c r="M90" s="13">
        <f t="shared" si="39"/>
        <v>5.3381521448941354E-3</v>
      </c>
      <c r="N90" s="20">
        <f t="shared" si="40"/>
        <v>3.0834597700894474E-4</v>
      </c>
      <c r="O90" s="21">
        <f t="shared" si="41"/>
        <v>1.0772971108843364E-2</v>
      </c>
      <c r="P90" s="24">
        <f t="shared" si="42"/>
        <v>1</v>
      </c>
      <c r="Q90" s="24">
        <f t="shared" si="43"/>
        <v>1.0772971108843364E-2</v>
      </c>
      <c r="R90" s="10">
        <v>1</v>
      </c>
      <c r="S90" s="10">
        <v>1</v>
      </c>
      <c r="T90" s="17">
        <v>4756</v>
      </c>
      <c r="U90" s="10">
        <v>10035195758</v>
      </c>
      <c r="V90" s="10">
        <v>10088765159.76</v>
      </c>
    </row>
    <row r="91" spans="1:24">
      <c r="A91" s="63">
        <v>81</v>
      </c>
      <c r="B91" s="86" t="s">
        <v>114</v>
      </c>
      <c r="C91" s="86" t="s">
        <v>115</v>
      </c>
      <c r="D91" s="10">
        <v>1836631076.8499999</v>
      </c>
      <c r="E91" s="10">
        <v>31682827.010000002</v>
      </c>
      <c r="F91" s="10">
        <v>0</v>
      </c>
      <c r="G91" s="10">
        <v>2241218.4</v>
      </c>
      <c r="H91" s="12">
        <f t="shared" si="30"/>
        <v>29441608.610000003</v>
      </c>
      <c r="I91" s="10">
        <v>1811790121.5799999</v>
      </c>
      <c r="J91" s="13">
        <f t="shared" si="31"/>
        <v>7.8727257217222641E-3</v>
      </c>
      <c r="K91" s="10">
        <v>1827575786.8083999</v>
      </c>
      <c r="L91" s="13">
        <f t="shared" si="38"/>
        <v>7.5732602281999815E-3</v>
      </c>
      <c r="M91" s="13">
        <f t="shared" si="39"/>
        <v>8.7127449478716975E-3</v>
      </c>
      <c r="N91" s="20">
        <f t="shared" si="40"/>
        <v>1.2263340410708591E-3</v>
      </c>
      <c r="O91" s="21">
        <f t="shared" si="41"/>
        <v>1.6109651278218982E-2</v>
      </c>
      <c r="P91" s="24">
        <f t="shared" si="42"/>
        <v>269.49205354025736</v>
      </c>
      <c r="Q91" s="24">
        <f t="shared" si="43"/>
        <v>4.3414230047846658</v>
      </c>
      <c r="R91" s="10">
        <v>269.49</v>
      </c>
      <c r="S91" s="10">
        <v>269.49</v>
      </c>
      <c r="T91" s="17">
        <v>565</v>
      </c>
      <c r="U91" s="10">
        <v>6815545.3899999997</v>
      </c>
      <c r="V91" s="10">
        <v>6781557.2400000002</v>
      </c>
    </row>
    <row r="92" spans="1:24">
      <c r="A92" s="63">
        <v>82</v>
      </c>
      <c r="B92" s="19" t="s">
        <v>116</v>
      </c>
      <c r="C92" s="86" t="s">
        <v>38</v>
      </c>
      <c r="D92" s="10">
        <v>1059854384.1799999</v>
      </c>
      <c r="E92" s="10">
        <v>14444874.75</v>
      </c>
      <c r="F92" s="10">
        <v>0</v>
      </c>
      <c r="G92" s="10">
        <v>1589589.09</v>
      </c>
      <c r="H92" s="12">
        <f t="shared" si="30"/>
        <v>12855285.66</v>
      </c>
      <c r="I92" s="10">
        <v>1144770270.4100001</v>
      </c>
      <c r="J92" s="13">
        <f t="shared" si="31"/>
        <v>4.974341258390514E-3</v>
      </c>
      <c r="K92" s="10">
        <v>1045248598.53</v>
      </c>
      <c r="L92" s="13">
        <f t="shared" si="38"/>
        <v>4.3313878948095918E-3</v>
      </c>
      <c r="M92" s="13">
        <f t="shared" si="39"/>
        <v>-8.693593330682528E-2</v>
      </c>
      <c r="N92" s="20">
        <f t="shared" si="40"/>
        <v>1.5207761026759959E-3</v>
      </c>
      <c r="O92" s="21">
        <f t="shared" si="41"/>
        <v>1.2298782967113481E-2</v>
      </c>
      <c r="P92" s="24">
        <f t="shared" si="42"/>
        <v>3.508033567158809</v>
      </c>
      <c r="Q92" s="24">
        <f t="shared" si="43"/>
        <v>4.3144543483835104E-2</v>
      </c>
      <c r="R92" s="10">
        <v>3.51</v>
      </c>
      <c r="S92" s="10">
        <v>3.52</v>
      </c>
      <c r="T92" s="17">
        <v>778</v>
      </c>
      <c r="U92" s="10">
        <v>292443477</v>
      </c>
      <c r="V92" s="10">
        <v>297958551</v>
      </c>
    </row>
    <row r="93" spans="1:24">
      <c r="A93" s="63">
        <v>83</v>
      </c>
      <c r="B93" s="78" t="s">
        <v>244</v>
      </c>
      <c r="C93" s="79" t="s">
        <v>40</v>
      </c>
      <c r="D93" s="10">
        <v>666011421.84000003</v>
      </c>
      <c r="E93" s="10">
        <v>9265785.1699999999</v>
      </c>
      <c r="F93" s="10">
        <v>0</v>
      </c>
      <c r="G93" s="10">
        <v>1405053.5</v>
      </c>
      <c r="H93" s="12">
        <f t="shared" si="30"/>
        <v>7860731.6699999999</v>
      </c>
      <c r="I93" s="10">
        <v>665099296.29999995</v>
      </c>
      <c r="J93" s="13">
        <f t="shared" si="31"/>
        <v>2.8900391249037857E-3</v>
      </c>
      <c r="K93" s="10">
        <v>662362823.13</v>
      </c>
      <c r="L93" s="13">
        <f t="shared" si="38"/>
        <v>2.7447540404378222E-3</v>
      </c>
      <c r="M93" s="13">
        <f t="shared" si="39"/>
        <v>-4.114382897746508E-3</v>
      </c>
      <c r="N93" s="20">
        <f t="shared" si="40"/>
        <v>2.1212747016210996E-3</v>
      </c>
      <c r="O93" s="21">
        <f t="shared" si="41"/>
        <v>1.1867712672722269E-2</v>
      </c>
      <c r="P93" s="24">
        <f t="shared" si="42"/>
        <v>106.87137792123771</v>
      </c>
      <c r="Q93" s="24">
        <f t="shared" si="43"/>
        <v>1.2683188061071637</v>
      </c>
      <c r="R93" s="10">
        <v>110.76</v>
      </c>
      <c r="S93" s="10">
        <v>110.76</v>
      </c>
      <c r="T93" s="17">
        <v>236</v>
      </c>
      <c r="U93" s="10">
        <v>6031070.5599999996</v>
      </c>
      <c r="V93" s="10">
        <v>6197756.9299999997</v>
      </c>
    </row>
    <row r="94" spans="1:24">
      <c r="A94" s="63">
        <v>84</v>
      </c>
      <c r="B94" s="19" t="s">
        <v>243</v>
      </c>
      <c r="C94" s="19" t="s">
        <v>44</v>
      </c>
      <c r="D94" s="10">
        <v>1042666127.47</v>
      </c>
      <c r="E94" s="10">
        <v>8569848.6400000006</v>
      </c>
      <c r="F94" s="10">
        <v>0</v>
      </c>
      <c r="G94" s="10">
        <v>2240846.13</v>
      </c>
      <c r="H94" s="12">
        <f t="shared" si="30"/>
        <v>6329002.5100000007</v>
      </c>
      <c r="I94" s="10">
        <v>1014765811.9299999</v>
      </c>
      <c r="J94" s="13">
        <f t="shared" si="31"/>
        <v>4.4094361780374312E-3</v>
      </c>
      <c r="K94" s="10">
        <v>1039530751.96</v>
      </c>
      <c r="L94" s="13">
        <f t="shared" si="38"/>
        <v>4.3076938076302288E-3</v>
      </c>
      <c r="M94" s="13">
        <f t="shared" si="39"/>
        <v>2.4404586495576985E-2</v>
      </c>
      <c r="N94" s="20">
        <f t="shared" si="40"/>
        <v>2.1556323617891635E-3</v>
      </c>
      <c r="O94" s="21">
        <f t="shared" si="41"/>
        <v>6.0883263896396337E-3</v>
      </c>
      <c r="P94" s="24">
        <f t="shared" si="42"/>
        <v>111.73332349779555</v>
      </c>
      <c r="Q94" s="24">
        <f t="shared" si="43"/>
        <v>0.68026894205377086</v>
      </c>
      <c r="R94" s="10">
        <v>111.62</v>
      </c>
      <c r="S94" s="10">
        <v>111.95</v>
      </c>
      <c r="T94" s="17">
        <v>1345</v>
      </c>
      <c r="U94" s="10">
        <v>9241729</v>
      </c>
      <c r="V94" s="10">
        <v>9303677</v>
      </c>
    </row>
    <row r="95" spans="1:24">
      <c r="A95" s="63">
        <v>85</v>
      </c>
      <c r="B95" s="19" t="s">
        <v>119</v>
      </c>
      <c r="C95" s="19" t="s">
        <v>22</v>
      </c>
      <c r="D95" s="10">
        <v>1633120271.27</v>
      </c>
      <c r="E95" s="10">
        <v>20642015.559999999</v>
      </c>
      <c r="F95" s="10">
        <v>72614052.609999999</v>
      </c>
      <c r="G95" s="10">
        <v>2363816.73</v>
      </c>
      <c r="H95" s="12">
        <f t="shared" si="30"/>
        <v>90892251.439999998</v>
      </c>
      <c r="I95" s="10">
        <v>1571578711.4100001</v>
      </c>
      <c r="J95" s="13">
        <f t="shared" si="31"/>
        <v>6.828941165789618E-3</v>
      </c>
      <c r="K95" s="10">
        <v>1599755889.3</v>
      </c>
      <c r="L95" s="13">
        <f t="shared" si="38"/>
        <v>6.6292012285970045E-3</v>
      </c>
      <c r="M95" s="13">
        <f t="shared" si="39"/>
        <v>1.7929218362037792E-2</v>
      </c>
      <c r="N95" s="20">
        <f t="shared" si="40"/>
        <v>1.4776108941435607E-3</v>
      </c>
      <c r="O95" s="21">
        <f t="shared" si="41"/>
        <v>5.6816325570629045E-2</v>
      </c>
      <c r="P95" s="24">
        <f t="shared" si="42"/>
        <v>383.69814359066874</v>
      </c>
      <c r="Q95" s="24">
        <f t="shared" si="43"/>
        <v>21.800318647093409</v>
      </c>
      <c r="R95" s="10">
        <v>383.7</v>
      </c>
      <c r="S95" s="10">
        <v>383.7</v>
      </c>
      <c r="T95" s="17">
        <v>94</v>
      </c>
      <c r="U95" s="10">
        <v>4144009.31</v>
      </c>
      <c r="V95" s="10">
        <v>4169308.39</v>
      </c>
    </row>
    <row r="96" spans="1:24">
      <c r="A96" s="63">
        <v>86</v>
      </c>
      <c r="B96" s="78" t="s">
        <v>247</v>
      </c>
      <c r="C96" s="79" t="s">
        <v>248</v>
      </c>
      <c r="D96" s="10">
        <v>1438996875.46</v>
      </c>
      <c r="E96" s="10">
        <v>24992859.949999999</v>
      </c>
      <c r="F96" s="10">
        <v>6396723.1100000003</v>
      </c>
      <c r="G96" s="10">
        <v>3424042.16</v>
      </c>
      <c r="H96" s="12">
        <f t="shared" si="30"/>
        <v>27965540.899999999</v>
      </c>
      <c r="I96" s="10">
        <v>1744034739.1700001</v>
      </c>
      <c r="J96" s="13">
        <f t="shared" si="31"/>
        <v>7.5783099748149138E-3</v>
      </c>
      <c r="K96" s="10">
        <v>1784256236.7</v>
      </c>
      <c r="L96" s="13">
        <f t="shared" si="38"/>
        <v>7.3937490810795717E-3</v>
      </c>
      <c r="M96" s="13">
        <f t="shared" si="39"/>
        <v>2.3062325896754613E-2</v>
      </c>
      <c r="N96" s="20">
        <f t="shared" si="40"/>
        <v>1.9190305123062373E-3</v>
      </c>
      <c r="O96" s="21">
        <f t="shared" si="41"/>
        <v>1.567350043384046E-2</v>
      </c>
      <c r="P96" s="24">
        <f t="shared" si="42"/>
        <v>103.34650580560036</v>
      </c>
      <c r="Q96" s="24">
        <f t="shared" si="43"/>
        <v>1.6198015035799729</v>
      </c>
      <c r="R96" s="10">
        <v>103.35</v>
      </c>
      <c r="S96" s="10">
        <v>103.35</v>
      </c>
      <c r="T96" s="17">
        <v>408</v>
      </c>
      <c r="U96" s="10">
        <v>16533610</v>
      </c>
      <c r="V96" s="10">
        <v>17264795</v>
      </c>
    </row>
    <row r="97" spans="1:23">
      <c r="A97" s="63">
        <v>87</v>
      </c>
      <c r="B97" s="86" t="s">
        <v>120</v>
      </c>
      <c r="C97" s="86" t="s">
        <v>42</v>
      </c>
      <c r="D97" s="10">
        <v>48414166</v>
      </c>
      <c r="E97" s="10">
        <v>2126304.4700000002</v>
      </c>
      <c r="F97" s="10">
        <v>0</v>
      </c>
      <c r="G97" s="10">
        <v>135223.17000000001</v>
      </c>
      <c r="H97" s="12">
        <f t="shared" si="30"/>
        <v>1991081.3000000003</v>
      </c>
      <c r="I97" s="10">
        <v>59735149.5</v>
      </c>
      <c r="J97" s="13">
        <f t="shared" si="31"/>
        <v>2.5956563200016852E-4</v>
      </c>
      <c r="K97" s="10">
        <v>47304475.380000003</v>
      </c>
      <c r="L97" s="13">
        <f t="shared" si="38"/>
        <v>1.9602421119665309E-4</v>
      </c>
      <c r="M97" s="13">
        <f t="shared" si="39"/>
        <v>-0.20809647626310868</v>
      </c>
      <c r="N97" s="20">
        <f t="shared" si="40"/>
        <v>2.8585703342811283E-3</v>
      </c>
      <c r="O97" s="21">
        <f t="shared" si="41"/>
        <v>4.2090759574131442E-2</v>
      </c>
      <c r="P97" s="24">
        <f t="shared" si="42"/>
        <v>9.6652682557784804</v>
      </c>
      <c r="Q97" s="24">
        <f t="shared" si="43"/>
        <v>0.4068184823734568</v>
      </c>
      <c r="R97" s="10">
        <v>11.85</v>
      </c>
      <c r="S97" s="10">
        <v>12.49</v>
      </c>
      <c r="T97" s="17">
        <v>57</v>
      </c>
      <c r="U97" s="10">
        <v>4896688.95</v>
      </c>
      <c r="V97" s="10">
        <v>4894274.4400000004</v>
      </c>
    </row>
    <row r="98" spans="1:23">
      <c r="A98" s="63">
        <v>88</v>
      </c>
      <c r="B98" s="78" t="s">
        <v>262</v>
      </c>
      <c r="C98" s="79" t="s">
        <v>263</v>
      </c>
      <c r="D98" s="10">
        <v>847931491.66999996</v>
      </c>
      <c r="E98" s="10">
        <v>12506056.15</v>
      </c>
      <c r="F98" s="10">
        <v>0</v>
      </c>
      <c r="G98" s="10">
        <v>1232490.42</v>
      </c>
      <c r="H98" s="12">
        <f t="shared" si="30"/>
        <v>11273565.73</v>
      </c>
      <c r="I98" s="10">
        <v>777371217.74000001</v>
      </c>
      <c r="J98" s="13">
        <f t="shared" si="31"/>
        <v>3.3778914612312754E-3</v>
      </c>
      <c r="K98" s="10">
        <v>827672324.85000002</v>
      </c>
      <c r="L98" s="13">
        <f t="shared" si="38"/>
        <v>3.4297772738140714E-3</v>
      </c>
      <c r="M98" s="13">
        <f t="shared" si="39"/>
        <v>6.47066754751187E-2</v>
      </c>
      <c r="N98" s="20">
        <f t="shared" si="40"/>
        <v>1.4891043025068713E-3</v>
      </c>
      <c r="O98" s="21">
        <f t="shared" si="41"/>
        <v>1.3620807886796409E-2</v>
      </c>
      <c r="P98" s="24">
        <f t="shared" si="42"/>
        <v>151.817648432618</v>
      </c>
      <c r="Q98" s="24">
        <f t="shared" si="43"/>
        <v>2.0678790231258879</v>
      </c>
      <c r="R98" s="10">
        <v>151.81</v>
      </c>
      <c r="S98" s="10">
        <v>151.81</v>
      </c>
      <c r="T98" s="17">
        <v>170</v>
      </c>
      <c r="U98" s="10">
        <v>5196040.0999999996</v>
      </c>
      <c r="V98" s="10">
        <v>5451753.0300000003</v>
      </c>
    </row>
    <row r="99" spans="1:23">
      <c r="A99" s="63">
        <v>89</v>
      </c>
      <c r="B99" s="19" t="s">
        <v>121</v>
      </c>
      <c r="C99" s="19" t="s">
        <v>122</v>
      </c>
      <c r="D99" s="10">
        <v>10518066038.76</v>
      </c>
      <c r="E99" s="10">
        <v>166861132.19</v>
      </c>
      <c r="F99" s="10">
        <v>0</v>
      </c>
      <c r="G99" s="10">
        <v>16978911.829999998</v>
      </c>
      <c r="H99" s="12">
        <f t="shared" si="30"/>
        <v>149882220.36000001</v>
      </c>
      <c r="I99" s="10">
        <v>9980812445</v>
      </c>
      <c r="J99" s="13">
        <f t="shared" si="31"/>
        <v>4.3369371498125607E-2</v>
      </c>
      <c r="K99" s="10">
        <v>10393163366</v>
      </c>
      <c r="L99" s="13">
        <f t="shared" si="38"/>
        <v>4.3068052954656863E-2</v>
      </c>
      <c r="M99" s="13">
        <f t="shared" si="39"/>
        <v>4.1314364263659899E-2</v>
      </c>
      <c r="N99" s="20">
        <f t="shared" si="40"/>
        <v>1.6336615938843501E-3</v>
      </c>
      <c r="O99" s="21">
        <f t="shared" si="41"/>
        <v>1.4421232023574449E-2</v>
      </c>
      <c r="P99" s="24">
        <f t="shared" si="42"/>
        <v>1.1300000000521881</v>
      </c>
      <c r="Q99" s="24">
        <f t="shared" si="43"/>
        <v>1.6295992187391747E-2</v>
      </c>
      <c r="R99" s="10">
        <v>1.1299999999999999</v>
      </c>
      <c r="S99" s="10">
        <v>1.1299999999999999</v>
      </c>
      <c r="T99" s="17">
        <v>5086</v>
      </c>
      <c r="U99" s="10">
        <v>8911439683</v>
      </c>
      <c r="V99" s="10">
        <v>9197489704</v>
      </c>
    </row>
    <row r="100" spans="1:23">
      <c r="A100" s="63">
        <v>90</v>
      </c>
      <c r="B100" s="86" t="s">
        <v>123</v>
      </c>
      <c r="C100" s="19" t="s">
        <v>46</v>
      </c>
      <c r="D100" s="10">
        <v>6881340311.7799997</v>
      </c>
      <c r="E100" s="10">
        <v>102603106.61</v>
      </c>
      <c r="F100" s="10">
        <v>0</v>
      </c>
      <c r="G100" s="10">
        <v>9031108.5800000001</v>
      </c>
      <c r="H100" s="12">
        <f t="shared" si="30"/>
        <v>93571998.030000001</v>
      </c>
      <c r="I100" s="10">
        <v>6994103742.9700003</v>
      </c>
      <c r="J100" s="13">
        <f t="shared" si="31"/>
        <v>3.0391301830068277E-2</v>
      </c>
      <c r="K100" s="10">
        <v>6984530661.3699999</v>
      </c>
      <c r="L100" s="13">
        <f t="shared" si="38"/>
        <v>2.8943077847825648E-2</v>
      </c>
      <c r="M100" s="13">
        <f t="shared" si="39"/>
        <v>-1.3687360027541192E-3</v>
      </c>
      <c r="N100" s="20">
        <f t="shared" si="40"/>
        <v>1.2930158113485279E-3</v>
      </c>
      <c r="O100" s="21">
        <f t="shared" si="41"/>
        <v>1.3397034470408648E-2</v>
      </c>
      <c r="P100" s="24">
        <f t="shared" si="42"/>
        <v>5176.0936159766688</v>
      </c>
      <c r="Q100" s="24">
        <f t="shared" si="43"/>
        <v>69.34430459530158</v>
      </c>
      <c r="R100" s="10">
        <v>5176.09</v>
      </c>
      <c r="S100" s="10">
        <v>5176.09</v>
      </c>
      <c r="T100" s="17">
        <v>232</v>
      </c>
      <c r="U100" s="10">
        <v>1351235.11</v>
      </c>
      <c r="V100" s="10">
        <v>1349382.6</v>
      </c>
    </row>
    <row r="101" spans="1:23">
      <c r="A101" s="63">
        <v>91</v>
      </c>
      <c r="B101" s="19" t="s">
        <v>124</v>
      </c>
      <c r="C101" s="19" t="s">
        <v>46</v>
      </c>
      <c r="D101" s="10">
        <v>16388407561.51</v>
      </c>
      <c r="E101" s="10">
        <v>150769390.16</v>
      </c>
      <c r="F101" s="10">
        <v>0</v>
      </c>
      <c r="G101" s="10">
        <v>27783532.5</v>
      </c>
      <c r="H101" s="12">
        <f t="shared" si="30"/>
        <v>122985857.66</v>
      </c>
      <c r="I101" s="10">
        <v>16447086762.299999</v>
      </c>
      <c r="J101" s="13">
        <f t="shared" si="31"/>
        <v>7.1467109495021927E-2</v>
      </c>
      <c r="K101" s="10">
        <v>16292301660.219999</v>
      </c>
      <c r="L101" s="13">
        <f t="shared" si="38"/>
        <v>6.7513391827463631E-2</v>
      </c>
      <c r="M101" s="13">
        <f t="shared" si="39"/>
        <v>-9.4110953700808717E-3</v>
      </c>
      <c r="N101" s="20">
        <f t="shared" si="40"/>
        <v>1.7053166016338561E-3</v>
      </c>
      <c r="O101" s="21">
        <f t="shared" si="41"/>
        <v>7.5487098278009222E-3</v>
      </c>
      <c r="P101" s="24">
        <f t="shared" si="42"/>
        <v>259.23025686045912</v>
      </c>
      <c r="Q101" s="24">
        <f t="shared" si="43"/>
        <v>1.9568539876259055</v>
      </c>
      <c r="R101" s="10">
        <v>259.23</v>
      </c>
      <c r="S101" s="10">
        <v>259.23</v>
      </c>
      <c r="T101" s="17">
        <v>6080</v>
      </c>
      <c r="U101" s="10">
        <v>63458345.479999997</v>
      </c>
      <c r="V101" s="10">
        <v>62848765.640000001</v>
      </c>
    </row>
    <row r="102" spans="1:23">
      <c r="A102" s="63">
        <v>92</v>
      </c>
      <c r="B102" s="86" t="s">
        <v>125</v>
      </c>
      <c r="C102" s="19" t="s">
        <v>46</v>
      </c>
      <c r="D102" s="10">
        <v>557705837.53999996</v>
      </c>
      <c r="E102" s="10">
        <v>6857256.9000000004</v>
      </c>
      <c r="F102" s="10">
        <v>6879011.5</v>
      </c>
      <c r="G102" s="10">
        <v>700748.19</v>
      </c>
      <c r="H102" s="12">
        <f t="shared" si="30"/>
        <v>13035520.210000001</v>
      </c>
      <c r="I102" s="10">
        <v>535800386.23000002</v>
      </c>
      <c r="J102" s="13">
        <f t="shared" si="31"/>
        <v>2.3281998461847715E-3</v>
      </c>
      <c r="K102" s="10">
        <v>561048521.77999997</v>
      </c>
      <c r="L102" s="13">
        <f t="shared" si="38"/>
        <v>2.3249194297474676E-3</v>
      </c>
      <c r="M102" s="13">
        <f t="shared" si="39"/>
        <v>4.7122279488544132E-2</v>
      </c>
      <c r="N102" s="20">
        <f t="shared" si="40"/>
        <v>1.2489974802478482E-3</v>
      </c>
      <c r="O102" s="21">
        <f t="shared" si="41"/>
        <v>2.3234211844357248E-2</v>
      </c>
      <c r="P102" s="24">
        <f t="shared" si="42"/>
        <v>9290.1994352179699</v>
      </c>
      <c r="Q102" s="24">
        <f t="shared" si="43"/>
        <v>215.85046175418239</v>
      </c>
      <c r="R102" s="10">
        <v>9267.39</v>
      </c>
      <c r="S102" s="10">
        <v>9305.84</v>
      </c>
      <c r="T102" s="17">
        <v>15</v>
      </c>
      <c r="U102" s="10">
        <v>60391.44</v>
      </c>
      <c r="V102" s="10">
        <v>60391.44</v>
      </c>
    </row>
    <row r="103" spans="1:23">
      <c r="A103" s="63">
        <v>93</v>
      </c>
      <c r="B103" s="19" t="s">
        <v>126</v>
      </c>
      <c r="C103" s="19" t="s">
        <v>46</v>
      </c>
      <c r="D103" s="10">
        <v>6282749518.8800001</v>
      </c>
      <c r="E103" s="10">
        <v>91824313.549999997</v>
      </c>
      <c r="F103" s="10">
        <v>0</v>
      </c>
      <c r="G103" s="10">
        <v>9052242.1799999997</v>
      </c>
      <c r="H103" s="12">
        <f t="shared" si="30"/>
        <v>82772071.370000005</v>
      </c>
      <c r="I103" s="10">
        <v>6482081269.2399998</v>
      </c>
      <c r="J103" s="13">
        <f t="shared" si="31"/>
        <v>2.8166423544762953E-2</v>
      </c>
      <c r="K103" s="10">
        <v>6314329322.8500004</v>
      </c>
      <c r="L103" s="13">
        <f t="shared" si="38"/>
        <v>2.6165841916743562E-2</v>
      </c>
      <c r="M103" s="13">
        <f t="shared" si="39"/>
        <v>-2.5879334032118312E-2</v>
      </c>
      <c r="N103" s="20">
        <f t="shared" si="40"/>
        <v>1.433603113990613E-3</v>
      </c>
      <c r="O103" s="21">
        <f t="shared" si="41"/>
        <v>1.3108608553321457E-2</v>
      </c>
      <c r="P103" s="24">
        <f t="shared" si="42"/>
        <v>157.52613698122613</v>
      </c>
      <c r="Q103" s="24">
        <f t="shared" si="43"/>
        <v>2.0649484666037887</v>
      </c>
      <c r="R103" s="10">
        <v>157.53</v>
      </c>
      <c r="S103" s="10">
        <v>157.53</v>
      </c>
      <c r="T103" s="17">
        <v>5087</v>
      </c>
      <c r="U103" s="10">
        <v>41694280.619999997</v>
      </c>
      <c r="V103" s="10">
        <v>40084327.869999997</v>
      </c>
    </row>
    <row r="104" spans="1:23">
      <c r="A104" s="63">
        <v>94</v>
      </c>
      <c r="B104" s="19" t="s">
        <v>127</v>
      </c>
      <c r="C104" s="19" t="s">
        <v>46</v>
      </c>
      <c r="D104" s="10">
        <v>6098292636.2200003</v>
      </c>
      <c r="E104" s="10">
        <v>90979044.569999993</v>
      </c>
      <c r="F104" s="10">
        <v>-59152617.5</v>
      </c>
      <c r="G104" s="10">
        <v>11974585.060000001</v>
      </c>
      <c r="H104" s="12">
        <f t="shared" si="30"/>
        <v>19851842.00999999</v>
      </c>
      <c r="I104" s="10">
        <v>6432284483.9399996</v>
      </c>
      <c r="J104" s="13">
        <f t="shared" si="31"/>
        <v>2.7950042834977148E-2</v>
      </c>
      <c r="K104" s="10">
        <v>6150835546.3299999</v>
      </c>
      <c r="L104" s="13">
        <f t="shared" si="38"/>
        <v>2.5488342836150334E-2</v>
      </c>
      <c r="M104" s="13">
        <f t="shared" si="39"/>
        <v>-4.3755673169107459E-2</v>
      </c>
      <c r="N104" s="20">
        <f t="shared" si="40"/>
        <v>1.9468225040002638E-3</v>
      </c>
      <c r="O104" s="21">
        <f t="shared" si="41"/>
        <v>3.2275032977990979E-3</v>
      </c>
      <c r="P104" s="24">
        <f t="shared" si="42"/>
        <v>382.43169949121477</v>
      </c>
      <c r="Q104" s="24">
        <f t="shared" si="43"/>
        <v>1.2342995712908091</v>
      </c>
      <c r="R104" s="10">
        <v>382.12</v>
      </c>
      <c r="S104" s="10">
        <v>382.65</v>
      </c>
      <c r="T104" s="17">
        <v>10700</v>
      </c>
      <c r="U104" s="10">
        <v>16738388.289999999</v>
      </c>
      <c r="V104" s="10">
        <v>16083487.73</v>
      </c>
    </row>
    <row r="105" spans="1:23">
      <c r="A105" s="63">
        <v>95</v>
      </c>
      <c r="B105" s="19" t="s">
        <v>310</v>
      </c>
      <c r="C105" s="19" t="s">
        <v>311</v>
      </c>
      <c r="D105" s="10">
        <v>92214142.469999999</v>
      </c>
      <c r="E105" s="10">
        <v>928119.27</v>
      </c>
      <c r="F105" s="10">
        <v>0</v>
      </c>
      <c r="G105" s="10">
        <v>154827.91</v>
      </c>
      <c r="H105" s="12">
        <f t="shared" ref="H105" si="45">(E105+F105)-G105</f>
        <v>773291.36</v>
      </c>
      <c r="I105" s="10">
        <v>93872948.049999997</v>
      </c>
      <c r="J105" s="13">
        <f t="shared" si="31"/>
        <v>4.0790374331141891E-4</v>
      </c>
      <c r="K105" s="10">
        <v>91751764.540000007</v>
      </c>
      <c r="L105" s="13">
        <f t="shared" si="38"/>
        <v>3.8020857699774254E-4</v>
      </c>
      <c r="M105" s="13">
        <f t="shared" si="39"/>
        <v>-2.2596323584832708E-2</v>
      </c>
      <c r="N105" s="20">
        <f t="shared" si="40"/>
        <v>1.6874652032713919E-3</v>
      </c>
      <c r="O105" s="21">
        <f t="shared" si="41"/>
        <v>8.4280816164889853E-3</v>
      </c>
      <c r="P105" s="24">
        <f t="shared" si="42"/>
        <v>112.12562665563136</v>
      </c>
      <c r="Q105" s="24">
        <f t="shared" si="43"/>
        <v>0.94500393275363404</v>
      </c>
      <c r="R105" s="10">
        <v>112.12560000000001</v>
      </c>
      <c r="S105" s="10">
        <v>112.12560000000001</v>
      </c>
      <c r="T105" s="17">
        <v>22</v>
      </c>
      <c r="U105" s="10">
        <v>855076.59</v>
      </c>
      <c r="V105" s="10">
        <v>818294.33</v>
      </c>
    </row>
    <row r="106" spans="1:23">
      <c r="A106" s="63">
        <v>96</v>
      </c>
      <c r="B106" s="19" t="s">
        <v>128</v>
      </c>
      <c r="C106" s="19" t="s">
        <v>50</v>
      </c>
      <c r="D106" s="10">
        <v>78901911301.730026</v>
      </c>
      <c r="E106" s="10">
        <v>715270496</v>
      </c>
      <c r="F106" s="10">
        <v>0</v>
      </c>
      <c r="G106" s="10">
        <v>131974046.84</v>
      </c>
      <c r="H106" s="12">
        <f t="shared" si="30"/>
        <v>583296449.15999997</v>
      </c>
      <c r="I106" s="10">
        <v>85274388898</v>
      </c>
      <c r="J106" s="13">
        <f t="shared" si="31"/>
        <v>0.37054064203417658</v>
      </c>
      <c r="K106" s="10">
        <v>84905269996.910034</v>
      </c>
      <c r="L106" s="13">
        <f t="shared" si="38"/>
        <v>0.35183750467339281</v>
      </c>
      <c r="M106" s="13">
        <f t="shared" si="39"/>
        <v>-4.3286021261493089E-3</v>
      </c>
      <c r="N106" s="20">
        <f t="shared" si="40"/>
        <v>1.5543681428114291E-3</v>
      </c>
      <c r="O106" s="21">
        <f t="shared" si="41"/>
        <v>6.8699675436074571E-3</v>
      </c>
      <c r="P106" s="24">
        <f t="shared" si="42"/>
        <v>1.9529106853371996</v>
      </c>
      <c r="Q106" s="24">
        <f t="shared" si="43"/>
        <v>1.3416433023830757E-2</v>
      </c>
      <c r="R106" s="10">
        <v>1.95</v>
      </c>
      <c r="S106" s="10">
        <v>1.95</v>
      </c>
      <c r="T106" s="17">
        <v>1373</v>
      </c>
      <c r="U106" s="10">
        <v>43968791718.299995</v>
      </c>
      <c r="V106" s="10">
        <v>43476268850.589989</v>
      </c>
    </row>
    <row r="107" spans="1:23">
      <c r="A107" s="63">
        <v>97</v>
      </c>
      <c r="B107" s="19" t="s">
        <v>261</v>
      </c>
      <c r="C107" s="19" t="s">
        <v>50</v>
      </c>
      <c r="D107" s="10">
        <v>40300801119.009995</v>
      </c>
      <c r="E107" s="10">
        <v>972575507</v>
      </c>
      <c r="F107" s="10">
        <v>0</v>
      </c>
      <c r="G107" s="10">
        <v>115742046.31</v>
      </c>
      <c r="H107" s="12">
        <f t="shared" si="30"/>
        <v>856833460.69000006</v>
      </c>
      <c r="I107" s="10">
        <v>51966030885</v>
      </c>
      <c r="J107" s="13">
        <f t="shared" si="31"/>
        <v>0.22580667767819515</v>
      </c>
      <c r="K107" s="10">
        <v>63068454640.669998</v>
      </c>
      <c r="L107" s="13">
        <f t="shared" si="38"/>
        <v>0.26134829681582722</v>
      </c>
      <c r="M107" s="13">
        <f t="shared" si="39"/>
        <v>0.2136477149898072</v>
      </c>
      <c r="N107" s="20">
        <f t="shared" si="40"/>
        <v>1.835181264063559E-3</v>
      </c>
      <c r="O107" s="21">
        <f t="shared" si="41"/>
        <v>1.3585769075392357E-2</v>
      </c>
      <c r="P107" s="24">
        <f t="shared" si="42"/>
        <v>125.66678179289875</v>
      </c>
      <c r="Q107" s="24">
        <f t="shared" si="43"/>
        <v>1.707279877886043</v>
      </c>
      <c r="R107" s="10">
        <v>125.67</v>
      </c>
      <c r="S107" s="10">
        <v>125.67</v>
      </c>
      <c r="T107" s="17">
        <v>209</v>
      </c>
      <c r="U107" s="10">
        <v>419250855.80999994</v>
      </c>
      <c r="V107" s="10">
        <v>501870532.05999988</v>
      </c>
    </row>
    <row r="108" spans="1:23">
      <c r="A108" s="63">
        <v>98</v>
      </c>
      <c r="B108" s="78" t="s">
        <v>241</v>
      </c>
      <c r="C108" s="78" t="s">
        <v>242</v>
      </c>
      <c r="D108" s="10">
        <v>108814294.65000001</v>
      </c>
      <c r="E108" s="10">
        <v>2566704.62</v>
      </c>
      <c r="F108" s="10">
        <v>0</v>
      </c>
      <c r="G108" s="10">
        <v>466539.55</v>
      </c>
      <c r="H108" s="12">
        <v>2993315.04</v>
      </c>
      <c r="I108" s="10">
        <f>116960221.49-2995882.85</f>
        <v>113964338.64</v>
      </c>
      <c r="J108" s="13">
        <f t="shared" si="31"/>
        <v>4.9520635391684796E-4</v>
      </c>
      <c r="K108" s="10">
        <v>107662547.7</v>
      </c>
      <c r="L108" s="13">
        <f t="shared" si="38"/>
        <v>4.4614100079920461E-4</v>
      </c>
      <c r="M108" s="13">
        <f t="shared" si="39"/>
        <v>-5.5296165583048021E-2</v>
      </c>
      <c r="N108" s="20">
        <f t="shared" si="40"/>
        <v>4.3333504544217655E-3</v>
      </c>
      <c r="O108" s="21">
        <f t="shared" si="41"/>
        <v>2.7802751318321255E-2</v>
      </c>
      <c r="P108" s="24">
        <f t="shared" si="42"/>
        <v>114.84038991333031</v>
      </c>
      <c r="Q108" s="24">
        <f t="shared" si="43"/>
        <v>3.1928788020593712</v>
      </c>
      <c r="R108" s="10">
        <v>114.84</v>
      </c>
      <c r="S108" s="10">
        <v>114.84</v>
      </c>
      <c r="T108" s="17">
        <v>82</v>
      </c>
      <c r="U108" s="10">
        <v>947851.65</v>
      </c>
      <c r="V108" s="10">
        <v>937497.23230000003</v>
      </c>
    </row>
    <row r="109" spans="1:23">
      <c r="A109" s="63">
        <v>99</v>
      </c>
      <c r="B109" s="78" t="s">
        <v>292</v>
      </c>
      <c r="C109" s="78" t="s">
        <v>291</v>
      </c>
      <c r="D109" s="10">
        <v>316284267.76999998</v>
      </c>
      <c r="E109" s="10">
        <v>5151822.46</v>
      </c>
      <c r="F109" s="10"/>
      <c r="G109" s="10">
        <v>604079.51</v>
      </c>
      <c r="H109" s="12">
        <f t="shared" si="30"/>
        <v>4547742.95</v>
      </c>
      <c r="I109" s="10">
        <v>336282866.51999998</v>
      </c>
      <c r="J109" s="13">
        <f t="shared" si="31"/>
        <v>1.4612414216707049E-3</v>
      </c>
      <c r="K109" s="10">
        <v>347183604.22000003</v>
      </c>
      <c r="L109" s="13">
        <f t="shared" si="38"/>
        <v>1.4386882342724439E-3</v>
      </c>
      <c r="M109" s="13">
        <f t="shared" si="39"/>
        <v>3.2415382361895444E-2</v>
      </c>
      <c r="N109" s="20">
        <f t="shared" si="40"/>
        <v>1.739942504938144E-3</v>
      </c>
      <c r="O109" s="21">
        <f t="shared" si="41"/>
        <v>1.3098956559936595E-2</v>
      </c>
      <c r="P109" s="24">
        <f t="shared" si="42"/>
        <v>1.3825691236218947</v>
      </c>
      <c r="Q109" s="24">
        <f t="shared" si="43"/>
        <v>1.811021289143281E-2</v>
      </c>
      <c r="R109" s="10">
        <v>1.3826000000000001</v>
      </c>
      <c r="S109" s="10">
        <v>1.3826000000000001</v>
      </c>
      <c r="T109" s="17">
        <v>533</v>
      </c>
      <c r="U109" s="10">
        <v>347695922.5</v>
      </c>
      <c r="V109" s="10">
        <v>251114825.5</v>
      </c>
    </row>
    <row r="110" spans="1:23">
      <c r="A110" s="63">
        <v>100</v>
      </c>
      <c r="B110" s="86" t="s">
        <v>129</v>
      </c>
      <c r="C110" s="86" t="s">
        <v>94</v>
      </c>
      <c r="D110" s="10">
        <v>1924531193.3800001</v>
      </c>
      <c r="E110" s="10">
        <v>19092758.309999999</v>
      </c>
      <c r="F110" s="10">
        <v>0</v>
      </c>
      <c r="G110" s="10">
        <v>3385173.22</v>
      </c>
      <c r="H110" s="12">
        <f t="shared" si="30"/>
        <v>15707585.089999998</v>
      </c>
      <c r="I110" s="10">
        <v>1942235521.8399999</v>
      </c>
      <c r="J110" s="13">
        <f t="shared" si="31"/>
        <v>8.4395468152226958E-3</v>
      </c>
      <c r="K110" s="10">
        <v>1960515279.8</v>
      </c>
      <c r="L110" s="13">
        <f t="shared" si="38"/>
        <v>8.1241459328024491E-3</v>
      </c>
      <c r="M110" s="13">
        <f t="shared" si="39"/>
        <v>9.4117102454611135E-3</v>
      </c>
      <c r="N110" s="20">
        <f t="shared" si="40"/>
        <v>1.7266752546531213E-3</v>
      </c>
      <c r="O110" s="21">
        <f t="shared" si="41"/>
        <v>8.0119676963713287E-3</v>
      </c>
      <c r="P110" s="24">
        <f t="shared" si="42"/>
        <v>29.848066049308837</v>
      </c>
      <c r="Q110" s="24">
        <f t="shared" si="43"/>
        <v>0.23914174098622021</v>
      </c>
      <c r="R110" s="10">
        <v>29.848099999999999</v>
      </c>
      <c r="S110" s="10">
        <v>29.848099999999999</v>
      </c>
      <c r="T110" s="16">
        <v>1292</v>
      </c>
      <c r="U110" s="10">
        <v>65595527.909999996</v>
      </c>
      <c r="V110" s="10">
        <v>65683159.390000001</v>
      </c>
    </row>
    <row r="111" spans="1:23">
      <c r="A111" s="129" t="s">
        <v>51</v>
      </c>
      <c r="B111" s="129"/>
      <c r="C111" s="129"/>
      <c r="D111" s="129"/>
      <c r="E111" s="129"/>
      <c r="F111" s="129"/>
      <c r="G111" s="129"/>
      <c r="H111" s="129"/>
      <c r="I111" s="36">
        <f>SUM(I72:I110)</f>
        <v>230135049234.72003</v>
      </c>
      <c r="J111" s="34">
        <f>(I111/$I$237)</f>
        <v>3.3631836204110491E-2</v>
      </c>
      <c r="K111" s="36">
        <f>SUM(K72:K110)</f>
        <v>241319554820.41843</v>
      </c>
      <c r="L111" s="34">
        <f>(K111/$K$237)</f>
        <v>3.3369671268081873E-2</v>
      </c>
      <c r="M111" s="34">
        <f t="shared" si="33"/>
        <v>4.8599748812233549E-2</v>
      </c>
      <c r="N111" s="20"/>
      <c r="O111" s="20"/>
      <c r="P111" s="37"/>
      <c r="Q111" s="37"/>
      <c r="R111" s="36"/>
      <c r="S111" s="36"/>
      <c r="T111" s="36">
        <f>SUM(T72:T110)</f>
        <v>50676</v>
      </c>
      <c r="U111" s="36"/>
      <c r="V111" s="10"/>
    </row>
    <row r="112" spans="1:23" ht="7.05" customHeigh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5"/>
    </row>
    <row r="113" spans="1:24">
      <c r="A113" s="128" t="s">
        <v>130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</row>
    <row r="114" spans="1:24">
      <c r="A114" s="139" t="s">
        <v>131</v>
      </c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</row>
    <row r="115" spans="1:24">
      <c r="A115" s="77">
        <v>101</v>
      </c>
      <c r="B115" s="19" t="s">
        <v>132</v>
      </c>
      <c r="C115" s="19" t="s">
        <v>22</v>
      </c>
      <c r="D115" s="17">
        <v>2784047911.3600001</v>
      </c>
      <c r="E115" s="17">
        <v>18616857.100000001</v>
      </c>
      <c r="F115" s="17">
        <v>144631979.59999999</v>
      </c>
      <c r="G115" s="17">
        <v>5447264.1900000004</v>
      </c>
      <c r="H115" s="12">
        <f t="shared" ref="H115:H131" si="46">(E115+F115)-G115</f>
        <v>157801572.50999999</v>
      </c>
      <c r="I115" s="29">
        <v>2893560864.6199999</v>
      </c>
      <c r="J115" s="13">
        <f t="shared" ref="J115:J131" si="47">(I115/$I$153)</f>
        <v>1.4982065597929028E-3</v>
      </c>
      <c r="K115" s="29">
        <v>2761396350.1500001</v>
      </c>
      <c r="L115" s="13">
        <f t="shared" ref="L115" si="48">(K115/$K$153)</f>
        <v>1.4582856819730797E-3</v>
      </c>
      <c r="M115" s="13">
        <f t="shared" ref="M115" si="49">((K115-I115)/I115)</f>
        <v>-4.5675387750088489E-2</v>
      </c>
      <c r="N115" s="20">
        <f t="shared" ref="N115" si="50">(G115/K115)</f>
        <v>1.9726484355294025E-3</v>
      </c>
      <c r="O115" s="21">
        <f t="shared" ref="O115" si="51">H115/K115</f>
        <v>5.7145571479236636E-2</v>
      </c>
      <c r="P115" s="24">
        <f t="shared" ref="P115" si="52">K115/V115</f>
        <v>162073.56004430121</v>
      </c>
      <c r="Q115" s="24">
        <f t="shared" ref="Q115" si="53">H115/V115</f>
        <v>9261.7862104059659</v>
      </c>
      <c r="R115" s="10">
        <f>114.04*FX_RATE</f>
        <v>162134.57957200002</v>
      </c>
      <c r="S115" s="10">
        <f>114.04*FX_RATE</f>
        <v>162134.57957200002</v>
      </c>
      <c r="T115" s="10">
        <v>192</v>
      </c>
      <c r="U115" s="10">
        <v>17289.82</v>
      </c>
      <c r="V115" s="10">
        <v>17037.919999999998</v>
      </c>
    </row>
    <row r="116" spans="1:24">
      <c r="A116" s="77">
        <v>102</v>
      </c>
      <c r="B116" s="78" t="s">
        <v>230</v>
      </c>
      <c r="C116" s="79" t="s">
        <v>55</v>
      </c>
      <c r="D116" s="17">
        <f>3743225.52*C239</f>
        <v>5321872114.4193363</v>
      </c>
      <c r="E116" s="17">
        <f>39289.37*FX_RATE</f>
        <v>55859044.95439101</v>
      </c>
      <c r="F116" s="17">
        <v>0</v>
      </c>
      <c r="G116" s="17">
        <f>6546.5*C239</f>
        <v>9307383.5949499998</v>
      </c>
      <c r="H116" s="12">
        <f t="shared" si="46"/>
        <v>46551661.359441012</v>
      </c>
      <c r="I116" s="29">
        <v>5576405996.4889708</v>
      </c>
      <c r="J116" s="13">
        <f t="shared" si="47"/>
        <v>2.8873102847641096E-3</v>
      </c>
      <c r="K116" s="29">
        <f>3743139.58*FX_RATE</f>
        <v>5321749930.5735941</v>
      </c>
      <c r="L116" s="13">
        <f t="shared" ref="L116:L131" si="54">(K116/$K$153)</f>
        <v>2.8104012400737557E-3</v>
      </c>
      <c r="M116" s="13">
        <f t="shared" ref="M116:M131" si="55">((K116-I116)/I116)</f>
        <v>-4.5666701111022723E-2</v>
      </c>
      <c r="N116" s="20">
        <f t="shared" ref="N116:N131" si="56">(G116/K116)</f>
        <v>1.7489329104847327E-3</v>
      </c>
      <c r="O116" s="21">
        <f t="shared" ref="O116:O131" si="57">H116/K116</f>
        <v>8.7474349540553348E-3</v>
      </c>
      <c r="P116" s="24">
        <f t="shared" ref="P116:P131" si="58">K116/V116</f>
        <v>150023.5654224141</v>
      </c>
      <c r="Q116" s="24">
        <f t="shared" ref="Q116:Q131" si="59">H116/V116</f>
        <v>1312.3213801080324</v>
      </c>
      <c r="R116" s="10">
        <f>100*C239</f>
        <v>142173.43</v>
      </c>
      <c r="S116" s="10">
        <f>100*C239</f>
        <v>142173.43</v>
      </c>
      <c r="T116" s="10">
        <v>90</v>
      </c>
      <c r="U116" s="10">
        <v>36153.21</v>
      </c>
      <c r="V116" s="10">
        <v>35472.76</v>
      </c>
    </row>
    <row r="117" spans="1:24" ht="13.05" customHeight="1">
      <c r="A117" s="77">
        <v>103</v>
      </c>
      <c r="B117" s="19" t="s">
        <v>133</v>
      </c>
      <c r="C117" s="86" t="s">
        <v>26</v>
      </c>
      <c r="D117" s="17">
        <f>7611791.44*FX_RATE</f>
        <v>10821944974.694393</v>
      </c>
      <c r="E117" s="17">
        <f>72482.63*FX_RATE</f>
        <v>103051041.22520901</v>
      </c>
      <c r="F117" s="17">
        <f>6276.6*C239</f>
        <v>8923657.5073800012</v>
      </c>
      <c r="G117" s="17">
        <f>19029.8*FX_RATE</f>
        <v>27055319.382139999</v>
      </c>
      <c r="H117" s="12">
        <f t="shared" si="46"/>
        <v>84919379.350449011</v>
      </c>
      <c r="I117" s="29">
        <v>16938404812.755299</v>
      </c>
      <c r="J117" s="13">
        <f t="shared" si="47"/>
        <v>8.7702420616717729E-3</v>
      </c>
      <c r="K117" s="29">
        <f>11643411*FX_RATE</f>
        <v>16553836787.6973</v>
      </c>
      <c r="L117" s="13">
        <f t="shared" si="54"/>
        <v>8.7420348650446011E-3</v>
      </c>
      <c r="M117" s="13">
        <f t="shared" si="55"/>
        <v>-2.2703910392341285E-2</v>
      </c>
      <c r="N117" s="20">
        <f t="shared" si="56"/>
        <v>1.6343836011629238E-3</v>
      </c>
      <c r="O117" s="21">
        <f t="shared" si="57"/>
        <v>5.1298910602743482E-3</v>
      </c>
      <c r="P117" s="24">
        <f t="shared" si="58"/>
        <v>1721.5581354716855</v>
      </c>
      <c r="Q117" s="24">
        <f t="shared" si="59"/>
        <v>8.8314056888987746</v>
      </c>
      <c r="R117" s="10">
        <f>1.2109*FX_RATE</f>
        <v>1721.5780638700003</v>
      </c>
      <c r="S117" s="10">
        <f>1.2109*FX_RATE</f>
        <v>1721.5780638700003</v>
      </c>
      <c r="T117" s="10">
        <v>323</v>
      </c>
      <c r="U117" s="10">
        <v>9530773</v>
      </c>
      <c r="V117" s="10">
        <v>9615613</v>
      </c>
    </row>
    <row r="118" spans="1:24" ht="13.05" customHeight="1">
      <c r="A118" s="77">
        <v>104</v>
      </c>
      <c r="B118" s="19" t="s">
        <v>270</v>
      </c>
      <c r="C118" s="86" t="s">
        <v>26</v>
      </c>
      <c r="D118" s="17">
        <f>1730486.83*FX_RATE</f>
        <v>2460292481.9092693</v>
      </c>
      <c r="E118" s="17">
        <f>18055.88*FX_RATE</f>
        <v>25670663.912684001</v>
      </c>
      <c r="F118" s="17">
        <f>396*FX_RATE</f>
        <v>563006.78280000004</v>
      </c>
      <c r="G118" s="17">
        <f>7215.94*FX_RATE</f>
        <v>10259149.404742001</v>
      </c>
      <c r="H118" s="12">
        <f t="shared" si="46"/>
        <v>15974521.290742001</v>
      </c>
      <c r="I118" s="29">
        <v>4231120490.0712996</v>
      </c>
      <c r="J118" s="13">
        <f t="shared" si="47"/>
        <v>2.1907582975039552E-3</v>
      </c>
      <c r="K118" s="29">
        <f>2820455*FX_RATE</f>
        <v>4009937615.1065001</v>
      </c>
      <c r="L118" s="13">
        <f t="shared" si="54"/>
        <v>2.1176368286998865E-3</v>
      </c>
      <c r="M118" s="13">
        <f t="shared" si="55"/>
        <v>-5.2275248479409814E-2</v>
      </c>
      <c r="N118" s="20">
        <f t="shared" si="56"/>
        <v>2.5584311751118173E-3</v>
      </c>
      <c r="O118" s="21">
        <f t="shared" si="57"/>
        <v>3.9837331210744367E-3</v>
      </c>
      <c r="P118" s="24">
        <f t="shared" si="58"/>
        <v>1480.9244418033804</v>
      </c>
      <c r="Q118" s="24">
        <f t="shared" si="59"/>
        <v>5.8996077486207987</v>
      </c>
      <c r="R118" s="10">
        <f>1.0416*FX_RATE</f>
        <v>1480.8784468800002</v>
      </c>
      <c r="S118" s="10">
        <f>1.0416*FX_RATE</f>
        <v>1480.8784468800002</v>
      </c>
      <c r="T118" s="10">
        <v>96</v>
      </c>
      <c r="U118" s="10">
        <v>2763341</v>
      </c>
      <c r="V118" s="10">
        <v>2707726</v>
      </c>
    </row>
    <row r="119" spans="1:24" ht="13.05" customHeight="1">
      <c r="A119" s="77">
        <v>105</v>
      </c>
      <c r="B119" s="79" t="s">
        <v>235</v>
      </c>
      <c r="C119" s="79" t="s">
        <v>103</v>
      </c>
      <c r="D119" s="17">
        <f>26068072.94*FX_RATE</f>
        <v>37061873433.699844</v>
      </c>
      <c r="E119" s="17">
        <f>242472.68*FX_RATE</f>
        <v>344731725.96892399</v>
      </c>
      <c r="F119" s="17">
        <v>0</v>
      </c>
      <c r="G119" s="17">
        <f>32876.95*FX_RATE</f>
        <v>46742287.494384997</v>
      </c>
      <c r="H119" s="12">
        <f t="shared" si="46"/>
        <v>297989438.47453898</v>
      </c>
      <c r="I119" s="29">
        <v>31502458194.210392</v>
      </c>
      <c r="J119" s="13">
        <f t="shared" si="47"/>
        <v>1.6311109986748427E-2</v>
      </c>
      <c r="K119" s="29">
        <f>26029740.6*FX_RATE</f>
        <v>37007375031.122581</v>
      </c>
      <c r="L119" s="13">
        <f t="shared" si="54"/>
        <v>1.9543491151627904E-2</v>
      </c>
      <c r="M119" s="13">
        <f t="shared" si="55"/>
        <v>0.17474562788004583</v>
      </c>
      <c r="N119" s="20">
        <f t="shared" si="56"/>
        <v>1.2630533091059692E-3</v>
      </c>
      <c r="O119" s="21">
        <f t="shared" si="57"/>
        <v>8.0521636085762599E-3</v>
      </c>
      <c r="P119" s="24">
        <f t="shared" si="58"/>
        <v>1558.7384462130756</v>
      </c>
      <c r="Q119" s="24">
        <f t="shared" si="59"/>
        <v>12.55121699188563</v>
      </c>
      <c r="R119" s="10">
        <f>1.0954*FX_RATE</f>
        <v>1557.3677522200001</v>
      </c>
      <c r="S119" s="10">
        <f>1.0954*FX_RATE</f>
        <v>1557.3677522200001</v>
      </c>
      <c r="T119" s="10">
        <v>580</v>
      </c>
      <c r="U119" s="10">
        <v>18883730.149999999</v>
      </c>
      <c r="V119" s="10">
        <v>23741876.079999998</v>
      </c>
    </row>
    <row r="120" spans="1:24" ht="13.05" customHeight="1">
      <c r="A120" s="77">
        <v>106</v>
      </c>
      <c r="B120" s="78" t="s">
        <v>236</v>
      </c>
      <c r="C120" s="79" t="s">
        <v>214</v>
      </c>
      <c r="D120" s="17">
        <f>938163.74*FX_RATE</f>
        <v>1333819568.1742821</v>
      </c>
      <c r="E120" s="17">
        <f>4798.7*FX_RATE</f>
        <v>6822476.3854099996</v>
      </c>
      <c r="F120" s="17">
        <v>0</v>
      </c>
      <c r="G120" s="17">
        <f>1695.86*FX_RATE</f>
        <v>2411062.3299980001</v>
      </c>
      <c r="H120" s="12">
        <f t="shared" si="46"/>
        <v>4411414.055412</v>
      </c>
      <c r="I120" s="29">
        <v>1310207383.450357</v>
      </c>
      <c r="J120" s="13">
        <f t="shared" si="47"/>
        <v>6.7838949599292712E-4</v>
      </c>
      <c r="K120" s="29">
        <f>928542.69*FX_RATE</f>
        <v>1320140991.3872669</v>
      </c>
      <c r="L120" s="13">
        <f t="shared" si="54"/>
        <v>6.97162761811148E-4</v>
      </c>
      <c r="M120" s="13">
        <f t="shared" si="55"/>
        <v>7.5817065774353371E-3</v>
      </c>
      <c r="N120" s="20">
        <f t="shared" si="56"/>
        <v>1.8263672938936175E-3</v>
      </c>
      <c r="O120" s="21">
        <f t="shared" si="57"/>
        <v>3.3416234206743909E-3</v>
      </c>
      <c r="P120" s="24">
        <f t="shared" si="58"/>
        <v>1580.7343046043129</v>
      </c>
      <c r="Q120" s="24">
        <f t="shared" si="59"/>
        <v>5.2822187741292179</v>
      </c>
      <c r="R120" s="10">
        <f>1.1118*FX_RATE</f>
        <v>1580.6841947399998</v>
      </c>
      <c r="S120" s="10">
        <f>1.1169*C239</f>
        <v>1587.9350396700002</v>
      </c>
      <c r="T120" s="10">
        <v>61</v>
      </c>
      <c r="U120" s="10">
        <v>804611.45</v>
      </c>
      <c r="V120" s="10">
        <v>835144.14</v>
      </c>
    </row>
    <row r="121" spans="1:24" ht="13.05" customHeight="1">
      <c r="A121" s="77">
        <v>107</v>
      </c>
      <c r="B121" s="78" t="s">
        <v>237</v>
      </c>
      <c r="C121" s="79" t="s">
        <v>48</v>
      </c>
      <c r="D121" s="17">
        <f>817105.48*FX_RATE</f>
        <v>1161706887.6339641</v>
      </c>
      <c r="E121" s="17">
        <f>5633.65*FX_RATE</f>
        <v>8009553.4391949996</v>
      </c>
      <c r="F121" s="17">
        <v>0</v>
      </c>
      <c r="G121" s="17">
        <f>1633.31*FX_RATE</f>
        <v>2322132.849533</v>
      </c>
      <c r="H121" s="12">
        <f t="shared" si="46"/>
        <v>5687420.5896619996</v>
      </c>
      <c r="I121" s="29">
        <v>1145404023.12679</v>
      </c>
      <c r="J121" s="13">
        <f t="shared" si="47"/>
        <v>5.9305883005405559E-4</v>
      </c>
      <c r="K121" s="29">
        <f>797542.78*FX_RATE</f>
        <v>1133893926.043354</v>
      </c>
      <c r="L121" s="13">
        <f t="shared" si="54"/>
        <v>5.988062080025E-4</v>
      </c>
      <c r="M121" s="13">
        <f t="shared" si="55"/>
        <v>-1.0048940680350575E-2</v>
      </c>
      <c r="N121" s="20">
        <f t="shared" si="56"/>
        <v>2.0479277613170794E-3</v>
      </c>
      <c r="O121" s="21">
        <f t="shared" si="57"/>
        <v>5.015831251083484E-3</v>
      </c>
      <c r="P121" s="24">
        <f t="shared" si="58"/>
        <v>1959.1217545548079</v>
      </c>
      <c r="Q121" s="24">
        <f t="shared" si="59"/>
        <v>9.8266241211735128</v>
      </c>
      <c r="R121" s="10">
        <f>1.378*FX_RATE</f>
        <v>1959.1498654</v>
      </c>
      <c r="S121" s="10">
        <f>1.378*FX_RATE</f>
        <v>1959.1498654</v>
      </c>
      <c r="T121" s="10">
        <v>54</v>
      </c>
      <c r="U121" s="10">
        <v>573321.79</v>
      </c>
      <c r="V121" s="10">
        <v>578776.65</v>
      </c>
    </row>
    <row r="122" spans="1:24" ht="13.05" customHeight="1">
      <c r="A122" s="77">
        <v>108</v>
      </c>
      <c r="B122" s="78" t="s">
        <v>238</v>
      </c>
      <c r="C122" s="79" t="s">
        <v>168</v>
      </c>
      <c r="D122" s="17">
        <f>544261.46*FX_RATE</f>
        <v>773795185.85007799</v>
      </c>
      <c r="E122" s="17">
        <f>9210.81*FX_RATE</f>
        <v>13095324.507782999</v>
      </c>
      <c r="F122" s="17">
        <v>0</v>
      </c>
      <c r="G122" s="17">
        <f>2596.47*FX_RATE</f>
        <v>3691490.4579209997</v>
      </c>
      <c r="H122" s="12">
        <f t="shared" si="46"/>
        <v>9403834.0498619992</v>
      </c>
      <c r="I122" s="29">
        <v>2220855132.6838379</v>
      </c>
      <c r="J122" s="13">
        <f t="shared" si="47"/>
        <v>1.1498979575028309E-3</v>
      </c>
      <c r="K122" s="29">
        <f>1461025.87*FX_RATE</f>
        <v>2077190592.5663412</v>
      </c>
      <c r="L122" s="13">
        <f t="shared" si="54"/>
        <v>1.0969585368301542E-3</v>
      </c>
      <c r="M122" s="13">
        <f t="shared" si="55"/>
        <v>-6.4688838998643902E-2</v>
      </c>
      <c r="N122" s="20">
        <f t="shared" si="56"/>
        <v>1.7771553901369313E-3</v>
      </c>
      <c r="O122" s="21">
        <f t="shared" si="57"/>
        <v>4.5271888306810055E-3</v>
      </c>
      <c r="P122" s="24">
        <f t="shared" si="58"/>
        <v>151930.26569385175</v>
      </c>
      <c r="Q122" s="24">
        <f t="shared" si="59"/>
        <v>687.81700189160324</v>
      </c>
      <c r="R122" s="10">
        <f>107.69*FX_RATE</f>
        <v>153106.56676700001</v>
      </c>
      <c r="S122" s="10">
        <f>106.06*FX_RATE</f>
        <v>150789.13985800001</v>
      </c>
      <c r="T122" s="10">
        <v>105</v>
      </c>
      <c r="U122" s="10">
        <v>13987</v>
      </c>
      <c r="V122" s="10">
        <v>13672</v>
      </c>
    </row>
    <row r="123" spans="1:24" ht="15" customHeight="1">
      <c r="A123" s="77">
        <v>109</v>
      </c>
      <c r="B123" s="19" t="s">
        <v>134</v>
      </c>
      <c r="C123" s="86" t="s">
        <v>69</v>
      </c>
      <c r="D123" s="17">
        <f>3255384.27*FX_RATE</f>
        <v>4628291476.3394613</v>
      </c>
      <c r="E123" s="17">
        <f>24306.18*FX_RATE</f>
        <v>34556929.807974003</v>
      </c>
      <c r="F123" s="17">
        <v>0</v>
      </c>
      <c r="G123" s="17">
        <f>5599.71*FX_RATE</f>
        <v>7961299.7770530004</v>
      </c>
      <c r="H123" s="12">
        <f t="shared" si="46"/>
        <v>26595630.030921005</v>
      </c>
      <c r="I123" s="29">
        <v>4762042628.3106041</v>
      </c>
      <c r="J123" s="13">
        <f t="shared" si="47"/>
        <v>2.4656552384929122E-3</v>
      </c>
      <c r="K123" s="29">
        <f>3233136.33*FX_RATE</f>
        <v>4596660816.9371195</v>
      </c>
      <c r="L123" s="13">
        <f t="shared" si="54"/>
        <v>2.4274837090524719E-3</v>
      </c>
      <c r="M123" s="13">
        <f t="shared" si="55"/>
        <v>-3.4729174911261963E-2</v>
      </c>
      <c r="N123" s="20">
        <f t="shared" si="56"/>
        <v>1.7319745994131958E-3</v>
      </c>
      <c r="O123" s="21">
        <f t="shared" si="57"/>
        <v>5.7858587113770116E-3</v>
      </c>
      <c r="P123" s="24">
        <f t="shared" si="58"/>
        <v>162083.28236120686</v>
      </c>
      <c r="Q123" s="24">
        <f t="shared" si="59"/>
        <v>937.79097121816869</v>
      </c>
      <c r="R123" s="10">
        <f>115.87*FX_RATE</f>
        <v>164736.35334100001</v>
      </c>
      <c r="S123" s="10">
        <f>115.87*FX_RATE</f>
        <v>164736.35334100001</v>
      </c>
      <c r="T123" s="10">
        <v>55</v>
      </c>
      <c r="U123" s="10">
        <v>28442.03</v>
      </c>
      <c r="V123" s="10">
        <v>28359.87</v>
      </c>
    </row>
    <row r="124" spans="1:24" ht="15" customHeight="1">
      <c r="A124" s="77">
        <v>110</v>
      </c>
      <c r="B124" s="19" t="s">
        <v>321</v>
      </c>
      <c r="C124" s="19" t="s">
        <v>135</v>
      </c>
      <c r="D124" s="17">
        <v>55478073491.650002</v>
      </c>
      <c r="E124" s="17">
        <v>430508068.56</v>
      </c>
      <c r="F124" s="17">
        <v>0</v>
      </c>
      <c r="G124" s="17">
        <v>90799343.840000004</v>
      </c>
      <c r="H124" s="12">
        <f t="shared" si="46"/>
        <v>339708724.72000003</v>
      </c>
      <c r="I124" s="29">
        <v>57247877352.779999</v>
      </c>
      <c r="J124" s="13">
        <f t="shared" si="47"/>
        <v>2.9641382848678486E-2</v>
      </c>
      <c r="K124" s="29">
        <v>55163967823.629997</v>
      </c>
      <c r="L124" s="13">
        <f t="shared" si="54"/>
        <v>2.9131936975890296E-2</v>
      </c>
      <c r="M124" s="13">
        <f t="shared" si="55"/>
        <v>-3.6401516100034149E-2</v>
      </c>
      <c r="N124" s="20">
        <f t="shared" si="56"/>
        <v>1.6459900805232733E-3</v>
      </c>
      <c r="O124" s="21">
        <f t="shared" si="57"/>
        <v>6.1581633468809809E-3</v>
      </c>
      <c r="P124" s="24">
        <f t="shared" si="58"/>
        <v>180319.06603151804</v>
      </c>
      <c r="Q124" s="24">
        <f t="shared" si="59"/>
        <v>1110.4342631791058</v>
      </c>
      <c r="R124" s="10">
        <f>126.38*C239</f>
        <v>179678.780834</v>
      </c>
      <c r="S124" s="10">
        <f>126.38*C239</f>
        <v>179678.780834</v>
      </c>
      <c r="T124" s="10">
        <v>2517</v>
      </c>
      <c r="U124" s="10">
        <v>288390.13</v>
      </c>
      <c r="V124" s="10">
        <v>305924.21000000002</v>
      </c>
    </row>
    <row r="125" spans="1:24">
      <c r="A125" s="77">
        <v>111</v>
      </c>
      <c r="B125" s="19" t="s">
        <v>136</v>
      </c>
      <c r="C125" s="19" t="s">
        <v>135</v>
      </c>
      <c r="D125" s="17">
        <v>167459349190.91</v>
      </c>
      <c r="E125" s="17">
        <v>1350740264.8900001</v>
      </c>
      <c r="F125" s="17">
        <v>0</v>
      </c>
      <c r="G125" s="17">
        <v>266277271.50999999</v>
      </c>
      <c r="H125" s="12">
        <f t="shared" si="46"/>
        <v>1084462993.3800001</v>
      </c>
      <c r="I125" s="29">
        <v>166668235416.79001</v>
      </c>
      <c r="J125" s="13">
        <f t="shared" si="47"/>
        <v>8.6296247182391719E-2</v>
      </c>
      <c r="K125" s="29">
        <v>165351687334.54001</v>
      </c>
      <c r="L125" s="13">
        <f t="shared" si="54"/>
        <v>8.7321763178600145E-2</v>
      </c>
      <c r="M125" s="13">
        <f t="shared" si="55"/>
        <v>-7.8992141421410419E-3</v>
      </c>
      <c r="N125" s="20">
        <f t="shared" si="56"/>
        <v>1.610369242687358E-3</v>
      </c>
      <c r="O125" s="21">
        <f t="shared" si="57"/>
        <v>6.5585239005508996E-3</v>
      </c>
      <c r="P125" s="24">
        <f t="shared" si="58"/>
        <v>175241.04600735821</v>
      </c>
      <c r="Q125" s="24">
        <f t="shared" si="59"/>
        <v>1149.3225885967986</v>
      </c>
      <c r="R125" s="10">
        <f>122.82*C239</f>
        <v>174617.40672599999</v>
      </c>
      <c r="S125" s="10">
        <f>122.82*C239</f>
        <v>174617.40672599999</v>
      </c>
      <c r="T125" s="10">
        <v>977</v>
      </c>
      <c r="U125" s="10">
        <v>890610.25</v>
      </c>
      <c r="V125" s="10">
        <v>943567.11</v>
      </c>
    </row>
    <row r="126" spans="1:24">
      <c r="A126" s="77">
        <v>112</v>
      </c>
      <c r="B126" s="78" t="s">
        <v>272</v>
      </c>
      <c r="C126" s="79" t="s">
        <v>273</v>
      </c>
      <c r="D126" s="17">
        <f>1562536.99*FX_RATE</f>
        <v>2221512433.701757</v>
      </c>
      <c r="E126" s="17">
        <f>6962.2*FX_RATE</f>
        <v>9898398.5434600003</v>
      </c>
      <c r="F126" s="17">
        <v>0</v>
      </c>
      <c r="G126" s="17">
        <f>1938.89*FX_RATE</f>
        <v>2756586.4169270005</v>
      </c>
      <c r="H126" s="12">
        <f>(E126+F126)-G126</f>
        <v>7141812.1265329998</v>
      </c>
      <c r="I126" s="45">
        <v>2330532303.431108</v>
      </c>
      <c r="J126" s="13">
        <f t="shared" si="47"/>
        <v>1.2066857924097237E-3</v>
      </c>
      <c r="K126" s="29">
        <f>1590268.98*FX_RATE</f>
        <v>2260939955.0920143</v>
      </c>
      <c r="L126" s="13">
        <f t="shared" si="54"/>
        <v>1.1939960607728198E-3</v>
      </c>
      <c r="M126" s="13">
        <f t="shared" si="55"/>
        <v>-2.9861138692064852E-2</v>
      </c>
      <c r="N126" s="20">
        <f t="shared" si="56"/>
        <v>1.2192214174988184E-3</v>
      </c>
      <c r="O126" s="21">
        <f t="shared" si="57"/>
        <v>3.1587800951761E-3</v>
      </c>
      <c r="P126" s="24">
        <f t="shared" si="58"/>
        <v>150084.36778298157</v>
      </c>
      <c r="Q126" s="24">
        <f t="shared" si="59"/>
        <v>474.08351354997126</v>
      </c>
      <c r="R126" s="10">
        <f>1*FX_RATE</f>
        <v>1421.7343000000001</v>
      </c>
      <c r="S126" s="10">
        <f>1*FX_RATE</f>
        <v>1421.7343000000001</v>
      </c>
      <c r="T126" s="10">
        <v>16</v>
      </c>
      <c r="U126" s="10">
        <v>15064.46</v>
      </c>
      <c r="V126" s="10">
        <v>15064.46</v>
      </c>
    </row>
    <row r="127" spans="1:24" s="3" customFormat="1">
      <c r="A127" s="77">
        <v>113</v>
      </c>
      <c r="B127" s="78" t="s">
        <v>137</v>
      </c>
      <c r="C127" s="79" t="s">
        <v>138</v>
      </c>
      <c r="D127" s="17">
        <f>168668.68*FX_RATE</f>
        <v>239802047.691724</v>
      </c>
      <c r="E127" s="17">
        <v>0</v>
      </c>
      <c r="F127" s="17">
        <v>0</v>
      </c>
      <c r="G127" s="17">
        <f>4104.66*FX_RATE</f>
        <v>5835735.9118379997</v>
      </c>
      <c r="H127" s="12">
        <f t="shared" si="46"/>
        <v>-5835735.9118379997</v>
      </c>
      <c r="I127" s="29">
        <v>218637780.06440297</v>
      </c>
      <c r="J127" s="13">
        <f t="shared" si="47"/>
        <v>1.1320465393219378E-4</v>
      </c>
      <c r="K127" s="29">
        <f>156646.04*FX_RATE</f>
        <v>222709048.02717203</v>
      </c>
      <c r="L127" s="13">
        <f t="shared" si="54"/>
        <v>1.1761202478819749E-4</v>
      </c>
      <c r="M127" s="13">
        <f t="shared" si="55"/>
        <v>1.862106339338887E-2</v>
      </c>
      <c r="N127" s="20">
        <f t="shared" si="56"/>
        <v>2.6203407376273281E-2</v>
      </c>
      <c r="O127" s="21">
        <f t="shared" si="57"/>
        <v>-2.6203407376273281E-2</v>
      </c>
      <c r="P127" s="24">
        <f t="shared" si="58"/>
        <v>189433.21030499635</v>
      </c>
      <c r="Q127" s="24">
        <f t="shared" si="59"/>
        <v>-4963.7955802170691</v>
      </c>
      <c r="R127" s="10">
        <f>133.2403*FX_RATE</f>
        <v>189432.30465229001</v>
      </c>
      <c r="S127" s="10">
        <f>133.2403*FX_RATE</f>
        <v>189432.30465229001</v>
      </c>
      <c r="T127" s="10">
        <v>9</v>
      </c>
      <c r="U127" s="10">
        <v>1123.01</v>
      </c>
      <c r="V127" s="10">
        <v>1175.6600000000001</v>
      </c>
      <c r="W127" s="6"/>
      <c r="X127" s="6"/>
    </row>
    <row r="128" spans="1:24">
      <c r="A128" s="77">
        <v>114</v>
      </c>
      <c r="B128" s="19" t="s">
        <v>139</v>
      </c>
      <c r="C128" s="19" t="s">
        <v>140</v>
      </c>
      <c r="D128" s="17">
        <f>10409169.3*FX_RATE</f>
        <v>14799073028.316992</v>
      </c>
      <c r="E128" s="17">
        <f>61974.26*FX_RATE</f>
        <v>88110931.159118012</v>
      </c>
      <c r="F128" s="17">
        <v>0</v>
      </c>
      <c r="G128" s="17">
        <f>17639.45*FX_RATE</f>
        <v>25078611.098135002</v>
      </c>
      <c r="H128" s="12">
        <f t="shared" si="46"/>
        <v>63032320.06098301</v>
      </c>
      <c r="I128" s="29">
        <v>15417987113.334126</v>
      </c>
      <c r="J128" s="13">
        <f t="shared" si="47"/>
        <v>7.9830114218223548E-3</v>
      </c>
      <c r="K128" s="29">
        <f>10315167.9*FX_RATE</f>
        <v>14665428013.688971</v>
      </c>
      <c r="L128" s="13">
        <f t="shared" si="54"/>
        <v>7.7447714780994083E-3</v>
      </c>
      <c r="M128" s="13">
        <f t="shared" si="55"/>
        <v>-4.8810463656070259E-2</v>
      </c>
      <c r="N128" s="20">
        <f t="shared" si="56"/>
        <v>1.7100497220214903E-3</v>
      </c>
      <c r="O128" s="21">
        <f t="shared" si="57"/>
        <v>4.2980211693888189E-3</v>
      </c>
      <c r="P128" s="24">
        <f t="shared" si="58"/>
        <v>2057.3135556928573</v>
      </c>
      <c r="Q128" s="24">
        <f t="shared" si="59"/>
        <v>8.8423772144384838</v>
      </c>
      <c r="R128" s="10">
        <f>1.44*FX_RATE</f>
        <v>2047.2973919999999</v>
      </c>
      <c r="S128" s="10">
        <f>1.44*FX_RATE</f>
        <v>2047.2973919999999</v>
      </c>
      <c r="T128" s="10">
        <v>111</v>
      </c>
      <c r="U128" s="10">
        <v>7248111</v>
      </c>
      <c r="V128" s="10">
        <v>7128436</v>
      </c>
    </row>
    <row r="129" spans="1:22">
      <c r="A129" s="77">
        <v>115</v>
      </c>
      <c r="B129" s="19" t="s">
        <v>141</v>
      </c>
      <c r="C129" s="19" t="s">
        <v>50</v>
      </c>
      <c r="D129" s="17">
        <f>108563796*FX_RATE</f>
        <v>154348872511.4028</v>
      </c>
      <c r="E129" s="17">
        <f>730177*FX_RATE</f>
        <v>1038117685.9711001</v>
      </c>
      <c r="F129" s="17">
        <v>0</v>
      </c>
      <c r="G129" s="17">
        <f>168067*FX_RATE</f>
        <v>238946618.59810001</v>
      </c>
      <c r="H129" s="12">
        <f t="shared" si="46"/>
        <v>799171067.37300014</v>
      </c>
      <c r="I129" s="29">
        <v>172264390791.55249</v>
      </c>
      <c r="J129" s="13">
        <f t="shared" si="47"/>
        <v>8.9193783154281683E-2</v>
      </c>
      <c r="K129" s="29">
        <f>116908541*FX_RATE</f>
        <v>166212882702.65631</v>
      </c>
      <c r="L129" s="13">
        <f t="shared" si="54"/>
        <v>8.7776558041582173E-2</v>
      </c>
      <c r="M129" s="13">
        <f t="shared" si="55"/>
        <v>-3.5129187530223649E-2</v>
      </c>
      <c r="N129" s="20">
        <f t="shared" si="56"/>
        <v>1.4375938538143248E-3</v>
      </c>
      <c r="O129" s="21">
        <f t="shared" si="57"/>
        <v>4.8081174839056462E-3</v>
      </c>
      <c r="P129" s="24">
        <f t="shared" si="58"/>
        <v>175645.23189075419</v>
      </c>
      <c r="Q129" s="24">
        <f t="shared" si="59"/>
        <v>844.52291041859678</v>
      </c>
      <c r="R129" s="10">
        <f>123.5*FX_RATE</f>
        <v>175584.18605000002</v>
      </c>
      <c r="S129" s="10">
        <f>123.5*FX_RATE</f>
        <v>175584.18605000002</v>
      </c>
      <c r="T129" s="10">
        <v>969</v>
      </c>
      <c r="U129" s="10">
        <v>950644.94999999984</v>
      </c>
      <c r="V129" s="10">
        <v>946298.85999999987</v>
      </c>
    </row>
    <row r="130" spans="1:22" ht="13.95" customHeight="1">
      <c r="A130" s="77">
        <v>116</v>
      </c>
      <c r="B130" s="19" t="s">
        <v>142</v>
      </c>
      <c r="C130" s="19" t="s">
        <v>143</v>
      </c>
      <c r="D130" s="17">
        <v>32472341781.259998</v>
      </c>
      <c r="E130" s="17">
        <v>300219277.41000003</v>
      </c>
      <c r="F130" s="17">
        <v>46862696.670000002</v>
      </c>
      <c r="G130" s="17">
        <v>70552432.629999995</v>
      </c>
      <c r="H130" s="12">
        <f t="shared" si="46"/>
        <v>276529541.45000005</v>
      </c>
      <c r="I130" s="29">
        <v>34448298314.540001</v>
      </c>
      <c r="J130" s="13">
        <f t="shared" si="47"/>
        <v>1.783638531319591E-2</v>
      </c>
      <c r="K130" s="29">
        <v>34406468466.690002</v>
      </c>
      <c r="L130" s="13">
        <f t="shared" si="54"/>
        <v>1.8169959676200338E-2</v>
      </c>
      <c r="M130" s="13">
        <f t="shared" si="55"/>
        <v>-1.2142790760826306E-3</v>
      </c>
      <c r="N130" s="20">
        <f t="shared" si="56"/>
        <v>2.0505572287462183E-3</v>
      </c>
      <c r="O130" s="21">
        <f t="shared" si="57"/>
        <v>8.0371381828308556E-3</v>
      </c>
      <c r="P130" s="24">
        <f t="shared" si="58"/>
        <v>149608.95252848126</v>
      </c>
      <c r="Q130" s="24">
        <f t="shared" si="59"/>
        <v>1202.4278248599855</v>
      </c>
      <c r="R130" s="10">
        <v>149608.95000000001</v>
      </c>
      <c r="S130" s="10">
        <v>149608.95000000001</v>
      </c>
      <c r="T130" s="10">
        <v>786</v>
      </c>
      <c r="U130" s="10">
        <v>221405</v>
      </c>
      <c r="V130" s="10">
        <v>229976</v>
      </c>
    </row>
    <row r="131" spans="1:22">
      <c r="A131" s="77">
        <v>117</v>
      </c>
      <c r="B131" s="19" t="s">
        <v>144</v>
      </c>
      <c r="C131" s="19" t="s">
        <v>42</v>
      </c>
      <c r="D131" s="17">
        <f>1749706.21*FX_RATE</f>
        <v>2487617333.6800032</v>
      </c>
      <c r="E131" s="17">
        <f>35994.2*FX_RATE</f>
        <v>51174188.741059996</v>
      </c>
      <c r="F131" s="17">
        <v>0</v>
      </c>
      <c r="G131" s="17">
        <f>2498.34*FX_RATE</f>
        <v>3551975.6710620006</v>
      </c>
      <c r="H131" s="12">
        <f t="shared" si="46"/>
        <v>47622213.069997996</v>
      </c>
      <c r="I131" s="29">
        <v>2526575331.3911595</v>
      </c>
      <c r="J131" s="13">
        <f t="shared" si="47"/>
        <v>1.3081915025825025E-3</v>
      </c>
      <c r="K131" s="29">
        <f>1725500.99*FX_RATE</f>
        <v>2453203942.1669569</v>
      </c>
      <c r="L131" s="13">
        <f t="shared" si="54"/>
        <v>1.295530134103226E-3</v>
      </c>
      <c r="M131" s="13">
        <f t="shared" si="55"/>
        <v>-2.9039858148145362E-2</v>
      </c>
      <c r="N131" s="20">
        <f t="shared" si="56"/>
        <v>1.4478925335186278E-3</v>
      </c>
      <c r="O131" s="21">
        <f t="shared" si="57"/>
        <v>1.9412251974425119E-2</v>
      </c>
      <c r="P131" s="24">
        <f t="shared" si="58"/>
        <v>196370.52447038854</v>
      </c>
      <c r="Q131" s="24">
        <f t="shared" si="59"/>
        <v>3811.994101369196</v>
      </c>
      <c r="R131" s="10">
        <f>152.82*FX_RATE</f>
        <v>217269.435726</v>
      </c>
      <c r="S131" s="10">
        <f>158.61*FX_RATE</f>
        <v>225501.27732300005</v>
      </c>
      <c r="T131" s="10">
        <v>50</v>
      </c>
      <c r="U131" s="10">
        <v>12415.44</v>
      </c>
      <c r="V131" s="10">
        <v>12492.73</v>
      </c>
    </row>
    <row r="132" spans="1:22" ht="5.55" customHeight="1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>
      <c r="A133" s="139" t="s">
        <v>145</v>
      </c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</row>
    <row r="134" spans="1:22">
      <c r="A134" s="76">
        <v>118</v>
      </c>
      <c r="B134" s="25" t="s">
        <v>146</v>
      </c>
      <c r="C134" s="10" t="s">
        <v>101</v>
      </c>
      <c r="D134" s="43">
        <f>878745.6*FX_RATE</f>
        <v>1249342760.4940801</v>
      </c>
      <c r="E134" s="10">
        <f>6223.53*FX_RATE</f>
        <v>8848206.0680790003</v>
      </c>
      <c r="F134" s="10">
        <v>0</v>
      </c>
      <c r="G134" s="10">
        <f>1692.44*FX_RATE</f>
        <v>2406199.9986920003</v>
      </c>
      <c r="H134" s="12">
        <f>(E134+F134)-G134</f>
        <v>6442006.0693870001</v>
      </c>
      <c r="I134" s="10">
        <v>1528344504.408505</v>
      </c>
      <c r="J134" s="13">
        <f t="shared" ref="J134:J152" si="60">(I134/$I$153)</f>
        <v>7.9133492235317559E-4</v>
      </c>
      <c r="K134" s="10">
        <f>1020509.59*FX_RATE</f>
        <v>1450893487.5819371</v>
      </c>
      <c r="L134" s="13">
        <f t="shared" ref="L134" si="61">(K134/$K$153)</f>
        <v>7.6621278900936951E-4</v>
      </c>
      <c r="M134" s="13">
        <f t="shared" ref="M134:M153" si="62">((K134-I134)/I134)</f>
        <v>-5.0676412682586075E-2</v>
      </c>
      <c r="N134" s="20">
        <f t="shared" ref="N134" si="63">(G134/K134)</f>
        <v>1.6584263554054403E-3</v>
      </c>
      <c r="O134" s="21">
        <f t="shared" ref="O134" si="64">H134/K134</f>
        <v>4.440026869321238E-3</v>
      </c>
      <c r="P134" s="22">
        <f t="shared" ref="P134" si="65">K134/V134</f>
        <v>163003.42518615178</v>
      </c>
      <c r="Q134" s="22">
        <f t="shared" ref="Q134" si="66">H134/V134</f>
        <v>723.73958761790811</v>
      </c>
      <c r="R134" s="10">
        <f>113.7*FX_RATE</f>
        <v>161651.18991000002</v>
      </c>
      <c r="S134" s="10">
        <f>113.7*FX_RATE</f>
        <v>161651.18991000002</v>
      </c>
      <c r="T134" s="10">
        <v>24</v>
      </c>
      <c r="U134" s="17">
        <v>9053</v>
      </c>
      <c r="V134" s="17">
        <v>8901</v>
      </c>
    </row>
    <row r="135" spans="1:22">
      <c r="A135" s="76">
        <v>119</v>
      </c>
      <c r="B135" s="25" t="s">
        <v>147</v>
      </c>
      <c r="C135" s="10" t="s">
        <v>28</v>
      </c>
      <c r="D135" s="43">
        <f>10314649.21*FX_RATE</f>
        <v>14664690574.324905</v>
      </c>
      <c r="E135" s="10">
        <f>96997.06*FX_RATE</f>
        <v>137904047.20115802</v>
      </c>
      <c r="F135" s="10">
        <v>0</v>
      </c>
      <c r="G135" s="10">
        <f>14855.18*FX_RATE</f>
        <v>21120118.938674003</v>
      </c>
      <c r="H135" s="12">
        <f t="shared" ref="H135:H152" si="67">(E135+F135)-G135</f>
        <v>116783928.26248401</v>
      </c>
      <c r="I135" s="10">
        <v>22848721531.062748</v>
      </c>
      <c r="J135" s="13">
        <f t="shared" si="60"/>
        <v>1.183044217223166E-2</v>
      </c>
      <c r="K135" s="10">
        <f>18002701.51*FX_RATE</f>
        <v>25595058229.428795</v>
      </c>
      <c r="L135" s="13">
        <f t="shared" ref="L135:L152" si="68">(K135/$K$153)</f>
        <v>1.3516678597484113E-2</v>
      </c>
      <c r="M135" s="13">
        <f t="shared" ref="M135:M152" si="69">((K135-I135)/I135)</f>
        <v>0.12019651491801907</v>
      </c>
      <c r="N135" s="20">
        <f t="shared" ref="N135:N152" si="70">(G135/K135)</f>
        <v>8.2516393396559742E-4</v>
      </c>
      <c r="O135" s="21">
        <f t="shared" ref="O135:O152" si="71">H135/K135</f>
        <v>4.5627529820661903E-3</v>
      </c>
      <c r="P135" s="22">
        <f t="shared" ref="P135:P152" si="72">K135/V135</f>
        <v>191749.55302437162</v>
      </c>
      <c r="Q135" s="22">
        <f t="shared" ref="Q135:Q152" si="73">H135/V135</f>
        <v>874.9058448718107</v>
      </c>
      <c r="R135" s="10">
        <f>134.53*FX_RATE</f>
        <v>191265.91537900001</v>
      </c>
      <c r="S135" s="10">
        <f>135.21*FX_RATE</f>
        <v>192232.69470300002</v>
      </c>
      <c r="T135" s="10">
        <v>637</v>
      </c>
      <c r="U135" s="17">
        <v>115753.99</v>
      </c>
      <c r="V135" s="17">
        <v>133481.71</v>
      </c>
    </row>
    <row r="136" spans="1:22">
      <c r="A136" s="76">
        <v>120</v>
      </c>
      <c r="B136" s="25" t="s">
        <v>312</v>
      </c>
      <c r="C136" s="25" t="s">
        <v>309</v>
      </c>
      <c r="D136" s="43">
        <f>237545*FX_RATE</f>
        <v>337725874.29350001</v>
      </c>
      <c r="E136" s="10">
        <f xml:space="preserve"> 2454.63*FX_RATE</f>
        <v>3489831.6648090002</v>
      </c>
      <c r="F136" s="10">
        <v>0</v>
      </c>
      <c r="G136" s="10">
        <f>765.83*FX_RATE</f>
        <v>1088806.7789690001</v>
      </c>
      <c r="H136" s="12">
        <f t="shared" ref="H136" si="74">(E136+F136)-G136</f>
        <v>2401024.8858400001</v>
      </c>
      <c r="I136" s="10">
        <v>278515605.93633699</v>
      </c>
      <c r="J136" s="13">
        <f t="shared" si="60"/>
        <v>1.4420775208864121E-4</v>
      </c>
      <c r="K136" s="10">
        <f>246288.76*FX_RATE</f>
        <v>350157177.79646802</v>
      </c>
      <c r="L136" s="13">
        <f t="shared" si="68"/>
        <v>1.8491702532776714E-4</v>
      </c>
      <c r="M136" s="13">
        <f t="shared" si="69"/>
        <v>0.25722641867510587</v>
      </c>
      <c r="N136" s="20">
        <f t="shared" si="70"/>
        <v>3.1094801078214046E-3</v>
      </c>
      <c r="O136" s="21">
        <f t="shared" si="71"/>
        <v>6.8569917685240688E-3</v>
      </c>
      <c r="P136" s="22">
        <f t="shared" si="72"/>
        <v>143507.04008051968</v>
      </c>
      <c r="Q136" s="22">
        <f t="shared" si="73"/>
        <v>984.02659255737706</v>
      </c>
      <c r="R136" s="10">
        <f>100*FX_RATE</f>
        <v>142173.43</v>
      </c>
      <c r="S136" s="10">
        <f>100*FX_RATE</f>
        <v>142173.43</v>
      </c>
      <c r="T136" s="10">
        <v>13</v>
      </c>
      <c r="U136" s="17">
        <v>1880</v>
      </c>
      <c r="V136" s="17">
        <v>2440</v>
      </c>
    </row>
    <row r="137" spans="1:22" ht="14.1" customHeight="1">
      <c r="A137" s="76">
        <v>121</v>
      </c>
      <c r="B137" s="25" t="s">
        <v>148</v>
      </c>
      <c r="C137" s="25" t="s">
        <v>62</v>
      </c>
      <c r="D137" s="43">
        <f>11107799*C239</f>
        <v>15792338835.8057</v>
      </c>
      <c r="E137" s="10">
        <f>80083.46*C239</f>
        <v>113857401.94467801</v>
      </c>
      <c r="F137" s="10">
        <v>0</v>
      </c>
      <c r="G137" s="10">
        <f>19903.25*C239</f>
        <v>28297133.206475001</v>
      </c>
      <c r="H137" s="12">
        <f t="shared" si="67"/>
        <v>85560268.738203004</v>
      </c>
      <c r="I137" s="10">
        <v>16276878292.457144</v>
      </c>
      <c r="J137" s="13">
        <f t="shared" si="60"/>
        <v>8.4277217489643272E-3</v>
      </c>
      <c r="K137" s="10">
        <f>11225472.22*C239</f>
        <v>15959638888.871147</v>
      </c>
      <c r="L137" s="13">
        <f t="shared" si="68"/>
        <v>8.4282406181341221E-3</v>
      </c>
      <c r="M137" s="13">
        <f t="shared" si="69"/>
        <v>-1.9490187116101267E-2</v>
      </c>
      <c r="N137" s="20">
        <f t="shared" si="70"/>
        <v>1.7730434506389077E-3</v>
      </c>
      <c r="O137" s="21">
        <f t="shared" si="71"/>
        <v>5.3610403928290151E-3</v>
      </c>
      <c r="P137" s="22">
        <f t="shared" si="72"/>
        <v>165947.18776445725</v>
      </c>
      <c r="Q137" s="22">
        <f t="shared" si="73"/>
        <v>889.64957668163629</v>
      </c>
      <c r="R137" s="10">
        <f>117.58*FX_RATE</f>
        <v>167167.51899400001</v>
      </c>
      <c r="S137" s="10">
        <f>117.58*FX_RATE</f>
        <v>167167.51899400001</v>
      </c>
      <c r="T137" s="10">
        <v>446</v>
      </c>
      <c r="U137" s="17">
        <v>92962</v>
      </c>
      <c r="V137" s="17">
        <v>96173</v>
      </c>
    </row>
    <row r="138" spans="1:22" ht="14.1" customHeight="1">
      <c r="A138" s="76">
        <v>122</v>
      </c>
      <c r="B138" s="25" t="s">
        <v>256</v>
      </c>
      <c r="C138" s="25" t="s">
        <v>64</v>
      </c>
      <c r="D138" s="43">
        <v>173092056.52000001</v>
      </c>
      <c r="E138" s="10">
        <v>1216660.8999999999</v>
      </c>
      <c r="F138" s="10">
        <v>85064.1</v>
      </c>
      <c r="G138" s="10">
        <v>256210.48</v>
      </c>
      <c r="H138" s="12">
        <f t="shared" si="67"/>
        <v>1045514.52</v>
      </c>
      <c r="I138" s="10">
        <v>186678564.93000001</v>
      </c>
      <c r="J138" s="13">
        <f t="shared" si="60"/>
        <v>9.6657047712587536E-5</v>
      </c>
      <c r="K138" s="10">
        <v>181050433.02000001</v>
      </c>
      <c r="L138" s="13">
        <f t="shared" si="68"/>
        <v>9.5612226826384503E-5</v>
      </c>
      <c r="M138" s="13">
        <f t="shared" si="69"/>
        <v>-3.0148784956164684E-2</v>
      </c>
      <c r="N138" s="20">
        <f t="shared" si="70"/>
        <v>1.4151332075063158E-3</v>
      </c>
      <c r="O138" s="21">
        <f t="shared" si="71"/>
        <v>5.7747142746933152E-3</v>
      </c>
      <c r="P138" s="22">
        <f t="shared" si="72"/>
        <v>1429.7091590795396</v>
      </c>
      <c r="Q138" s="22">
        <f t="shared" si="73"/>
        <v>8.2561618895963935</v>
      </c>
      <c r="R138" s="10">
        <f>1.002*FX_RATE</f>
        <v>1424.5777686000001</v>
      </c>
      <c r="S138" s="10">
        <f>1.002*FX_RATE</f>
        <v>1424.5777686000001</v>
      </c>
      <c r="T138" s="10">
        <v>3</v>
      </c>
      <c r="U138" s="17">
        <v>126634.45</v>
      </c>
      <c r="V138" s="17">
        <v>126634.45</v>
      </c>
    </row>
    <row r="139" spans="1:22" ht="15" customHeight="1">
      <c r="A139" s="76">
        <v>123</v>
      </c>
      <c r="B139" s="25" t="s">
        <v>149</v>
      </c>
      <c r="C139" s="10" t="s">
        <v>60</v>
      </c>
      <c r="D139" s="43">
        <f>6633449.62*FX_RATE</f>
        <v>9431002852.0759659</v>
      </c>
      <c r="E139" s="10">
        <f>47164.8*FX_RATE</f>
        <v>67055813.912640005</v>
      </c>
      <c r="F139" s="10">
        <v>0</v>
      </c>
      <c r="G139" s="10">
        <f>8788.95*FX_RATE</f>
        <v>12495551.675985001</v>
      </c>
      <c r="H139" s="12">
        <f t="shared" si="67"/>
        <v>54560262.236655004</v>
      </c>
      <c r="I139" s="10">
        <v>10245552747.655735</v>
      </c>
      <c r="J139" s="13">
        <f t="shared" si="60"/>
        <v>5.3048665825309576E-3</v>
      </c>
      <c r="K139" s="10">
        <f>6606327.18*FX_RATE</f>
        <v>9392441948.8282738</v>
      </c>
      <c r="L139" s="13">
        <f t="shared" si="68"/>
        <v>4.9601222989939788E-3</v>
      </c>
      <c r="M139" s="13">
        <f t="shared" si="69"/>
        <v>-8.3266449340437962E-2</v>
      </c>
      <c r="N139" s="20">
        <f t="shared" si="70"/>
        <v>1.3303837004330749E-3</v>
      </c>
      <c r="O139" s="21">
        <f t="shared" si="71"/>
        <v>5.8089538944088451E-3</v>
      </c>
      <c r="P139" s="22">
        <f t="shared" si="72"/>
        <v>1893.2510107353619</v>
      </c>
      <c r="Q139" s="22">
        <f t="shared" si="73"/>
        <v>10.997807831904662</v>
      </c>
      <c r="R139" s="10">
        <f>1.33*FX_RATE</f>
        <v>1890.9066190000001</v>
      </c>
      <c r="S139" s="10">
        <f>1.33*FX_RATE</f>
        <v>1890.9066190000001</v>
      </c>
      <c r="T139" s="10">
        <v>296</v>
      </c>
      <c r="U139" s="17">
        <v>5243827.0199999996</v>
      </c>
      <c r="V139" s="17">
        <v>4961012.51</v>
      </c>
    </row>
    <row r="140" spans="1:22" ht="15" customHeight="1">
      <c r="A140" s="76">
        <v>124</v>
      </c>
      <c r="B140" s="25" t="s">
        <v>313</v>
      </c>
      <c r="C140" s="10" t="s">
        <v>77</v>
      </c>
      <c r="D140" s="43">
        <f>98605.78*FX_RATE</f>
        <v>140191219.60425401</v>
      </c>
      <c r="E140" s="10">
        <f>3120.74*FX_RATE</f>
        <v>4436863.099382</v>
      </c>
      <c r="F140" s="10"/>
      <c r="G140" s="10">
        <f>541.13*FX_RATE</f>
        <v>769343.08175900008</v>
      </c>
      <c r="H140" s="12">
        <f>2834.6*FX_RATE</f>
        <v>4030048.04678</v>
      </c>
      <c r="I140" s="10">
        <v>487816414.55712199</v>
      </c>
      <c r="J140" s="13">
        <f t="shared" si="60"/>
        <v>2.5257797795109243E-4</v>
      </c>
      <c r="K140" s="10">
        <f>337127.26*FX_RATE</f>
        <v>479305389.00701803</v>
      </c>
      <c r="L140" s="13">
        <f t="shared" si="68"/>
        <v>2.531198341170776E-4</v>
      </c>
      <c r="M140" s="13">
        <f t="shared" si="69"/>
        <v>-1.7447189754430339E-2</v>
      </c>
      <c r="N140" s="20">
        <f t="shared" si="70"/>
        <v>1.6051208674136882E-3</v>
      </c>
      <c r="O140" s="21">
        <f t="shared" si="71"/>
        <v>8.4081008459535415E-3</v>
      </c>
      <c r="P140" s="22">
        <f t="shared" si="72"/>
        <v>1456.5276776865326</v>
      </c>
      <c r="Q140" s="22">
        <f t="shared" si="73"/>
        <v>12.246631598910882</v>
      </c>
      <c r="R140" s="10">
        <f>1.0245*FX_RATE</f>
        <v>1456.56679035</v>
      </c>
      <c r="S140" s="10">
        <f>1.0245*FX_RATE</f>
        <v>1456.56679035</v>
      </c>
      <c r="T140" s="10">
        <v>15</v>
      </c>
      <c r="U140" s="17">
        <v>323274</v>
      </c>
      <c r="V140" s="17">
        <v>329074</v>
      </c>
    </row>
    <row r="141" spans="1:22" ht="15" customHeight="1">
      <c r="A141" s="76">
        <v>125</v>
      </c>
      <c r="B141" s="10" t="s">
        <v>268</v>
      </c>
      <c r="C141" s="10" t="s">
        <v>36</v>
      </c>
      <c r="D141" s="43">
        <f>76814394.22*C239</f>
        <v>109209658996.29575</v>
      </c>
      <c r="E141" s="10">
        <f>447699.59*C239</f>
        <v>636509863.19893706</v>
      </c>
      <c r="F141" s="10">
        <v>0</v>
      </c>
      <c r="G141" s="10">
        <f>62998.53*C239</f>
        <v>89567170.950579002</v>
      </c>
      <c r="H141" s="12">
        <f t="shared" ref="H141" si="75">(E141+F141)-G141</f>
        <v>546942692.24835801</v>
      </c>
      <c r="I141" s="10">
        <v>105070693872.48</v>
      </c>
      <c r="J141" s="13">
        <f t="shared" si="60"/>
        <v>5.4402727354558179E-2</v>
      </c>
      <c r="K141" s="10">
        <f>74236120*C239</f>
        <v>105544038102.916</v>
      </c>
      <c r="L141" s="13">
        <f t="shared" si="68"/>
        <v>5.5737511051154584E-2</v>
      </c>
      <c r="M141" s="13">
        <f t="shared" si="69"/>
        <v>4.5050071812648652E-3</v>
      </c>
      <c r="N141" s="20">
        <f t="shared" si="70"/>
        <v>8.4862368884580717E-4</v>
      </c>
      <c r="O141" s="21">
        <f t="shared" si="71"/>
        <v>5.182127783618002E-3</v>
      </c>
      <c r="P141" s="22">
        <f t="shared" si="72"/>
        <v>142173.43000000002</v>
      </c>
      <c r="Q141" s="22">
        <f t="shared" si="73"/>
        <v>736.76088169526918</v>
      </c>
      <c r="R141" s="10">
        <f>100*C239</f>
        <v>142173.43</v>
      </c>
      <c r="S141" s="10">
        <f>100*C239</f>
        <v>142173.43</v>
      </c>
      <c r="T141" s="10">
        <v>2090</v>
      </c>
      <c r="U141" s="17">
        <v>712176</v>
      </c>
      <c r="V141" s="17">
        <v>742361.2</v>
      </c>
    </row>
    <row r="142" spans="1:22" ht="15" customHeight="1">
      <c r="A142" s="76">
        <v>126</v>
      </c>
      <c r="B142" s="25" t="s">
        <v>232</v>
      </c>
      <c r="C142" s="25" t="s">
        <v>233</v>
      </c>
      <c r="D142" s="43">
        <f>971050.57*FX_RATE</f>
        <v>1380575902.4035511</v>
      </c>
      <c r="E142" s="10">
        <f>16898.77*FX_RATE</f>
        <v>24025560.936811</v>
      </c>
      <c r="F142" s="10">
        <v>0</v>
      </c>
      <c r="G142" s="10">
        <f>1734.54*FX_RATE</f>
        <v>2466055.012722</v>
      </c>
      <c r="H142" s="12">
        <f t="shared" si="67"/>
        <v>21559505.924089</v>
      </c>
      <c r="I142" s="10">
        <v>1368010074.3309488</v>
      </c>
      <c r="J142" s="13">
        <f t="shared" si="60"/>
        <v>7.0831814608971952E-4</v>
      </c>
      <c r="K142" s="10">
        <f>946044.13*FX_RATE</f>
        <v>1345023388.934659</v>
      </c>
      <c r="L142" s="13">
        <f t="shared" si="68"/>
        <v>7.1030308629754519E-4</v>
      </c>
      <c r="M142" s="13">
        <f t="shared" si="69"/>
        <v>-1.6803008857615247E-2</v>
      </c>
      <c r="N142" s="20">
        <f t="shared" si="70"/>
        <v>1.8334662675830989E-3</v>
      </c>
      <c r="O142" s="21">
        <f t="shared" si="71"/>
        <v>1.6029093695660898E-2</v>
      </c>
      <c r="P142" s="22">
        <f t="shared" si="72"/>
        <v>1609.822322194098</v>
      </c>
      <c r="Q142" s="22">
        <f t="shared" si="73"/>
        <v>25.803992835815606</v>
      </c>
      <c r="R142" s="10">
        <f>1.1323*FX_RATE</f>
        <v>1609.8297478900001</v>
      </c>
      <c r="S142" s="10">
        <f>1.1323*FX_RATE</f>
        <v>1609.8297478900001</v>
      </c>
      <c r="T142" s="10">
        <v>54</v>
      </c>
      <c r="U142" s="17">
        <v>832531.47</v>
      </c>
      <c r="V142" s="17">
        <v>835510.46</v>
      </c>
    </row>
    <row r="143" spans="1:22" ht="15" customHeight="1">
      <c r="A143" s="76">
        <v>127</v>
      </c>
      <c r="B143" s="25" t="s">
        <v>234</v>
      </c>
      <c r="C143" s="25" t="s">
        <v>40</v>
      </c>
      <c r="D143" s="43">
        <f>4444827.88*FX_RATE</f>
        <v>6319364254.5922842</v>
      </c>
      <c r="E143" s="10">
        <f>41550.97*FX_RATE</f>
        <v>59074439.247271001</v>
      </c>
      <c r="F143" s="10">
        <f>9093*FX_RATE</f>
        <v>12927829.9899</v>
      </c>
      <c r="G143" s="10">
        <f>9794.91*FX_RATE</f>
        <v>13925759.512413001</v>
      </c>
      <c r="H143" s="12">
        <f t="shared" si="67"/>
        <v>58076509.724757992</v>
      </c>
      <c r="I143" s="10">
        <v>6580980920.1359367</v>
      </c>
      <c r="J143" s="13">
        <f t="shared" si="60"/>
        <v>3.4074516644786133E-3</v>
      </c>
      <c r="K143" s="10">
        <f>5706905.52*FX_RATE</f>
        <v>8113703324.6433353</v>
      </c>
      <c r="L143" s="13">
        <f t="shared" si="68"/>
        <v>4.2848240113962724E-3</v>
      </c>
      <c r="M143" s="13">
        <f t="shared" si="69"/>
        <v>0.23290181556638501</v>
      </c>
      <c r="N143" s="20">
        <f t="shared" si="70"/>
        <v>1.7163259433108683E-3</v>
      </c>
      <c r="O143" s="21">
        <f t="shared" si="71"/>
        <v>7.1578300809157251E-3</v>
      </c>
      <c r="P143" s="22">
        <f t="shared" si="72"/>
        <v>15344.323638262204</v>
      </c>
      <c r="Q143" s="22">
        <f t="shared" si="73"/>
        <v>109.83206130925943</v>
      </c>
      <c r="R143" s="10">
        <f>10.79*FX_RATE</f>
        <v>15340.513096999999</v>
      </c>
      <c r="S143" s="10">
        <f>10.79*FX_RATE</f>
        <v>15340.513096999999</v>
      </c>
      <c r="T143" s="10">
        <v>158</v>
      </c>
      <c r="U143" s="17">
        <v>416326</v>
      </c>
      <c r="V143" s="17">
        <v>528775.56000000006</v>
      </c>
    </row>
    <row r="144" spans="1:22">
      <c r="A144" s="76">
        <v>128</v>
      </c>
      <c r="B144" s="10" t="s">
        <v>150</v>
      </c>
      <c r="C144" s="10" t="s">
        <v>44</v>
      </c>
      <c r="D144" s="43">
        <f>18582140.43*FX_RATE</f>
        <v>26418866416.747749</v>
      </c>
      <c r="E144" s="10">
        <f>132820.53*FX_RATE</f>
        <v>188835503.245179</v>
      </c>
      <c r="F144" s="10">
        <f>128967.84*FX_RATE</f>
        <v>183358001.72491202</v>
      </c>
      <c r="G144" s="10">
        <f>31661.51*FX_RATE</f>
        <v>45014254.756793</v>
      </c>
      <c r="H144" s="12">
        <f t="shared" si="67"/>
        <v>327179250.21329796</v>
      </c>
      <c r="I144" s="10">
        <v>25945282139.992134</v>
      </c>
      <c r="J144" s="13">
        <f t="shared" si="60"/>
        <v>1.3433756439375499E-2</v>
      </c>
      <c r="K144" s="10">
        <f>19183633.74
*FX_RATE</f>
        <v>27274030086.79528</v>
      </c>
      <c r="L144" s="13">
        <f t="shared" si="68"/>
        <v>1.4403338935070313E-2</v>
      </c>
      <c r="M144" s="13">
        <f t="shared" si="69"/>
        <v>5.1213470704757159E-2</v>
      </c>
      <c r="N144" s="20">
        <f t="shared" si="70"/>
        <v>1.6504438329627952E-3</v>
      </c>
      <c r="O144" s="21">
        <f t="shared" si="71"/>
        <v>1.199599946073616E-2</v>
      </c>
      <c r="P144" s="22">
        <f t="shared" si="72"/>
        <v>1547.0405882897132</v>
      </c>
      <c r="Q144" s="22">
        <f t="shared" si="73"/>
        <v>18.558298062860349</v>
      </c>
      <c r="R144" s="10">
        <f>1.09*FX_RATE</f>
        <v>1549.6903870000001</v>
      </c>
      <c r="S144" s="10">
        <f>1.09*FX_RATE</f>
        <v>1549.6903870000001</v>
      </c>
      <c r="T144" s="10">
        <v>639</v>
      </c>
      <c r="U144" s="17">
        <v>16313974</v>
      </c>
      <c r="V144" s="17">
        <v>17629809</v>
      </c>
    </row>
    <row r="145" spans="1:22">
      <c r="A145" s="76">
        <v>129</v>
      </c>
      <c r="B145" s="25" t="s">
        <v>151</v>
      </c>
      <c r="C145" s="10" t="s">
        <v>83</v>
      </c>
      <c r="D145" s="43">
        <f>282035.16*FX_RATE</f>
        <v>400979060.77798796</v>
      </c>
      <c r="E145" s="10">
        <f>1768.71*FX_RATE</f>
        <v>2514635.6737530003</v>
      </c>
      <c r="F145" s="10">
        <f>37082.59*FX_RATE</f>
        <v>52721590.135836996</v>
      </c>
      <c r="G145" s="10">
        <f>109.39*FX_RATE</f>
        <v>155523.51507700002</v>
      </c>
      <c r="H145" s="12">
        <f t="shared" si="67"/>
        <v>55080702.294512995</v>
      </c>
      <c r="I145" s="10">
        <v>445308604.875211</v>
      </c>
      <c r="J145" s="13">
        <f t="shared" si="60"/>
        <v>2.3056859840544017E-4</v>
      </c>
      <c r="K145" s="10">
        <f>306600.12*FX_RATE</f>
        <v>435903906.98811603</v>
      </c>
      <c r="L145" s="13">
        <f t="shared" si="68"/>
        <v>2.301996329655338E-4</v>
      </c>
      <c r="M145" s="13">
        <f t="shared" si="69"/>
        <v>-2.111950630222036E-2</v>
      </c>
      <c r="N145" s="20">
        <f t="shared" si="70"/>
        <v>3.56783943854947E-4</v>
      </c>
      <c r="O145" s="21">
        <f t="shared" si="71"/>
        <v>0.12635973527994704</v>
      </c>
      <c r="P145" s="22">
        <f t="shared" si="72"/>
        <v>1816.152769569052</v>
      </c>
      <c r="Q145" s="22">
        <f t="shared" si="73"/>
        <v>229.48858319068805</v>
      </c>
      <c r="R145" s="10">
        <f>1.27*FX_RATE</f>
        <v>1805.6025610000002</v>
      </c>
      <c r="S145" s="10">
        <f>1.27*FX_RATE</f>
        <v>1805.6025610000002</v>
      </c>
      <c r="T145" s="10">
        <v>2</v>
      </c>
      <c r="U145" s="17">
        <v>240015</v>
      </c>
      <c r="V145" s="17">
        <v>240015</v>
      </c>
    </row>
    <row r="146" spans="1:22">
      <c r="A146" s="76">
        <v>130</v>
      </c>
      <c r="B146" s="25" t="s">
        <v>301</v>
      </c>
      <c r="C146" s="10" t="s">
        <v>296</v>
      </c>
      <c r="D146" s="43">
        <f>580673.81*FX_RATE</f>
        <v>825563872.78868318</v>
      </c>
      <c r="E146" s="10">
        <f>19426.14*FX_RATE</f>
        <v>27618809.554602001</v>
      </c>
      <c r="F146" s="10">
        <v>0</v>
      </c>
      <c r="G146" s="10">
        <v>0</v>
      </c>
      <c r="H146" s="12">
        <f t="shared" si="67"/>
        <v>27618809.554602001</v>
      </c>
      <c r="I146" s="10">
        <v>683373035.26583695</v>
      </c>
      <c r="J146" s="13">
        <f t="shared" si="60"/>
        <v>3.5383183977203802E-4</v>
      </c>
      <c r="K146" s="10">
        <f>702776.55*FX_RATE</f>
        <v>999161526.37066507</v>
      </c>
      <c r="L146" s="13">
        <f t="shared" si="68"/>
        <v>5.2765440491929396E-4</v>
      </c>
      <c r="M146" s="13">
        <f t="shared" si="69"/>
        <v>0.46210265083401214</v>
      </c>
      <c r="N146" s="20">
        <f t="shared" si="70"/>
        <v>0</v>
      </c>
      <c r="O146" s="21">
        <f t="shared" si="71"/>
        <v>2.7641986631454906E-2</v>
      </c>
      <c r="P146" s="22">
        <f t="shared" si="72"/>
        <v>1482.638448952471</v>
      </c>
      <c r="Q146" s="22">
        <f t="shared" si="73"/>
        <v>40.98307218522524</v>
      </c>
      <c r="R146" s="10">
        <f>1.0428*FX_RATE</f>
        <v>1482.5845280399999</v>
      </c>
      <c r="S146" s="10">
        <f>1.0428*FX_RATE</f>
        <v>1482.5845280399999</v>
      </c>
      <c r="T146" s="10">
        <v>9</v>
      </c>
      <c r="U146" s="17">
        <v>446040.04</v>
      </c>
      <c r="V146" s="17">
        <v>673907.74</v>
      </c>
    </row>
    <row r="147" spans="1:22">
      <c r="A147" s="76">
        <v>131</v>
      </c>
      <c r="B147" s="25" t="s">
        <v>152</v>
      </c>
      <c r="C147" s="25" t="s">
        <v>46</v>
      </c>
      <c r="D147" s="43">
        <f>696281173.05*FX_RATE</f>
        <v>989926826169.42065</v>
      </c>
      <c r="E147" s="10">
        <f>3966146.76*FX_RATE</f>
        <v>5638806887.5258684</v>
      </c>
      <c r="F147" s="10">
        <v>0</v>
      </c>
      <c r="G147" s="10">
        <f>1146626.48*FX_RATE</f>
        <v>1630198195.904264</v>
      </c>
      <c r="H147" s="12">
        <f t="shared" si="67"/>
        <v>4008608691.6216044</v>
      </c>
      <c r="I147" s="10">
        <v>1045132665033.0101</v>
      </c>
      <c r="J147" s="13">
        <f t="shared" si="60"/>
        <v>0.54114106730978617</v>
      </c>
      <c r="K147" s="10">
        <f>709790600.91*FX_RATE</f>
        <v>1009133643131.3583</v>
      </c>
      <c r="L147" s="13">
        <f t="shared" si="68"/>
        <v>0.53292065186363158</v>
      </c>
      <c r="M147" s="13">
        <f t="shared" si="69"/>
        <v>-3.444445198783911E-2</v>
      </c>
      <c r="N147" s="20">
        <f t="shared" si="70"/>
        <v>1.615443313182714E-3</v>
      </c>
      <c r="O147" s="21">
        <f t="shared" si="71"/>
        <v>3.9723268755393251E-3</v>
      </c>
      <c r="P147" s="22">
        <f t="shared" si="72"/>
        <v>2362.0854671874108</v>
      </c>
      <c r="Q147" s="22">
        <f t="shared" si="73"/>
        <v>9.3829755836294133</v>
      </c>
      <c r="R147" s="10">
        <f>1.6614*FX_RATE</f>
        <v>2362.06936602</v>
      </c>
      <c r="S147" s="10">
        <f>1.6614*FX_RATE</f>
        <v>2362.06936602</v>
      </c>
      <c r="T147" s="10">
        <v>12478</v>
      </c>
      <c r="U147" s="17">
        <v>428128437.48000002</v>
      </c>
      <c r="V147" s="17">
        <v>427221477.44</v>
      </c>
    </row>
    <row r="148" spans="1:22">
      <c r="A148" s="76">
        <v>132</v>
      </c>
      <c r="B148" s="25" t="s">
        <v>299</v>
      </c>
      <c r="C148" s="25" t="s">
        <v>298</v>
      </c>
      <c r="D148" s="43">
        <v>407753377.38999999</v>
      </c>
      <c r="E148" s="10">
        <v>4475852.92</v>
      </c>
      <c r="F148" s="10"/>
      <c r="G148" s="10">
        <v>5542568.6500000004</v>
      </c>
      <c r="H148" s="12">
        <f t="shared" si="67"/>
        <v>-1066715.7300000004</v>
      </c>
      <c r="I148" s="10">
        <v>534966755.63</v>
      </c>
      <c r="J148" s="13">
        <f t="shared" si="60"/>
        <v>2.7699113309000655E-4</v>
      </c>
      <c r="K148" s="10">
        <v>531884547.88999999</v>
      </c>
      <c r="L148" s="13">
        <f t="shared" si="68"/>
        <v>2.8088674072759557E-4</v>
      </c>
      <c r="M148" s="13">
        <f t="shared" si="69"/>
        <v>-5.7614939761448701E-3</v>
      </c>
      <c r="N148" s="20">
        <f t="shared" si="70"/>
        <v>1.0420623558228034E-2</v>
      </c>
      <c r="O148" s="21">
        <f t="shared" si="71"/>
        <v>-2.0055399883897548E-3</v>
      </c>
      <c r="P148" s="22">
        <f t="shared" si="72"/>
        <v>150841.71723324375</v>
      </c>
      <c r="Q148" s="22">
        <f t="shared" si="73"/>
        <v>-302.51909582865028</v>
      </c>
      <c r="R148" s="10">
        <v>150841.78</v>
      </c>
      <c r="S148" s="10">
        <v>150841.78</v>
      </c>
      <c r="T148" s="10">
        <v>21</v>
      </c>
      <c r="U148" s="17">
        <v>3441.03</v>
      </c>
      <c r="V148" s="17">
        <v>3526.1104</v>
      </c>
    </row>
    <row r="149" spans="1:22">
      <c r="A149" s="76">
        <v>133</v>
      </c>
      <c r="B149" s="25" t="s">
        <v>153</v>
      </c>
      <c r="C149" s="25" t="s">
        <v>50</v>
      </c>
      <c r="D149" s="43">
        <f>56345458*FX_RATE</f>
        <v>80108270287.809402</v>
      </c>
      <c r="E149" s="10">
        <f>898675*FX_RATE</f>
        <v>1277677072.0525</v>
      </c>
      <c r="F149" s="10">
        <v>0</v>
      </c>
      <c r="G149" s="10">
        <f>217101*FX_RATE</f>
        <v>308659938.26429999</v>
      </c>
      <c r="H149" s="12">
        <f t="shared" si="67"/>
        <v>969017133.78820002</v>
      </c>
      <c r="I149" s="10">
        <v>165977148110.79428</v>
      </c>
      <c r="J149" s="13">
        <f t="shared" si="60"/>
        <v>8.5938421104533022E-2</v>
      </c>
      <c r="K149" s="10">
        <f>115805005*FX_RATE</f>
        <v>164643947720.17151</v>
      </c>
      <c r="L149" s="13">
        <f t="shared" si="68"/>
        <v>8.6948007869572283E-2</v>
      </c>
      <c r="M149" s="13">
        <f t="shared" si="69"/>
        <v>-8.0324334150676246E-3</v>
      </c>
      <c r="N149" s="20">
        <f t="shared" si="70"/>
        <v>1.8747117190660281E-3</v>
      </c>
      <c r="O149" s="21">
        <f t="shared" si="71"/>
        <v>5.8855314586791817E-3</v>
      </c>
      <c r="P149" s="22">
        <f t="shared" si="72"/>
        <v>1757.9761698700377</v>
      </c>
      <c r="Q149" s="22">
        <f t="shared" si="73"/>
        <v>10.346624051378443</v>
      </c>
      <c r="R149" s="10">
        <f>1.24*FX_RATE</f>
        <v>1762.9505320000001</v>
      </c>
      <c r="S149" s="10">
        <f>1.24*FX_RATE</f>
        <v>1762.9505320000001</v>
      </c>
      <c r="T149" s="10">
        <v>411</v>
      </c>
      <c r="U149" s="17">
        <v>85893345.800000012</v>
      </c>
      <c r="V149" s="17">
        <v>93655392.230000019</v>
      </c>
    </row>
    <row r="150" spans="1:22">
      <c r="A150" s="76">
        <v>134</v>
      </c>
      <c r="B150" s="25" t="s">
        <v>231</v>
      </c>
      <c r="C150" s="10" t="s">
        <v>211</v>
      </c>
      <c r="D150" s="43">
        <f>1283448.61*FX_RATE</f>
        <v>1824722911.1243231</v>
      </c>
      <c r="E150" s="10">
        <f>16114.19*FX_RATE</f>
        <v>22910096.639717001</v>
      </c>
      <c r="F150" s="10">
        <v>0</v>
      </c>
      <c r="G150" s="10">
        <f>10097.64*FX_RATE</f>
        <v>14356161.137052</v>
      </c>
      <c r="H150" s="12">
        <f t="shared" ref="H150:H151" si="76">(E150+F150)-G150</f>
        <v>8553935.5026650019</v>
      </c>
      <c r="I150" s="10">
        <v>1980599029.6186428</v>
      </c>
      <c r="J150" s="13">
        <f t="shared" si="60"/>
        <v>1.0254999280562217E-3</v>
      </c>
      <c r="K150" s="10">
        <f>1387980.06*FX_RATE</f>
        <v>1973338859.0180583</v>
      </c>
      <c r="L150" s="13">
        <f t="shared" si="68"/>
        <v>1.0421147270766873E-3</v>
      </c>
      <c r="M150" s="13">
        <f t="shared" si="69"/>
        <v>-3.6656438239204966E-3</v>
      </c>
      <c r="N150" s="20">
        <f t="shared" si="70"/>
        <v>7.2750612858227936E-3</v>
      </c>
      <c r="O150" s="21">
        <f t="shared" si="71"/>
        <v>4.3347524747581754E-3</v>
      </c>
      <c r="P150" s="22">
        <f t="shared" si="72"/>
        <v>155301.40526533709</v>
      </c>
      <c r="Q150" s="22">
        <f t="shared" si="73"/>
        <v>673.19315080734225</v>
      </c>
      <c r="R150" s="10">
        <f>108.79*FX_RATE</f>
        <v>154670.47449700002</v>
      </c>
      <c r="S150" s="10">
        <f>108.79*FX_RATE</f>
        <v>154670.47449700002</v>
      </c>
      <c r="T150" s="10">
        <v>31</v>
      </c>
      <c r="U150" s="17">
        <v>12429.54</v>
      </c>
      <c r="V150" s="17">
        <v>12706.51</v>
      </c>
    </row>
    <row r="151" spans="1:22">
      <c r="A151" s="76">
        <v>135</v>
      </c>
      <c r="B151" s="25" t="s">
        <v>314</v>
      </c>
      <c r="C151" s="25" t="s">
        <v>92</v>
      </c>
      <c r="D151" s="43">
        <f>2108685.99*FX_RATE</f>
        <v>2997991199.9124575</v>
      </c>
      <c r="E151" s="10">
        <f>26553.03*FX_RATE</f>
        <v>37751353.519928999</v>
      </c>
      <c r="F151" s="10">
        <f>13512.08*FX_RATE</f>
        <v>19210587.600344002</v>
      </c>
      <c r="G151" s="10">
        <f>3548.03*FX_RATE</f>
        <v>5044355.9484290006</v>
      </c>
      <c r="H151" s="12">
        <f t="shared" si="76"/>
        <v>51917585.171843998</v>
      </c>
      <c r="I151" s="10">
        <v>2407650019.8612051</v>
      </c>
      <c r="J151" s="13">
        <f t="shared" si="60"/>
        <v>1.2466152336889876E-3</v>
      </c>
      <c r="K151" s="10">
        <f>2114996*FX_RATE</f>
        <v>3006962357.5627999</v>
      </c>
      <c r="L151" s="13">
        <f t="shared" si="68"/>
        <v>1.5879684030246696E-3</v>
      </c>
      <c r="M151" s="13">
        <f t="shared" si="69"/>
        <v>0.2489200393569426</v>
      </c>
      <c r="N151" s="20">
        <f t="shared" si="70"/>
        <v>1.6775587282434579E-3</v>
      </c>
      <c r="O151" s="21">
        <f t="shared" si="71"/>
        <v>1.7265791519227459E-2</v>
      </c>
      <c r="P151" s="22">
        <f t="shared" si="72"/>
        <v>1578.3761283399731</v>
      </c>
      <c r="Q151" s="22">
        <f t="shared" si="73"/>
        <v>27.25191317084338</v>
      </c>
      <c r="R151" s="10">
        <f>1.11*FX_RATE</f>
        <v>1578.1250730000002</v>
      </c>
      <c r="S151" s="10">
        <f>1.11*FX_RATE</f>
        <v>1578.1250730000002</v>
      </c>
      <c r="T151" s="10">
        <v>33</v>
      </c>
      <c r="U151" s="17">
        <v>1495797.05</v>
      </c>
      <c r="V151" s="17">
        <v>1905098.73</v>
      </c>
    </row>
    <row r="152" spans="1:22">
      <c r="A152" s="76">
        <v>136</v>
      </c>
      <c r="B152" s="25" t="s">
        <v>290</v>
      </c>
      <c r="C152" s="10" t="s">
        <v>291</v>
      </c>
      <c r="D152" s="43">
        <f>968364.16*FX_RATE</f>
        <v>1376756541.162688</v>
      </c>
      <c r="E152" s="10">
        <f>8688.75*FX_RATE</f>
        <v>12353093.899125</v>
      </c>
      <c r="F152" s="10">
        <v>0</v>
      </c>
      <c r="G152" s="10">
        <f>1784.97*FX_RATE</f>
        <v>2537753.073471</v>
      </c>
      <c r="H152" s="12">
        <f t="shared" si="67"/>
        <v>9815340.825654</v>
      </c>
      <c r="I152" s="10">
        <v>1667570757.0746629</v>
      </c>
      <c r="J152" s="13">
        <f t="shared" si="60"/>
        <v>8.6342246251529188E-4</v>
      </c>
      <c r="K152" s="10">
        <f>1168395.16*FX_RATE</f>
        <v>1661147474.925988</v>
      </c>
      <c r="L152" s="13">
        <f t="shared" si="68"/>
        <v>8.7724733111880745E-4</v>
      </c>
      <c r="M152" s="13">
        <f t="shared" si="69"/>
        <v>-3.851879820645819E-3</v>
      </c>
      <c r="N152" s="20">
        <f t="shared" si="70"/>
        <v>1.5277108816506909E-3</v>
      </c>
      <c r="O152" s="21">
        <f t="shared" si="71"/>
        <v>5.9087714810458474E-3</v>
      </c>
      <c r="P152" s="22">
        <f t="shared" si="72"/>
        <v>2032.2530107840635</v>
      </c>
      <c r="Q152" s="22">
        <f t="shared" si="73"/>
        <v>12.008118632390433</v>
      </c>
      <c r="R152" s="10">
        <f>1.4294*FX_RATE</f>
        <v>2032.2270084200002</v>
      </c>
      <c r="S152" s="10">
        <v>114</v>
      </c>
      <c r="T152" s="10">
        <v>6</v>
      </c>
      <c r="U152" s="17">
        <v>805726.06</v>
      </c>
      <c r="V152" s="17">
        <v>817392.06</v>
      </c>
    </row>
    <row r="153" spans="1:22" ht="15" customHeight="1">
      <c r="A153" s="129" t="s">
        <v>51</v>
      </c>
      <c r="B153" s="129"/>
      <c r="C153" s="129"/>
      <c r="D153" s="129"/>
      <c r="E153" s="129"/>
      <c r="F153" s="129"/>
      <c r="G153" s="129"/>
      <c r="H153" s="129"/>
      <c r="I153" s="36">
        <f>SUM(I115:I152)</f>
        <v>1931349749943.6772</v>
      </c>
      <c r="J153" s="34">
        <f>(I153/$I$237)</f>
        <v>0.28224661414657692</v>
      </c>
      <c r="K153" s="36">
        <f>SUM(K115:K152)</f>
        <v>1893590799310.1836</v>
      </c>
      <c r="L153" s="34">
        <f>(K153/$K$237)</f>
        <v>0.26184576105433272</v>
      </c>
      <c r="M153" s="34">
        <f t="shared" si="62"/>
        <v>-1.9550550403724023E-2</v>
      </c>
      <c r="N153" s="20"/>
      <c r="O153" s="20"/>
      <c r="P153" s="35"/>
      <c r="Q153" s="35"/>
      <c r="R153" s="36"/>
      <c r="S153" s="36"/>
      <c r="T153" s="38">
        <f>SUM(T115:T152)</f>
        <v>24357</v>
      </c>
      <c r="U153" s="38"/>
      <c r="V153" s="36"/>
    </row>
    <row r="154" spans="1:22" ht="4.2" customHeight="1">
      <c r="A154" s="135"/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</row>
    <row r="155" spans="1:22">
      <c r="A155" s="128" t="s">
        <v>154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</row>
    <row r="156" spans="1:22">
      <c r="A156" s="76">
        <v>137</v>
      </c>
      <c r="B156" s="91" t="s">
        <v>227</v>
      </c>
      <c r="C156" s="91" t="s">
        <v>228</v>
      </c>
      <c r="D156" s="27">
        <v>2402656387.9000001</v>
      </c>
      <c r="E156" s="27">
        <v>50132189.600000001</v>
      </c>
      <c r="F156" s="27">
        <v>0</v>
      </c>
      <c r="G156" s="27">
        <v>4042749.17</v>
      </c>
      <c r="H156" s="12">
        <f t="shared" ref="H156:H161" si="77">(E156+F156)-G156</f>
        <v>46089440.43</v>
      </c>
      <c r="I156" s="28">
        <v>2539990194.0900002</v>
      </c>
      <c r="J156" s="13">
        <f>(I156/$I$162)</f>
        <v>6.020433232229767E-3</v>
      </c>
      <c r="K156" s="28">
        <v>2512424506.27</v>
      </c>
      <c r="L156" s="13">
        <f>(K156/$K$162)</f>
        <v>5.2504996626643293E-3</v>
      </c>
      <c r="M156" s="13">
        <f t="shared" ref="M156:M162" si="78">((K156-I156)/I156)</f>
        <v>-1.085267489777696E-2</v>
      </c>
      <c r="N156" s="20">
        <f>(G156/K156)</f>
        <v>1.6091027451415657E-3</v>
      </c>
      <c r="O156" s="21">
        <f>H156/K156</f>
        <v>1.8344607097637886E-2</v>
      </c>
      <c r="P156" s="22">
        <f>K156/V156</f>
        <v>118.39889284967012</v>
      </c>
      <c r="Q156" s="22">
        <f>H156/V156</f>
        <v>2.171981170122526</v>
      </c>
      <c r="R156" s="27">
        <v>118.4</v>
      </c>
      <c r="S156" s="27">
        <v>118.4</v>
      </c>
      <c r="T156" s="27">
        <v>8</v>
      </c>
      <c r="U156" s="27">
        <v>21220000</v>
      </c>
      <c r="V156" s="27">
        <v>21220000</v>
      </c>
    </row>
    <row r="157" spans="1:22">
      <c r="A157" s="76">
        <v>138</v>
      </c>
      <c r="B157" s="91" t="s">
        <v>281</v>
      </c>
      <c r="C157" s="91" t="s">
        <v>58</v>
      </c>
      <c r="D157" s="27">
        <v>126296767537.17999</v>
      </c>
      <c r="E157" s="27">
        <v>3151362582.96</v>
      </c>
      <c r="F157" s="27">
        <v>260872669.88999999</v>
      </c>
      <c r="G157" s="27">
        <v>631779486.00999999</v>
      </c>
      <c r="H157" s="12">
        <f t="shared" si="77"/>
        <v>2780455766.8400002</v>
      </c>
      <c r="I157" s="28">
        <v>261829673486</v>
      </c>
      <c r="J157" s="13">
        <f t="shared" ref="J157:J161" si="79">(I157/$I$162)</f>
        <v>0.62060399725430171</v>
      </c>
      <c r="K157" s="28">
        <v>264610129182</v>
      </c>
      <c r="L157" s="13">
        <f t="shared" ref="L157:L161" si="80">(K157/$K$162)</f>
        <v>0.55298592675737468</v>
      </c>
      <c r="M157" s="13">
        <f t="shared" ref="M157:M161" si="81">((K157-I157)/I157)</f>
        <v>1.0619329959744499E-2</v>
      </c>
      <c r="N157" s="20">
        <f t="shared" ref="N157:N161" si="82">(G157/K157)</f>
        <v>2.3875861742823131E-3</v>
      </c>
      <c r="O157" s="21">
        <f t="shared" ref="O157:O161" si="83">H157/K157</f>
        <v>1.0507745018814418E-2</v>
      </c>
      <c r="P157" s="22">
        <f t="shared" ref="P157:P161" si="84">K157/V157</f>
        <v>105.84405167280001</v>
      </c>
      <c r="Q157" s="22">
        <f t="shared" ref="Q157:Q161" si="85">H157/V157</f>
        <v>1.1121823067360002</v>
      </c>
      <c r="R157" s="27">
        <v>105.8441</v>
      </c>
      <c r="S157" s="27">
        <v>105.8441</v>
      </c>
      <c r="T157" s="27">
        <v>45</v>
      </c>
      <c r="U157" s="27">
        <v>2500000000</v>
      </c>
      <c r="V157" s="27">
        <v>2500000000</v>
      </c>
    </row>
    <row r="158" spans="1:22">
      <c r="A158" s="76">
        <v>139</v>
      </c>
      <c r="B158" s="25" t="s">
        <v>155</v>
      </c>
      <c r="C158" s="25" t="s">
        <v>44</v>
      </c>
      <c r="D158" s="27">
        <v>173913833469</v>
      </c>
      <c r="E158" s="27">
        <v>1282281365</v>
      </c>
      <c r="F158" s="27">
        <v>0</v>
      </c>
      <c r="G158" s="27">
        <v>229817586</v>
      </c>
      <c r="H158" s="12">
        <f t="shared" si="77"/>
        <v>1052463779</v>
      </c>
      <c r="I158" s="28">
        <v>111485284106</v>
      </c>
      <c r="J158" s="13">
        <f t="shared" si="79"/>
        <v>0.26424893721954151</v>
      </c>
      <c r="K158" s="28">
        <v>165254999917</v>
      </c>
      <c r="L158" s="13">
        <f t="shared" si="80"/>
        <v>0.34535219631572767</v>
      </c>
      <c r="M158" s="13">
        <f t="shared" si="81"/>
        <v>0.48230325860654266</v>
      </c>
      <c r="N158" s="20">
        <f t="shared" si="82"/>
        <v>1.3906846153848708E-3</v>
      </c>
      <c r="O158" s="21">
        <f t="shared" si="83"/>
        <v>6.3687257845669075E-3</v>
      </c>
      <c r="P158" s="22">
        <f t="shared" si="84"/>
        <v>104.02442931403648</v>
      </c>
      <c r="Q158" s="22">
        <f t="shared" si="85"/>
        <v>0.66250306519716173</v>
      </c>
      <c r="R158" s="27">
        <v>104.02</v>
      </c>
      <c r="S158" s="27">
        <v>104.02</v>
      </c>
      <c r="T158" s="27">
        <v>855</v>
      </c>
      <c r="U158" s="27">
        <v>1064516817</v>
      </c>
      <c r="V158" s="27">
        <v>1588617222</v>
      </c>
    </row>
    <row r="159" spans="1:22">
      <c r="A159" s="76">
        <v>140</v>
      </c>
      <c r="B159" s="25" t="s">
        <v>156</v>
      </c>
      <c r="C159" s="25" t="s">
        <v>122</v>
      </c>
      <c r="D159" s="27">
        <v>2892616644.5</v>
      </c>
      <c r="E159" s="27">
        <v>150100029</v>
      </c>
      <c r="F159" s="27">
        <v>0</v>
      </c>
      <c r="G159" s="27">
        <v>6981901.7199999997</v>
      </c>
      <c r="H159" s="12">
        <f t="shared" si="77"/>
        <v>143118127.28</v>
      </c>
      <c r="I159" s="28">
        <v>2603540741.48</v>
      </c>
      <c r="J159" s="13">
        <f t="shared" si="79"/>
        <v>6.1710644544775454E-3</v>
      </c>
      <c r="K159" s="28">
        <v>2746658868.8499999</v>
      </c>
      <c r="L159" s="13">
        <f t="shared" si="80"/>
        <v>5.7400058900719505E-3</v>
      </c>
      <c r="M159" s="13">
        <f t="shared" si="81"/>
        <v>5.4970573377178436E-2</v>
      </c>
      <c r="N159" s="20">
        <f t="shared" si="82"/>
        <v>2.541961726365843E-3</v>
      </c>
      <c r="O159" s="21">
        <f t="shared" si="83"/>
        <v>5.2106262231218475E-2</v>
      </c>
      <c r="P159" s="22">
        <f t="shared" si="84"/>
        <v>137.33294344249998</v>
      </c>
      <c r="Q159" s="22">
        <f t="shared" si="85"/>
        <v>7.1559063639999998</v>
      </c>
      <c r="R159" s="27">
        <v>418.75</v>
      </c>
      <c r="S159" s="27">
        <v>418.75</v>
      </c>
      <c r="T159" s="27">
        <v>3871</v>
      </c>
      <c r="U159" s="27">
        <v>20000000</v>
      </c>
      <c r="V159" s="27">
        <v>20000000</v>
      </c>
    </row>
    <row r="160" spans="1:22">
      <c r="A160" s="76">
        <v>141</v>
      </c>
      <c r="B160" s="25" t="s">
        <v>157</v>
      </c>
      <c r="C160" s="25" t="s">
        <v>122</v>
      </c>
      <c r="D160" s="27">
        <v>11906411065.73</v>
      </c>
      <c r="E160" s="27">
        <v>89729970.189999998</v>
      </c>
      <c r="F160" s="27">
        <v>0</v>
      </c>
      <c r="G160" s="27">
        <v>17895687.68</v>
      </c>
      <c r="H160" s="12">
        <f t="shared" si="77"/>
        <v>71834282.50999999</v>
      </c>
      <c r="I160" s="28">
        <v>10350868269.629999</v>
      </c>
      <c r="J160" s="13">
        <f t="shared" si="79"/>
        <v>2.4534233028895305E-2</v>
      </c>
      <c r="K160" s="28">
        <v>10422702552.129999</v>
      </c>
      <c r="L160" s="13">
        <f t="shared" si="80"/>
        <v>2.1781508697053042E-2</v>
      </c>
      <c r="M160" s="13">
        <f t="shared" si="81"/>
        <v>6.9399281904461698E-3</v>
      </c>
      <c r="N160" s="20">
        <f t="shared" si="82"/>
        <v>1.7169911153554708E-3</v>
      </c>
      <c r="O160" s="21">
        <f t="shared" si="83"/>
        <v>6.8920975294761554E-3</v>
      </c>
      <c r="P160" s="22">
        <f t="shared" si="84"/>
        <v>55.402461611398323</v>
      </c>
      <c r="Q160" s="22">
        <f t="shared" si="85"/>
        <v>0.38183916879881596</v>
      </c>
      <c r="R160" s="27">
        <v>51.85</v>
      </c>
      <c r="S160" s="27">
        <v>51.85</v>
      </c>
      <c r="T160" s="27">
        <v>5970</v>
      </c>
      <c r="U160" s="27">
        <v>188127066</v>
      </c>
      <c r="V160" s="27">
        <v>188127066</v>
      </c>
    </row>
    <row r="161" spans="1:22" ht="16.05" customHeight="1">
      <c r="A161" s="76">
        <v>142</v>
      </c>
      <c r="B161" s="25" t="s">
        <v>158</v>
      </c>
      <c r="C161" s="10" t="s">
        <v>159</v>
      </c>
      <c r="D161" s="27">
        <v>33148249127.330002</v>
      </c>
      <c r="E161" s="27">
        <v>230747288.78</v>
      </c>
      <c r="F161" s="27">
        <v>0</v>
      </c>
      <c r="G161" s="27">
        <v>3846638.94</v>
      </c>
      <c r="H161" s="12">
        <f t="shared" si="77"/>
        <v>226900649.84</v>
      </c>
      <c r="I161" s="28">
        <v>33085562739.889999</v>
      </c>
      <c r="J161" s="13">
        <f t="shared" si="79"/>
        <v>7.84213348105543E-2</v>
      </c>
      <c r="K161" s="28">
        <v>32964592009.080002</v>
      </c>
      <c r="L161" s="13">
        <f t="shared" si="80"/>
        <v>6.8889862677108241E-2</v>
      </c>
      <c r="M161" s="13">
        <f t="shared" si="81"/>
        <v>-3.6562996301751811E-3</v>
      </c>
      <c r="N161" s="20">
        <f t="shared" si="82"/>
        <v>1.1669002118820261E-4</v>
      </c>
      <c r="O161" s="21">
        <f t="shared" si="83"/>
        <v>6.8831626909716002E-3</v>
      </c>
      <c r="P161" s="22">
        <f t="shared" si="84"/>
        <v>12.354296299185672</v>
      </c>
      <c r="Q161" s="22">
        <f t="shared" si="85"/>
        <v>8.5036631359763318E-2</v>
      </c>
      <c r="R161" s="27">
        <v>12.35</v>
      </c>
      <c r="S161" s="27">
        <v>12.35</v>
      </c>
      <c r="T161" s="27">
        <v>210769</v>
      </c>
      <c r="U161" s="27">
        <v>2668269500</v>
      </c>
      <c r="V161" s="27">
        <v>2668269500</v>
      </c>
    </row>
    <row r="162" spans="1:22" ht="15" customHeight="1">
      <c r="A162" s="129" t="s">
        <v>51</v>
      </c>
      <c r="B162" s="129"/>
      <c r="C162" s="129"/>
      <c r="D162" s="129"/>
      <c r="E162" s="129"/>
      <c r="F162" s="129"/>
      <c r="G162" s="129"/>
      <c r="H162" s="129"/>
      <c r="I162" s="36">
        <f>SUM(I156:I161)</f>
        <v>421894919537.08997</v>
      </c>
      <c r="J162" s="34">
        <f>(I162/$I$237)</f>
        <v>6.1655540415949395E-2</v>
      </c>
      <c r="K162" s="36">
        <f>SUM(K156:K161)</f>
        <v>478511507035.33002</v>
      </c>
      <c r="L162" s="34">
        <f>(K162/$K$237)</f>
        <v>6.6168577592669878E-2</v>
      </c>
      <c r="M162" s="34">
        <f t="shared" si="78"/>
        <v>0.13419594519024003</v>
      </c>
      <c r="N162" s="20"/>
      <c r="O162" s="20"/>
      <c r="P162" s="37"/>
      <c r="Q162" s="37"/>
      <c r="R162" s="36"/>
      <c r="S162" s="36"/>
      <c r="T162" s="36">
        <f>SUM(T156:T161)</f>
        <v>221518</v>
      </c>
      <c r="U162" s="36"/>
      <c r="V162" s="36"/>
    </row>
    <row r="163" spans="1:22" ht="4.95" customHeight="1">
      <c r="A163" s="135"/>
      <c r="B163" s="135"/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</row>
    <row r="164" spans="1:22" ht="13.95" customHeight="1">
      <c r="A164" s="136" t="s">
        <v>302</v>
      </c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8"/>
    </row>
    <row r="165" spans="1:22">
      <c r="A165" s="76">
        <v>143</v>
      </c>
      <c r="B165" s="25" t="s">
        <v>161</v>
      </c>
      <c r="C165" s="25" t="s">
        <v>55</v>
      </c>
      <c r="D165" s="29">
        <v>560374928.75999999</v>
      </c>
      <c r="E165" s="29">
        <v>24083958.34</v>
      </c>
      <c r="F165" s="29">
        <v>16004235.550000001</v>
      </c>
      <c r="G165" s="10">
        <v>1200774.1200000001</v>
      </c>
      <c r="H165" s="12">
        <f>(E165+F165)-G165</f>
        <v>38887419.770000003</v>
      </c>
      <c r="I165" s="10">
        <v>553998002.04999995</v>
      </c>
      <c r="J165" s="13">
        <f t="shared" ref="J165:J193" si="86">(I165/$I$194)</f>
        <v>7.1988465749572841E-3</v>
      </c>
      <c r="K165" s="10">
        <v>563226948.75999999</v>
      </c>
      <c r="L165" s="13">
        <f t="shared" ref="L165" si="87">(K165/$K$194)</f>
        <v>6.9531950579247532E-3</v>
      </c>
      <c r="M165" s="13">
        <f t="shared" ref="M165:M194" si="88">((K165-I165)/I165)</f>
        <v>1.6658808652467123E-2</v>
      </c>
      <c r="N165" s="20">
        <f t="shared" ref="N165" si="89">(G165/K165)</f>
        <v>2.1319543083718269E-3</v>
      </c>
      <c r="O165" s="21">
        <f t="shared" ref="O165" si="90">H165/K165</f>
        <v>6.9043961507194426E-2</v>
      </c>
      <c r="P165" s="22">
        <f t="shared" ref="P165" si="91">K165/V165</f>
        <v>7.7042398561175549</v>
      </c>
      <c r="Q165" s="22">
        <f t="shared" ref="Q165" si="92">H165/V165</f>
        <v>0.53193124006797354</v>
      </c>
      <c r="R165" s="10">
        <v>7.3643999999999998</v>
      </c>
      <c r="S165" s="10">
        <v>7.4757999999999996</v>
      </c>
      <c r="T165" s="10">
        <v>11915</v>
      </c>
      <c r="U165" s="10">
        <v>73703975.239999995</v>
      </c>
      <c r="V165" s="10">
        <v>73106102.519999996</v>
      </c>
    </row>
    <row r="166" spans="1:22">
      <c r="A166" s="76">
        <v>144</v>
      </c>
      <c r="B166" s="25" t="s">
        <v>221</v>
      </c>
      <c r="C166" s="25" t="s">
        <v>222</v>
      </c>
      <c r="D166" s="29">
        <v>907725011.13999999</v>
      </c>
      <c r="E166" s="29">
        <v>5913835.1299999999</v>
      </c>
      <c r="F166" s="29">
        <v>44229463.850000001</v>
      </c>
      <c r="G166" s="10">
        <v>1614751.46</v>
      </c>
      <c r="H166" s="12">
        <f>(E166+F166)-G166</f>
        <v>48528547.520000003</v>
      </c>
      <c r="I166" s="10">
        <v>1050068642.46</v>
      </c>
      <c r="J166" s="13">
        <f t="shared" si="86"/>
        <v>1.364496446245481E-2</v>
      </c>
      <c r="K166" s="10">
        <v>1095075587.9300001</v>
      </c>
      <c r="L166" s="13">
        <f t="shared" ref="L166:L193" si="93">(K166/$K$194)</f>
        <v>1.3519016060599551E-2</v>
      </c>
      <c r="M166" s="13">
        <f t="shared" ref="M166:M193" si="94">((K166-I166)/I166)</f>
        <v>4.2860955608161076E-2</v>
      </c>
      <c r="N166" s="20">
        <f t="shared" ref="N166:N193" si="95">(G166/K166)</f>
        <v>1.4745570787970291E-3</v>
      </c>
      <c r="O166" s="21">
        <f t="shared" ref="O166:O193" si="96">H166/K166</f>
        <v>4.4315249152556281E-2</v>
      </c>
      <c r="P166" s="22">
        <f t="shared" ref="P166:P193" si="97">K166/V166</f>
        <v>2217.5108244115904</v>
      </c>
      <c r="Q166" s="22">
        <f t="shared" ref="Q166:Q193" si="98">H166/V166</f>
        <v>98.269544682290103</v>
      </c>
      <c r="R166" s="10">
        <v>2202.38</v>
      </c>
      <c r="S166" s="10">
        <v>2227.31</v>
      </c>
      <c r="T166" s="10">
        <v>153</v>
      </c>
      <c r="U166" s="10">
        <v>486697</v>
      </c>
      <c r="V166" s="10">
        <v>493831</v>
      </c>
    </row>
    <row r="167" spans="1:22">
      <c r="A167" s="76">
        <v>145</v>
      </c>
      <c r="B167" s="25" t="s">
        <v>162</v>
      </c>
      <c r="C167" s="10" t="s">
        <v>58</v>
      </c>
      <c r="D167" s="29">
        <v>8351229094.8100004</v>
      </c>
      <c r="E167" s="29">
        <v>201036991.88999999</v>
      </c>
      <c r="F167" s="29">
        <v>305274455.58999997</v>
      </c>
      <c r="G167" s="10">
        <v>38220216.210000001</v>
      </c>
      <c r="H167" s="12">
        <f t="shared" ref="H167:H193" si="99">(E167+F167)-G167</f>
        <v>468091231.26999998</v>
      </c>
      <c r="I167" s="10">
        <v>8981350972</v>
      </c>
      <c r="J167" s="13">
        <f t="shared" si="86"/>
        <v>0.1167068607540504</v>
      </c>
      <c r="K167" s="10">
        <v>9681033269</v>
      </c>
      <c r="L167" s="13">
        <f t="shared" si="93"/>
        <v>0.11951507794471593</v>
      </c>
      <c r="M167" s="13">
        <f t="shared" si="94"/>
        <v>7.7903903230294558E-2</v>
      </c>
      <c r="N167" s="20">
        <f t="shared" si="95"/>
        <v>3.9479480286868131E-3</v>
      </c>
      <c r="O167" s="21">
        <f t="shared" si="96"/>
        <v>4.8351371001780614E-2</v>
      </c>
      <c r="P167" s="22">
        <f t="shared" si="97"/>
        <v>1051.9965827886735</v>
      </c>
      <c r="Q167" s="22">
        <f t="shared" si="98"/>
        <v>50.865477067020571</v>
      </c>
      <c r="R167" s="10">
        <v>1046.7366</v>
      </c>
      <c r="S167" s="10">
        <v>1078.2964999999999</v>
      </c>
      <c r="T167" s="10">
        <v>22097</v>
      </c>
      <c r="U167" s="10">
        <v>8990639</v>
      </c>
      <c r="V167" s="10">
        <v>9202533</v>
      </c>
    </row>
    <row r="168" spans="1:22">
      <c r="A168" s="76">
        <v>146</v>
      </c>
      <c r="B168" s="25" t="s">
        <v>163</v>
      </c>
      <c r="C168" s="25" t="s">
        <v>105</v>
      </c>
      <c r="D168" s="29">
        <v>2647673385.6799998</v>
      </c>
      <c r="E168" s="29">
        <v>23420499.539999999</v>
      </c>
      <c r="F168" s="29">
        <v>75498345.400000006</v>
      </c>
      <c r="G168" s="10">
        <v>4425262.5599999996</v>
      </c>
      <c r="H168" s="12">
        <f t="shared" si="99"/>
        <v>94493582.379999995</v>
      </c>
      <c r="I168" s="10">
        <v>2471981828.4200001</v>
      </c>
      <c r="J168" s="13">
        <f t="shared" si="86"/>
        <v>3.2121808838711075E-2</v>
      </c>
      <c r="K168" s="10">
        <v>2568675410.8000002</v>
      </c>
      <c r="L168" s="13">
        <f t="shared" si="93"/>
        <v>3.1711020239903402E-2</v>
      </c>
      <c r="M168" s="13">
        <f t="shared" si="94"/>
        <v>3.9115814391646679E-2</v>
      </c>
      <c r="N168" s="20">
        <f t="shared" si="95"/>
        <v>1.7227799749995564E-3</v>
      </c>
      <c r="O168" s="21">
        <f t="shared" si="96"/>
        <v>3.6786891011103065E-2</v>
      </c>
      <c r="P168" s="22">
        <f t="shared" si="97"/>
        <v>6.1904455651464492</v>
      </c>
      <c r="Q168" s="22">
        <f t="shared" si="98"/>
        <v>0.22772724631520874</v>
      </c>
      <c r="R168" s="10">
        <v>5.9002999999999997</v>
      </c>
      <c r="S168" s="10">
        <v>6.0362</v>
      </c>
      <c r="T168" s="10">
        <v>2737</v>
      </c>
      <c r="U168" s="10">
        <v>414576211.83999997</v>
      </c>
      <c r="V168" s="10">
        <v>414941926.83999997</v>
      </c>
    </row>
    <row r="169" spans="1:22">
      <c r="A169" s="76">
        <v>147</v>
      </c>
      <c r="B169" s="25" t="s">
        <v>277</v>
      </c>
      <c r="C169" s="10" t="s">
        <v>103</v>
      </c>
      <c r="D169" s="29">
        <v>931859713.5</v>
      </c>
      <c r="E169" s="29">
        <v>8542660.8499999996</v>
      </c>
      <c r="F169" s="29">
        <v>27370754.170000002</v>
      </c>
      <c r="G169" s="10">
        <v>1622564.92</v>
      </c>
      <c r="H169" s="12">
        <f t="shared" ref="H169" si="100">(E169+F169)-G169</f>
        <v>34290850.100000001</v>
      </c>
      <c r="I169" s="10">
        <v>918873406.85000002</v>
      </c>
      <c r="J169" s="13">
        <f t="shared" si="86"/>
        <v>1.1940167028119437E-2</v>
      </c>
      <c r="K169" s="10">
        <v>931693464.55999994</v>
      </c>
      <c r="L169" s="13">
        <f t="shared" si="93"/>
        <v>1.1502017805685409E-2</v>
      </c>
      <c r="M169" s="13">
        <f t="shared" si="94"/>
        <v>1.3951930281613546E-2</v>
      </c>
      <c r="N169" s="20">
        <f t="shared" si="95"/>
        <v>1.7415222728499762E-3</v>
      </c>
      <c r="O169" s="21">
        <f t="shared" si="96"/>
        <v>3.6804862762662122E-2</v>
      </c>
      <c r="P169" s="22">
        <f t="shared" si="97"/>
        <v>1.1714157472597384</v>
      </c>
      <c r="Q169" s="22">
        <f t="shared" si="98"/>
        <v>4.311379581591597E-2</v>
      </c>
      <c r="R169" s="10">
        <v>1.1666000000000001</v>
      </c>
      <c r="S169" s="10">
        <v>1.1741999999999999</v>
      </c>
      <c r="T169" s="10">
        <v>211</v>
      </c>
      <c r="U169" s="10">
        <v>818060412.78999996</v>
      </c>
      <c r="V169" s="10">
        <v>795356786.63999999</v>
      </c>
    </row>
    <row r="170" spans="1:22">
      <c r="A170" s="76">
        <v>148</v>
      </c>
      <c r="B170" s="25" t="s">
        <v>164</v>
      </c>
      <c r="C170" s="25" t="s">
        <v>60</v>
      </c>
      <c r="D170" s="29">
        <v>6391291139.8100004</v>
      </c>
      <c r="E170" s="29">
        <v>100913279</v>
      </c>
      <c r="F170" s="29">
        <v>1916967989.4300001</v>
      </c>
      <c r="G170" s="10">
        <v>16200598.130000001</v>
      </c>
      <c r="H170" s="12">
        <f t="shared" si="99"/>
        <v>2001680670.3</v>
      </c>
      <c r="I170" s="10">
        <v>6049152346.9700003</v>
      </c>
      <c r="J170" s="13">
        <f t="shared" si="86"/>
        <v>7.8604831593687891E-2</v>
      </c>
      <c r="K170" s="10">
        <v>6366006827.71</v>
      </c>
      <c r="L170" s="13">
        <f t="shared" si="93"/>
        <v>7.8590144364718673E-2</v>
      </c>
      <c r="M170" s="13">
        <f t="shared" si="94"/>
        <v>5.2379980295703926E-2</v>
      </c>
      <c r="N170" s="20">
        <f t="shared" si="95"/>
        <v>2.5448603132943435E-3</v>
      </c>
      <c r="O170" s="21">
        <f t="shared" si="96"/>
        <v>0.31443269296964466</v>
      </c>
      <c r="P170" s="22">
        <f t="shared" si="97"/>
        <v>11585.24346521358</v>
      </c>
      <c r="Q170" s="22">
        <f t="shared" si="98"/>
        <v>3642.7793014760832</v>
      </c>
      <c r="R170" s="10">
        <v>11585.24</v>
      </c>
      <c r="S170" s="10">
        <v>11674.07</v>
      </c>
      <c r="T170" s="10">
        <v>1312</v>
      </c>
      <c r="U170" s="10">
        <v>533431.13</v>
      </c>
      <c r="V170" s="10">
        <v>549492.71</v>
      </c>
    </row>
    <row r="171" spans="1:22" ht="14.1" customHeight="1">
      <c r="A171" s="76">
        <v>149</v>
      </c>
      <c r="B171" s="25" t="s">
        <v>165</v>
      </c>
      <c r="C171" s="10" t="s">
        <v>62</v>
      </c>
      <c r="D171" s="29">
        <v>982041200.03999996</v>
      </c>
      <c r="E171" s="29">
        <v>12368428.960000001</v>
      </c>
      <c r="F171" s="29">
        <v>417156.34</v>
      </c>
      <c r="G171" s="10">
        <v>2123320.6800000002</v>
      </c>
      <c r="H171" s="12">
        <f t="shared" si="99"/>
        <v>10662264.620000001</v>
      </c>
      <c r="I171" s="10">
        <v>1109004752.8499999</v>
      </c>
      <c r="J171" s="13">
        <f t="shared" si="86"/>
        <v>1.4410801189035755E-2</v>
      </c>
      <c r="K171" s="10">
        <v>1241316828.8299999</v>
      </c>
      <c r="L171" s="13">
        <f t="shared" si="93"/>
        <v>1.5324405301525158E-2</v>
      </c>
      <c r="M171" s="13">
        <f t="shared" si="94"/>
        <v>0.11930704141706784</v>
      </c>
      <c r="N171" s="20">
        <f t="shared" si="95"/>
        <v>1.7105388654090276E-3</v>
      </c>
      <c r="O171" s="21">
        <f t="shared" si="96"/>
        <v>8.589478827939272E-3</v>
      </c>
      <c r="P171" s="22">
        <f t="shared" si="97"/>
        <v>229.33768603388822</v>
      </c>
      <c r="Q171" s="22">
        <f t="shared" si="98"/>
        <v>1.9698911986366667</v>
      </c>
      <c r="R171" s="10">
        <v>230.07</v>
      </c>
      <c r="S171" s="10">
        <v>231.77</v>
      </c>
      <c r="T171" s="10">
        <v>516</v>
      </c>
      <c r="U171" s="10">
        <v>4894571</v>
      </c>
      <c r="V171" s="10">
        <v>5412616</v>
      </c>
    </row>
    <row r="172" spans="1:22">
      <c r="A172" s="76">
        <v>150</v>
      </c>
      <c r="B172" s="25" t="s">
        <v>166</v>
      </c>
      <c r="C172" s="10" t="s">
        <v>64</v>
      </c>
      <c r="D172" s="29">
        <v>1025877577.6799999</v>
      </c>
      <c r="E172" s="29">
        <v>6543652.5599999996</v>
      </c>
      <c r="F172" s="29">
        <v>97386000</v>
      </c>
      <c r="G172" s="10">
        <v>2303898.7599999998</v>
      </c>
      <c r="H172" s="12">
        <f t="shared" si="99"/>
        <v>101625753.8</v>
      </c>
      <c r="I172" s="10">
        <v>766699896.29999995</v>
      </c>
      <c r="J172" s="13">
        <f t="shared" si="86"/>
        <v>9.9627704469613266E-3</v>
      </c>
      <c r="K172" s="10">
        <v>1061840043.27</v>
      </c>
      <c r="L172" s="13">
        <f t="shared" si="93"/>
        <v>1.3108713916168918E-2</v>
      </c>
      <c r="M172" s="13">
        <f t="shared" si="94"/>
        <v>0.38494872425874888</v>
      </c>
      <c r="N172" s="20">
        <f t="shared" si="95"/>
        <v>2.1697229960409158E-3</v>
      </c>
      <c r="O172" s="21">
        <f t="shared" si="96"/>
        <v>9.5707215455010916E-2</v>
      </c>
      <c r="P172" s="22">
        <f t="shared" si="97"/>
        <v>2.137502154962978</v>
      </c>
      <c r="Q172" s="22">
        <f t="shared" si="98"/>
        <v>0.20457437928059186</v>
      </c>
      <c r="R172" s="10">
        <v>2.1156999999999999</v>
      </c>
      <c r="S172" s="10">
        <v>2.1515</v>
      </c>
      <c r="T172" s="10">
        <v>2676</v>
      </c>
      <c r="U172" s="10">
        <v>377049835.79000002</v>
      </c>
      <c r="V172" s="10">
        <v>496766770.88</v>
      </c>
    </row>
    <row r="173" spans="1:22">
      <c r="A173" s="76">
        <v>151</v>
      </c>
      <c r="B173" s="25" t="s">
        <v>223</v>
      </c>
      <c r="C173" s="25" t="s">
        <v>48</v>
      </c>
      <c r="D173" s="29">
        <v>176082502.28</v>
      </c>
      <c r="E173" s="29">
        <v>411694.65</v>
      </c>
      <c r="F173" s="29">
        <v>0</v>
      </c>
      <c r="G173" s="10">
        <v>341267.92</v>
      </c>
      <c r="H173" s="12">
        <f>(E173+F173)-G173</f>
        <v>70426.73000000004</v>
      </c>
      <c r="I173" s="10">
        <v>167190238.28999999</v>
      </c>
      <c r="J173" s="13">
        <f t="shared" si="86"/>
        <v>2.1725292687456883E-3</v>
      </c>
      <c r="K173" s="10">
        <v>176426273.56</v>
      </c>
      <c r="L173" s="13">
        <f t="shared" si="93"/>
        <v>2.178031956933581E-3</v>
      </c>
      <c r="M173" s="13">
        <f t="shared" si="94"/>
        <v>5.5242670651498425E-2</v>
      </c>
      <c r="N173" s="20">
        <f t="shared" si="95"/>
        <v>1.9343372906640221E-3</v>
      </c>
      <c r="O173" s="21">
        <f t="shared" si="96"/>
        <v>3.9918504528209592E-4</v>
      </c>
      <c r="P173" s="22">
        <f t="shared" si="97"/>
        <v>212.64349452463676</v>
      </c>
      <c r="Q173" s="22">
        <f t="shared" si="98"/>
        <v>8.4884102990760241E-2</v>
      </c>
      <c r="R173" s="10">
        <v>212.64349999999999</v>
      </c>
      <c r="S173" s="10">
        <v>212.64349999999999</v>
      </c>
      <c r="T173" s="10">
        <v>127</v>
      </c>
      <c r="U173" s="10">
        <v>826101.97</v>
      </c>
      <c r="V173" s="10">
        <v>829681.03</v>
      </c>
    </row>
    <row r="174" spans="1:22">
      <c r="A174" s="76">
        <v>152</v>
      </c>
      <c r="B174" s="25" t="s">
        <v>167</v>
      </c>
      <c r="C174" s="25" t="s">
        <v>168</v>
      </c>
      <c r="D174" s="29">
        <v>372049406.26999998</v>
      </c>
      <c r="E174" s="29">
        <v>2657682.1</v>
      </c>
      <c r="F174" s="29">
        <v>0</v>
      </c>
      <c r="G174" s="10">
        <v>807696.94</v>
      </c>
      <c r="H174" s="12">
        <f>(E174+F174)-G174</f>
        <v>1849985.1600000001</v>
      </c>
      <c r="I174" s="10">
        <v>339922053.50999999</v>
      </c>
      <c r="J174" s="13">
        <f t="shared" si="86"/>
        <v>4.4170677540495123E-3</v>
      </c>
      <c r="K174" s="10">
        <v>405234146.47000003</v>
      </c>
      <c r="L174" s="13">
        <f t="shared" si="93"/>
        <v>5.0027294871826441E-3</v>
      </c>
      <c r="M174" s="13">
        <f t="shared" si="94"/>
        <v>0.19213843963812915</v>
      </c>
      <c r="N174" s="20">
        <f t="shared" si="95"/>
        <v>1.9931611070682434E-3</v>
      </c>
      <c r="O174" s="21">
        <f t="shared" si="96"/>
        <v>4.5652252558557689E-3</v>
      </c>
      <c r="P174" s="22">
        <f t="shared" si="97"/>
        <v>185.46957629356646</v>
      </c>
      <c r="Q174" s="22">
        <f t="shared" si="98"/>
        <v>0.84671039388825808</v>
      </c>
      <c r="R174" s="10">
        <v>128.76</v>
      </c>
      <c r="S174" s="10">
        <v>129.74</v>
      </c>
      <c r="T174" s="10">
        <v>102</v>
      </c>
      <c r="U174" s="10">
        <v>2114694</v>
      </c>
      <c r="V174" s="10">
        <v>2184909</v>
      </c>
    </row>
    <row r="175" spans="1:22">
      <c r="A175" s="76">
        <v>153</v>
      </c>
      <c r="B175" s="25" t="s">
        <v>169</v>
      </c>
      <c r="C175" s="10" t="s">
        <v>69</v>
      </c>
      <c r="D175" s="29">
        <v>529121060.27999997</v>
      </c>
      <c r="E175" s="29">
        <v>3293087.36</v>
      </c>
      <c r="F175" s="29">
        <v>40036802.200000003</v>
      </c>
      <c r="G175" s="10">
        <v>1016363.48</v>
      </c>
      <c r="H175" s="12">
        <f t="shared" si="99"/>
        <v>42313526.080000006</v>
      </c>
      <c r="I175" s="10">
        <v>482234440.04000002</v>
      </c>
      <c r="J175" s="13">
        <f t="shared" si="86"/>
        <v>6.266325391359592E-3</v>
      </c>
      <c r="K175" s="10">
        <v>526066540.29000002</v>
      </c>
      <c r="L175" s="13">
        <f t="shared" si="93"/>
        <v>6.4944393661153935E-3</v>
      </c>
      <c r="M175" s="13">
        <f t="shared" si="94"/>
        <v>9.0893757497627597E-2</v>
      </c>
      <c r="N175" s="20">
        <f t="shared" si="95"/>
        <v>1.9320055585358429E-3</v>
      </c>
      <c r="O175" s="21">
        <f t="shared" si="96"/>
        <v>8.0433790859753607E-2</v>
      </c>
      <c r="P175" s="22">
        <f t="shared" si="97"/>
        <v>1.8435579549304018</v>
      </c>
      <c r="Q175" s="22">
        <f t="shared" si="98"/>
        <v>0.14828435498470699</v>
      </c>
      <c r="R175" s="10">
        <v>1.8305</v>
      </c>
      <c r="S175" s="10">
        <v>1.8514999999999999</v>
      </c>
      <c r="T175" s="10">
        <v>117</v>
      </c>
      <c r="U175" s="10">
        <v>277582379.61000001</v>
      </c>
      <c r="V175" s="10">
        <v>285353947.72000003</v>
      </c>
    </row>
    <row r="176" spans="1:22">
      <c r="A176" s="76">
        <v>154</v>
      </c>
      <c r="B176" s="10" t="s">
        <v>170</v>
      </c>
      <c r="C176" s="10" t="s">
        <v>73</v>
      </c>
      <c r="D176" s="29">
        <v>14338192860.209999</v>
      </c>
      <c r="E176" s="29">
        <v>81845327.109999999</v>
      </c>
      <c r="F176" s="29">
        <v>860736066.49000001</v>
      </c>
      <c r="G176" s="10">
        <v>23071404.960000001</v>
      </c>
      <c r="H176" s="12">
        <v>249226793.88</v>
      </c>
      <c r="I176" s="10">
        <v>13311736050.309999</v>
      </c>
      <c r="J176" s="13">
        <f t="shared" si="86"/>
        <v>0.17297742070893007</v>
      </c>
      <c r="K176" s="10">
        <v>14189951966.530001</v>
      </c>
      <c r="L176" s="13">
        <f t="shared" si="93"/>
        <v>0.17517894714215634</v>
      </c>
      <c r="M176" s="13">
        <f t="shared" si="94"/>
        <v>6.5973056624687929E-2</v>
      </c>
      <c r="N176" s="20">
        <f t="shared" si="95"/>
        <v>1.6258973261092627E-3</v>
      </c>
      <c r="O176" s="21">
        <f t="shared" si="96"/>
        <v>1.756361081896923E-2</v>
      </c>
      <c r="P176" s="22">
        <f t="shared" si="97"/>
        <v>472.04367481722636</v>
      </c>
      <c r="Q176" s="22">
        <f t="shared" si="98"/>
        <v>8.2907913940458293</v>
      </c>
      <c r="R176" s="10">
        <v>472.04</v>
      </c>
      <c r="S176" s="10">
        <v>476.8</v>
      </c>
      <c r="T176" s="10">
        <v>5530</v>
      </c>
      <c r="U176" s="10">
        <v>29945215</v>
      </c>
      <c r="V176" s="10">
        <v>30060676</v>
      </c>
    </row>
    <row r="177" spans="1:22" ht="15.6" customHeight="1">
      <c r="A177" s="76">
        <v>155</v>
      </c>
      <c r="B177" s="10" t="s">
        <v>171</v>
      </c>
      <c r="C177" s="25" t="s">
        <v>250</v>
      </c>
      <c r="D177" s="29">
        <v>4441553930.8400002</v>
      </c>
      <c r="E177" s="29">
        <v>35828271.630000003</v>
      </c>
      <c r="F177" s="29">
        <v>115587366.45</v>
      </c>
      <c r="G177" s="10">
        <v>13504785.859999999</v>
      </c>
      <c r="H177" s="12">
        <v>31448345.73</v>
      </c>
      <c r="I177" s="10">
        <v>4226681457.3499999</v>
      </c>
      <c r="J177" s="13">
        <f t="shared" si="86"/>
        <v>5.4922998314231038E-2</v>
      </c>
      <c r="K177" s="10">
        <v>4387525993.3900003</v>
      </c>
      <c r="L177" s="13">
        <f t="shared" si="93"/>
        <v>5.4165242130051916E-2</v>
      </c>
      <c r="M177" s="13">
        <f t="shared" si="94"/>
        <v>3.8054567788707937E-2</v>
      </c>
      <c r="N177" s="20">
        <f t="shared" si="95"/>
        <v>3.0779956358880948E-3</v>
      </c>
      <c r="O177" s="21">
        <f t="shared" si="96"/>
        <v>7.1676716622028694E-3</v>
      </c>
      <c r="P177" s="22">
        <f t="shared" si="97"/>
        <v>3.0815162730558097</v>
      </c>
      <c r="Q177" s="22">
        <f t="shared" si="98"/>
        <v>2.2087296866999128E-2</v>
      </c>
      <c r="R177" s="10">
        <v>3.0484</v>
      </c>
      <c r="S177" s="10">
        <v>3.1093999999999999</v>
      </c>
      <c r="T177" s="10">
        <v>10291</v>
      </c>
      <c r="U177" s="10">
        <v>1416409034.46</v>
      </c>
      <c r="V177" s="10">
        <v>1423820484.6600001</v>
      </c>
    </row>
    <row r="178" spans="1:22">
      <c r="A178" s="76">
        <v>156</v>
      </c>
      <c r="B178" s="25" t="s">
        <v>172</v>
      </c>
      <c r="C178" s="10" t="s">
        <v>77</v>
      </c>
      <c r="D178" s="29">
        <v>252484193.09</v>
      </c>
      <c r="E178" s="29">
        <v>1879061.68</v>
      </c>
      <c r="F178" s="29">
        <v>0</v>
      </c>
      <c r="G178" s="10">
        <v>563926.88</v>
      </c>
      <c r="H178" s="12">
        <f t="shared" si="99"/>
        <v>1315134.7999999998</v>
      </c>
      <c r="I178" s="10">
        <v>298381313.76999998</v>
      </c>
      <c r="J178" s="13">
        <f t="shared" si="86"/>
        <v>3.8772726448759931E-3</v>
      </c>
      <c r="K178" s="10">
        <v>290737308.45999998</v>
      </c>
      <c r="L178" s="13">
        <f t="shared" si="93"/>
        <v>3.5892338262383688E-3</v>
      </c>
      <c r="M178" s="13">
        <f t="shared" si="94"/>
        <v>-2.5618244029491064E-2</v>
      </c>
      <c r="N178" s="20">
        <f t="shared" si="95"/>
        <v>1.9396440139968683E-3</v>
      </c>
      <c r="O178" s="21">
        <f t="shared" si="96"/>
        <v>4.523446980252064E-3</v>
      </c>
      <c r="P178" s="22">
        <f t="shared" si="97"/>
        <v>331.41811293243433</v>
      </c>
      <c r="Q178" s="22">
        <f t="shared" si="98"/>
        <v>1.4991522621450575</v>
      </c>
      <c r="R178" s="10">
        <v>331.41809999999998</v>
      </c>
      <c r="S178" s="10">
        <v>333.59690000000001</v>
      </c>
      <c r="T178" s="10">
        <v>65</v>
      </c>
      <c r="U178" s="10">
        <v>877252.32</v>
      </c>
      <c r="V178" s="10">
        <v>877252.32</v>
      </c>
    </row>
    <row r="179" spans="1:22">
      <c r="A179" s="76">
        <v>157</v>
      </c>
      <c r="B179" s="25" t="s">
        <v>226</v>
      </c>
      <c r="C179" s="25" t="s">
        <v>225</v>
      </c>
      <c r="D179" s="29">
        <v>71313873.180000007</v>
      </c>
      <c r="E179" s="29">
        <v>3520017.43</v>
      </c>
      <c r="F179" s="29">
        <v>0</v>
      </c>
      <c r="G179" s="10">
        <v>105787.84</v>
      </c>
      <c r="H179" s="12">
        <f>(E179+F179)-G179</f>
        <v>3414229.5900000003</v>
      </c>
      <c r="I179" s="10">
        <v>69124959.799999997</v>
      </c>
      <c r="J179" s="13">
        <f t="shared" si="86"/>
        <v>8.9823425041048849E-4</v>
      </c>
      <c r="K179" s="10">
        <v>71670531.959999993</v>
      </c>
      <c r="L179" s="13">
        <f t="shared" si="93"/>
        <v>8.8479287029900335E-4</v>
      </c>
      <c r="M179" s="13">
        <f t="shared" si="94"/>
        <v>3.682565845050946E-2</v>
      </c>
      <c r="N179" s="20">
        <f t="shared" si="95"/>
        <v>1.4760297866777549E-3</v>
      </c>
      <c r="O179" s="21">
        <f t="shared" si="96"/>
        <v>4.763784356875591E-2</v>
      </c>
      <c r="P179" s="22">
        <f t="shared" si="97"/>
        <v>1.4094904585264394</v>
      </c>
      <c r="Q179" s="22">
        <f t="shared" si="98"/>
        <v>6.7145085974936555E-2</v>
      </c>
      <c r="R179" s="10">
        <v>1.379</v>
      </c>
      <c r="S179" s="10">
        <v>1.405</v>
      </c>
      <c r="T179" s="10">
        <v>27</v>
      </c>
      <c r="U179" s="10">
        <v>50832540</v>
      </c>
      <c r="V179" s="10">
        <v>50848540</v>
      </c>
    </row>
    <row r="180" spans="1:22">
      <c r="A180" s="76">
        <v>158</v>
      </c>
      <c r="B180" s="10" t="s">
        <v>173</v>
      </c>
      <c r="C180" s="10" t="s">
        <v>36</v>
      </c>
      <c r="D180" s="29">
        <v>5325073326.5</v>
      </c>
      <c r="E180" s="29">
        <v>45824717.810000002</v>
      </c>
      <c r="F180" s="29">
        <v>121671208.11</v>
      </c>
      <c r="G180" s="10">
        <v>10817366.43</v>
      </c>
      <c r="H180" s="12">
        <f t="shared" si="99"/>
        <v>156678559.49000001</v>
      </c>
      <c r="I180" s="10">
        <v>4791039836.21</v>
      </c>
      <c r="J180" s="13">
        <f t="shared" si="86"/>
        <v>6.2256471300904524E-2</v>
      </c>
      <c r="K180" s="10">
        <v>5035107027.5</v>
      </c>
      <c r="L180" s="13">
        <f t="shared" si="93"/>
        <v>6.2159812091401812E-2</v>
      </c>
      <c r="M180" s="13">
        <f t="shared" si="94"/>
        <v>5.0942425785186492E-2</v>
      </c>
      <c r="N180" s="20">
        <f t="shared" si="95"/>
        <v>2.1483885786179545E-3</v>
      </c>
      <c r="O180" s="21">
        <f t="shared" si="96"/>
        <v>3.1117225241544283E-2</v>
      </c>
      <c r="P180" s="22">
        <f t="shared" si="97"/>
        <v>6.110330616000903</v>
      </c>
      <c r="Q180" s="22">
        <f t="shared" si="98"/>
        <v>0.19013653407840411</v>
      </c>
      <c r="R180" s="10">
        <v>6.07</v>
      </c>
      <c r="S180" s="10">
        <v>6.21</v>
      </c>
      <c r="T180" s="10">
        <v>3246</v>
      </c>
      <c r="U180" s="10">
        <v>789704386</v>
      </c>
      <c r="V180" s="10">
        <v>824031847.69000006</v>
      </c>
    </row>
    <row r="181" spans="1:22">
      <c r="A181" s="76">
        <v>159</v>
      </c>
      <c r="B181" s="25" t="s">
        <v>254</v>
      </c>
      <c r="C181" s="25" t="s">
        <v>255</v>
      </c>
      <c r="D181" s="17">
        <v>110313375.45999999</v>
      </c>
      <c r="E181" s="17">
        <v>1282124.0900000001</v>
      </c>
      <c r="F181" s="17">
        <v>2207026.2000000002</v>
      </c>
      <c r="G181" s="17">
        <v>389359.05</v>
      </c>
      <c r="H181" s="12">
        <f t="shared" si="99"/>
        <v>3099791.24</v>
      </c>
      <c r="I181" s="17">
        <v>104634532.88</v>
      </c>
      <c r="J181" s="13">
        <f t="shared" si="86"/>
        <v>1.3596582403874093E-3</v>
      </c>
      <c r="K181" s="17">
        <v>107761553.37</v>
      </c>
      <c r="L181" s="13">
        <f t="shared" si="93"/>
        <v>1.3303466781484951E-3</v>
      </c>
      <c r="M181" s="13">
        <f t="shared" si="94"/>
        <v>2.9885167008737255E-2</v>
      </c>
      <c r="N181" s="20">
        <f t="shared" si="95"/>
        <v>3.6131536510348281E-3</v>
      </c>
      <c r="O181" s="21">
        <f t="shared" si="96"/>
        <v>2.8765279852238642E-2</v>
      </c>
      <c r="P181" s="22">
        <f t="shared" si="97"/>
        <v>2.7540889744120696</v>
      </c>
      <c r="Q181" s="22">
        <f t="shared" si="98"/>
        <v>7.9222140086928086E-2</v>
      </c>
      <c r="R181" s="17">
        <v>2.7452999999999999</v>
      </c>
      <c r="S181" s="17">
        <v>2.7591000000000001</v>
      </c>
      <c r="T181" s="17">
        <v>108</v>
      </c>
      <c r="U181" s="17">
        <v>39095143.579999998</v>
      </c>
      <c r="V181" s="17">
        <v>39127840.229999997</v>
      </c>
    </row>
    <row r="182" spans="1:22">
      <c r="A182" s="76">
        <v>160</v>
      </c>
      <c r="B182" s="10" t="s">
        <v>174</v>
      </c>
      <c r="C182" s="10" t="s">
        <v>115</v>
      </c>
      <c r="D182" s="29">
        <v>980130790</v>
      </c>
      <c r="E182" s="29">
        <v>7855303.1799999997</v>
      </c>
      <c r="F182" s="29">
        <v>0</v>
      </c>
      <c r="G182" s="10">
        <v>1691955.31</v>
      </c>
      <c r="H182" s="12">
        <f t="shared" si="99"/>
        <v>6163347.8699999992</v>
      </c>
      <c r="I182" s="10">
        <v>901954442.39999998</v>
      </c>
      <c r="J182" s="13">
        <f t="shared" si="86"/>
        <v>1.1720316001884664E-2</v>
      </c>
      <c r="K182" s="10">
        <v>969825299.70000005</v>
      </c>
      <c r="L182" s="13">
        <f t="shared" si="93"/>
        <v>1.1972766032894312E-2</v>
      </c>
      <c r="M182" s="13">
        <f t="shared" si="94"/>
        <v>7.524865349008461E-2</v>
      </c>
      <c r="N182" s="20">
        <f t="shared" si="95"/>
        <v>1.7445980327832028E-3</v>
      </c>
      <c r="O182" s="21">
        <f t="shared" si="96"/>
        <v>6.3551114534819127E-3</v>
      </c>
      <c r="P182" s="22">
        <f t="shared" si="97"/>
        <v>360.08037584074003</v>
      </c>
      <c r="Q182" s="22">
        <f t="shared" si="98"/>
        <v>2.2883509206795591</v>
      </c>
      <c r="R182" s="10">
        <v>357.75</v>
      </c>
      <c r="S182" s="10">
        <v>361.78</v>
      </c>
      <c r="T182" s="10">
        <v>248</v>
      </c>
      <c r="U182" s="10">
        <v>2617877.42</v>
      </c>
      <c r="V182" s="10">
        <v>2693357.83</v>
      </c>
    </row>
    <row r="183" spans="1:22">
      <c r="A183" s="76">
        <v>161</v>
      </c>
      <c r="B183" s="25" t="s">
        <v>175</v>
      </c>
      <c r="C183" s="10" t="s">
        <v>32</v>
      </c>
      <c r="D183" s="29">
        <v>2323855006.5799999</v>
      </c>
      <c r="E183" s="29">
        <v>15408652.460000001</v>
      </c>
      <c r="F183" s="29">
        <v>10412770.74</v>
      </c>
      <c r="G183" s="10">
        <v>6004529.6500000004</v>
      </c>
      <c r="H183" s="12">
        <f t="shared" si="99"/>
        <v>19816893.550000004</v>
      </c>
      <c r="I183" s="10">
        <v>2089212674.47</v>
      </c>
      <c r="J183" s="13">
        <f t="shared" si="86"/>
        <v>2.7147970661107745E-2</v>
      </c>
      <c r="K183" s="10">
        <v>2253305811.8899999</v>
      </c>
      <c r="L183" s="13">
        <f t="shared" si="93"/>
        <v>2.7817693861631819E-2</v>
      </c>
      <c r="M183" s="13">
        <f t="shared" si="94"/>
        <v>7.8543050894341174E-2</v>
      </c>
      <c r="N183" s="20">
        <f t="shared" si="95"/>
        <v>2.6647646397199836E-3</v>
      </c>
      <c r="O183" s="21">
        <f t="shared" si="96"/>
        <v>8.7945868001726036E-3</v>
      </c>
      <c r="P183" s="22">
        <f t="shared" si="97"/>
        <v>3020.7196352168376</v>
      </c>
      <c r="Q183" s="22">
        <f t="shared" si="98"/>
        <v>26.5659810309002</v>
      </c>
      <c r="R183" s="10">
        <v>552.22</v>
      </c>
      <c r="S183" s="10">
        <v>552.22</v>
      </c>
      <c r="T183" s="10">
        <v>823</v>
      </c>
      <c r="U183" s="10">
        <v>745950</v>
      </c>
      <c r="V183" s="10">
        <v>745950</v>
      </c>
    </row>
    <row r="184" spans="1:22">
      <c r="A184" s="76">
        <v>162</v>
      </c>
      <c r="B184" s="25" t="s">
        <v>176</v>
      </c>
      <c r="C184" s="10" t="s">
        <v>83</v>
      </c>
      <c r="D184" s="29">
        <v>36882294.579999998</v>
      </c>
      <c r="E184" s="29">
        <v>358574.11</v>
      </c>
      <c r="F184" s="29">
        <v>859020.3</v>
      </c>
      <c r="G184" s="10">
        <v>18568.02</v>
      </c>
      <c r="H184" s="12">
        <f t="shared" si="99"/>
        <v>1199026.3900000001</v>
      </c>
      <c r="I184" s="10">
        <v>49470953.310000002</v>
      </c>
      <c r="J184" s="13">
        <f t="shared" si="86"/>
        <v>6.428431176244984E-4</v>
      </c>
      <c r="K184" s="10">
        <v>49909455.149999999</v>
      </c>
      <c r="L184" s="13">
        <f t="shared" si="93"/>
        <v>6.1614625801680565E-4</v>
      </c>
      <c r="M184" s="13">
        <f t="shared" si="94"/>
        <v>8.8638243385408509E-3</v>
      </c>
      <c r="N184" s="20">
        <f t="shared" si="95"/>
        <v>3.7203411546359071E-4</v>
      </c>
      <c r="O184" s="21">
        <f t="shared" si="96"/>
        <v>2.4024032849014186E-2</v>
      </c>
      <c r="P184" s="22">
        <f t="shared" si="97"/>
        <v>2.7155485528980043</v>
      </c>
      <c r="Q184" s="22">
        <f t="shared" si="98"/>
        <v>6.5238427637914598E-2</v>
      </c>
      <c r="R184" s="10">
        <v>2.62</v>
      </c>
      <c r="S184" s="10">
        <v>2.62</v>
      </c>
      <c r="T184" s="10">
        <v>8</v>
      </c>
      <c r="U184" s="10">
        <v>18680135.710000001</v>
      </c>
      <c r="V184" s="10">
        <v>18379142.989999998</v>
      </c>
    </row>
    <row r="185" spans="1:22">
      <c r="A185" s="76">
        <v>163</v>
      </c>
      <c r="B185" s="10" t="s">
        <v>177</v>
      </c>
      <c r="C185" s="10" t="s">
        <v>42</v>
      </c>
      <c r="D185" s="29">
        <v>395221192.89999998</v>
      </c>
      <c r="E185" s="29">
        <v>6755083.3899999997</v>
      </c>
      <c r="F185" s="29">
        <v>144911832.93000001</v>
      </c>
      <c r="G185" s="10">
        <v>572226.09</v>
      </c>
      <c r="H185" s="12">
        <f t="shared" si="99"/>
        <v>151094690.22999999</v>
      </c>
      <c r="I185" s="10">
        <v>368768169.42000002</v>
      </c>
      <c r="J185" s="13">
        <f t="shared" si="86"/>
        <v>4.7919044176315271E-3</v>
      </c>
      <c r="K185" s="10">
        <v>401087470.00999999</v>
      </c>
      <c r="L185" s="13">
        <f t="shared" si="93"/>
        <v>4.9515376002674969E-3</v>
      </c>
      <c r="M185" s="13">
        <f t="shared" si="94"/>
        <v>8.7641242574791348E-2</v>
      </c>
      <c r="N185" s="20">
        <f t="shared" si="95"/>
        <v>1.4266865279679096E-3</v>
      </c>
      <c r="O185" s="21">
        <f t="shared" si="96"/>
        <v>0.37671256652877455</v>
      </c>
      <c r="P185" s="22">
        <f t="shared" si="97"/>
        <v>3.4044478815886183</v>
      </c>
      <c r="Q185" s="22">
        <f t="shared" si="98"/>
        <v>1.282498299086698</v>
      </c>
      <c r="R185" s="10">
        <v>3.51</v>
      </c>
      <c r="S185" s="10">
        <v>3.58</v>
      </c>
      <c r="T185" s="10">
        <v>142</v>
      </c>
      <c r="U185" s="10">
        <v>105005594.90000001</v>
      </c>
      <c r="V185" s="10">
        <v>117812780.20999999</v>
      </c>
    </row>
    <row r="186" spans="1:22">
      <c r="A186" s="76">
        <v>164</v>
      </c>
      <c r="B186" s="10" t="s">
        <v>306</v>
      </c>
      <c r="C186" s="10" t="s">
        <v>307</v>
      </c>
      <c r="D186" s="29">
        <v>406574308.68000001</v>
      </c>
      <c r="E186" s="29">
        <v>2226924.3199999998</v>
      </c>
      <c r="F186" s="29">
        <v>13840.8</v>
      </c>
      <c r="G186" s="10">
        <v>352644.97</v>
      </c>
      <c r="H186" s="12">
        <f t="shared" ref="H186" si="101">(E186+F186)-G186</f>
        <v>1888120.1499999997</v>
      </c>
      <c r="I186" s="10">
        <v>217429110.78</v>
      </c>
      <c r="J186" s="13">
        <f t="shared" si="86"/>
        <v>2.825351000622099E-3</v>
      </c>
      <c r="K186" s="10">
        <v>10921792.93</v>
      </c>
      <c r="L186" s="13">
        <f t="shared" si="93"/>
        <v>1.3483260485270803E-4</v>
      </c>
      <c r="M186" s="13">
        <f t="shared" si="94"/>
        <v>-0.94976848826351068</v>
      </c>
      <c r="N186" s="20">
        <f t="shared" si="95"/>
        <v>3.2288194095985302E-2</v>
      </c>
      <c r="O186" s="21">
        <f t="shared" si="96"/>
        <v>0.17287639145892503</v>
      </c>
      <c r="P186" s="22">
        <f t="shared" si="97"/>
        <v>2.9098466355996151</v>
      </c>
      <c r="Q186" s="22">
        <f t="shared" si="98"/>
        <v>0.50304378606135502</v>
      </c>
      <c r="R186" s="10">
        <v>109.58</v>
      </c>
      <c r="S186" s="10">
        <v>109.31</v>
      </c>
      <c r="T186" s="10">
        <v>95</v>
      </c>
      <c r="U186" s="10">
        <v>2006779.54</v>
      </c>
      <c r="V186" s="10">
        <v>3753391.26</v>
      </c>
    </row>
    <row r="187" spans="1:22">
      <c r="A187" s="76">
        <v>165</v>
      </c>
      <c r="B187" s="25" t="s">
        <v>178</v>
      </c>
      <c r="C187" s="25" t="s">
        <v>46</v>
      </c>
      <c r="D187" s="29">
        <v>4296231917.6000004</v>
      </c>
      <c r="E187" s="29">
        <v>32029677.690000001</v>
      </c>
      <c r="F187" s="29">
        <v>187827639.44999999</v>
      </c>
      <c r="G187" s="10">
        <v>6543294.0800000001</v>
      </c>
      <c r="H187" s="12">
        <f t="shared" si="99"/>
        <v>213314023.05999997</v>
      </c>
      <c r="I187" s="10">
        <v>3965691552.5799999</v>
      </c>
      <c r="J187" s="13">
        <f t="shared" si="86"/>
        <v>5.1531602902876519E-2</v>
      </c>
      <c r="K187" s="10">
        <v>4517833775.3199997</v>
      </c>
      <c r="L187" s="13">
        <f t="shared" si="93"/>
        <v>5.5773928339615537E-2</v>
      </c>
      <c r="M187" s="13">
        <f t="shared" si="94"/>
        <v>0.13922974477951697</v>
      </c>
      <c r="N187" s="20">
        <f t="shared" si="95"/>
        <v>1.4483255483512198E-3</v>
      </c>
      <c r="O187" s="21">
        <f t="shared" si="96"/>
        <v>4.721599635322813E-2</v>
      </c>
      <c r="P187" s="22">
        <f t="shared" si="97"/>
        <v>9733.6511256537142</v>
      </c>
      <c r="Q187" s="22">
        <f t="shared" si="98"/>
        <v>459.58403605246065</v>
      </c>
      <c r="R187" s="10">
        <v>9678.2199999999993</v>
      </c>
      <c r="S187" s="10">
        <v>9771.64</v>
      </c>
      <c r="T187" s="10">
        <v>3256</v>
      </c>
      <c r="U187" s="10">
        <v>430320.22</v>
      </c>
      <c r="V187" s="10">
        <v>464145.85</v>
      </c>
    </row>
    <row r="188" spans="1:22">
      <c r="A188" s="76">
        <v>166</v>
      </c>
      <c r="B188" s="25" t="s">
        <v>300</v>
      </c>
      <c r="C188" s="25" t="s">
        <v>298</v>
      </c>
      <c r="D188" s="29">
        <v>130174836.98999999</v>
      </c>
      <c r="E188" s="29">
        <v>6373608.8099999996</v>
      </c>
      <c r="F188" s="29">
        <v>17880307.899999999</v>
      </c>
      <c r="G188" s="10">
        <v>1066096.74</v>
      </c>
      <c r="H188" s="12">
        <f t="shared" si="99"/>
        <v>23187819.969999999</v>
      </c>
      <c r="I188" s="10">
        <v>141867679.354</v>
      </c>
      <c r="J188" s="13">
        <f t="shared" si="86"/>
        <v>1.8434789545008275E-3</v>
      </c>
      <c r="K188" s="10">
        <v>153580750.66800001</v>
      </c>
      <c r="L188" s="13">
        <f t="shared" si="93"/>
        <v>1.8959975528304327E-3</v>
      </c>
      <c r="M188" s="13">
        <f t="shared" si="94"/>
        <v>8.2563353170616E-2</v>
      </c>
      <c r="N188" s="20">
        <f t="shared" si="95"/>
        <v>6.9416039143122329E-3</v>
      </c>
      <c r="O188" s="21">
        <f t="shared" si="96"/>
        <v>0.15098129074864197</v>
      </c>
      <c r="P188" s="22">
        <f t="shared" si="97"/>
        <v>1419.6194065376171</v>
      </c>
      <c r="Q188" s="22">
        <f t="shared" si="98"/>
        <v>214.33597037087054</v>
      </c>
      <c r="R188" s="10">
        <v>1406.7393</v>
      </c>
      <c r="S188" s="10">
        <v>1427.8995</v>
      </c>
      <c r="T188" s="10">
        <v>29</v>
      </c>
      <c r="U188" s="10">
        <v>101748.3021</v>
      </c>
      <c r="V188" s="10">
        <v>108184.45419999999</v>
      </c>
    </row>
    <row r="189" spans="1:22">
      <c r="A189" s="76">
        <v>167</v>
      </c>
      <c r="B189" s="25" t="s">
        <v>224</v>
      </c>
      <c r="C189" s="25" t="s">
        <v>225</v>
      </c>
      <c r="D189" s="29">
        <v>781563063.73000002</v>
      </c>
      <c r="E189" s="29">
        <v>81706094.030000001</v>
      </c>
      <c r="F189" s="29">
        <v>0</v>
      </c>
      <c r="G189" s="10">
        <v>1178654.2</v>
      </c>
      <c r="H189" s="12">
        <f t="shared" si="99"/>
        <v>80527439.829999998</v>
      </c>
      <c r="I189" s="10">
        <v>770212396.19000006</v>
      </c>
      <c r="J189" s="13">
        <f t="shared" si="86"/>
        <v>1.0008413116626374E-2</v>
      </c>
      <c r="K189" s="10">
        <v>779315054.59000003</v>
      </c>
      <c r="L189" s="13">
        <f t="shared" si="93"/>
        <v>9.6208634868615896E-3</v>
      </c>
      <c r="M189" s="13">
        <f t="shared" si="94"/>
        <v>1.1818374314705893E-2</v>
      </c>
      <c r="N189" s="20">
        <f t="shared" si="95"/>
        <v>1.5124232402004519E-3</v>
      </c>
      <c r="O189" s="21">
        <f t="shared" si="96"/>
        <v>0.10333104609709577</v>
      </c>
      <c r="P189" s="22">
        <f t="shared" si="97"/>
        <v>1.4835801821305168</v>
      </c>
      <c r="Q189" s="22">
        <f t="shared" si="98"/>
        <v>0.15329989218846615</v>
      </c>
      <c r="R189" s="10">
        <v>1.468</v>
      </c>
      <c r="S189" s="10">
        <v>1.468</v>
      </c>
      <c r="T189" s="10">
        <v>41</v>
      </c>
      <c r="U189" s="10">
        <v>525993519</v>
      </c>
      <c r="V189" s="10">
        <v>525293519</v>
      </c>
    </row>
    <row r="190" spans="1:22">
      <c r="A190" s="76">
        <v>168</v>
      </c>
      <c r="B190" s="25" t="s">
        <v>179</v>
      </c>
      <c r="C190" s="25" t="s">
        <v>50</v>
      </c>
      <c r="D190" s="29">
        <v>2708693650.4743834</v>
      </c>
      <c r="E190" s="29">
        <v>21969325</v>
      </c>
      <c r="F190" s="29">
        <v>113473702.59000039</v>
      </c>
      <c r="G190" s="10">
        <v>5675872.8700000001</v>
      </c>
      <c r="H190" s="12">
        <f t="shared" si="99"/>
        <v>129767154.72000039</v>
      </c>
      <c r="I190" s="10">
        <v>3300300924.8299999</v>
      </c>
      <c r="J190" s="13">
        <f t="shared" si="86"/>
        <v>4.2885281031927874E-2</v>
      </c>
      <c r="K190" s="10">
        <v>3304944706.1743836</v>
      </c>
      <c r="L190" s="13">
        <f t="shared" si="93"/>
        <v>4.0800471725081493E-2</v>
      </c>
      <c r="M190" s="13">
        <f t="shared" si="94"/>
        <v>1.4070781574631471E-3</v>
      </c>
      <c r="N190" s="20">
        <f t="shared" si="95"/>
        <v>1.7173881485509233E-3</v>
      </c>
      <c r="O190" s="21">
        <f t="shared" si="96"/>
        <v>3.9264546386378572E-2</v>
      </c>
      <c r="P190" s="22">
        <f t="shared" si="97"/>
        <v>2.2280749033843024</v>
      </c>
      <c r="Q190" s="22">
        <f t="shared" si="98"/>
        <v>8.7484350396258903E-2</v>
      </c>
      <c r="R190" s="10">
        <v>2.23</v>
      </c>
      <c r="S190" s="10">
        <v>2.25</v>
      </c>
      <c r="T190" s="10">
        <v>1539</v>
      </c>
      <c r="U190" s="10">
        <v>1540323662.47</v>
      </c>
      <c r="V190" s="10">
        <v>1483318492.1900001</v>
      </c>
    </row>
    <row r="191" spans="1:22">
      <c r="A191" s="76">
        <v>169</v>
      </c>
      <c r="B191" s="94" t="s">
        <v>180</v>
      </c>
      <c r="C191" s="25" t="s">
        <v>90</v>
      </c>
      <c r="D191" s="29">
        <v>10174991173.57</v>
      </c>
      <c r="E191" s="29">
        <v>50398013.020000003</v>
      </c>
      <c r="F191" s="29">
        <v>125317430.62</v>
      </c>
      <c r="G191" s="10">
        <v>18544422.920000002</v>
      </c>
      <c r="H191" s="12">
        <f t="shared" si="99"/>
        <v>157171020.72000003</v>
      </c>
      <c r="I191" s="10">
        <v>11946946014.25</v>
      </c>
      <c r="J191" s="13">
        <f t="shared" si="86"/>
        <v>0.15524285480748187</v>
      </c>
      <c r="K191" s="10">
        <v>11965047975.309999</v>
      </c>
      <c r="L191" s="13">
        <f t="shared" si="93"/>
        <v>0.14771188174308916</v>
      </c>
      <c r="M191" s="13">
        <f t="shared" si="94"/>
        <v>1.5151956858604641E-3</v>
      </c>
      <c r="N191" s="20">
        <f t="shared" si="95"/>
        <v>1.5498828720341624E-3</v>
      </c>
      <c r="O191" s="21">
        <f t="shared" si="96"/>
        <v>1.3135845426138203E-2</v>
      </c>
      <c r="P191" s="22">
        <f t="shared" si="97"/>
        <v>693.98333761039578</v>
      </c>
      <c r="Q191" s="22">
        <f t="shared" si="98"/>
        <v>9.1160578511656425</v>
      </c>
      <c r="R191" s="10">
        <v>688.22</v>
      </c>
      <c r="S191" s="10">
        <v>696.93</v>
      </c>
      <c r="T191" s="10">
        <v>38</v>
      </c>
      <c r="U191" s="10">
        <v>17127870.050000001</v>
      </c>
      <c r="V191" s="10">
        <v>17241117.079999998</v>
      </c>
    </row>
    <row r="192" spans="1:22">
      <c r="A192" s="76">
        <v>170</v>
      </c>
      <c r="B192" s="25" t="s">
        <v>181</v>
      </c>
      <c r="C192" s="25" t="s">
        <v>50</v>
      </c>
      <c r="D192" s="29">
        <v>1293868942.6700001</v>
      </c>
      <c r="E192" s="29">
        <v>17383656</v>
      </c>
      <c r="F192" s="29">
        <v>86636228.640000105</v>
      </c>
      <c r="G192" s="10">
        <v>3532162.89</v>
      </c>
      <c r="H192" s="12">
        <f t="shared" si="99"/>
        <v>100487721.7500001</v>
      </c>
      <c r="I192" s="10">
        <v>1932731974</v>
      </c>
      <c r="J192" s="13">
        <f t="shared" si="86"/>
        <v>2.5114604926110548E-2</v>
      </c>
      <c r="K192" s="10">
        <v>2129845399.4399996</v>
      </c>
      <c r="L192" s="13">
        <f t="shared" si="93"/>
        <v>2.6293540353731239E-2</v>
      </c>
      <c r="M192" s="13">
        <f t="shared" si="94"/>
        <v>0.10198694288274841</v>
      </c>
      <c r="N192" s="20">
        <f t="shared" si="95"/>
        <v>1.6584128082389041E-3</v>
      </c>
      <c r="O192" s="21">
        <f t="shared" si="96"/>
        <v>4.7180758648689404E-2</v>
      </c>
      <c r="P192" s="22">
        <f t="shared" si="97"/>
        <v>1.7803247873043921</v>
      </c>
      <c r="Q192" s="22">
        <f t="shared" si="98"/>
        <v>8.3997074106087838E-2</v>
      </c>
      <c r="R192" s="10">
        <v>1.78</v>
      </c>
      <c r="S192" s="10">
        <v>1.79</v>
      </c>
      <c r="T192" s="10">
        <v>371</v>
      </c>
      <c r="U192" s="10">
        <v>1142387126.5300002</v>
      </c>
      <c r="V192" s="10">
        <v>1196324072.2300003</v>
      </c>
    </row>
    <row r="193" spans="1:22">
      <c r="A193" s="76">
        <v>171</v>
      </c>
      <c r="B193" s="25" t="s">
        <v>182</v>
      </c>
      <c r="C193" s="25" t="s">
        <v>94</v>
      </c>
      <c r="D193" s="29">
        <v>5720957714.7600002</v>
      </c>
      <c r="E193" s="29">
        <v>35491699.810000002</v>
      </c>
      <c r="F193" s="29">
        <v>155200993.40000001</v>
      </c>
      <c r="G193" s="10">
        <v>50157687.609999999</v>
      </c>
      <c r="H193" s="12">
        <f t="shared" si="99"/>
        <v>140535005.60000002</v>
      </c>
      <c r="I193" s="10">
        <v>5579834600.4099998</v>
      </c>
      <c r="J193" s="13">
        <f t="shared" si="86"/>
        <v>7.2506350299733319E-2</v>
      </c>
      <c r="K193" s="10">
        <v>5767642963.1800003</v>
      </c>
      <c r="L193" s="13">
        <f t="shared" si="93"/>
        <v>7.1203174201358077E-2</v>
      </c>
      <c r="M193" s="13">
        <f t="shared" si="94"/>
        <v>3.3658410368687365E-2</v>
      </c>
      <c r="N193" s="20">
        <f t="shared" si="95"/>
        <v>8.6963926044315108E-3</v>
      </c>
      <c r="O193" s="21">
        <f t="shared" si="96"/>
        <v>2.4366107003703258E-2</v>
      </c>
      <c r="P193" s="22">
        <f t="shared" si="97"/>
        <v>34.140663816216936</v>
      </c>
      <c r="Q193" s="22">
        <f t="shared" si="98"/>
        <v>0.83187506772340192</v>
      </c>
      <c r="R193" s="10">
        <v>34.140700000000002</v>
      </c>
      <c r="S193" s="10">
        <v>34.553899999999999</v>
      </c>
      <c r="T193" s="10">
        <v>6165</v>
      </c>
      <c r="U193" s="10">
        <v>168939688.41</v>
      </c>
      <c r="V193" s="10">
        <v>168937633.84999999</v>
      </c>
    </row>
    <row r="194" spans="1:22" ht="15" customHeight="1">
      <c r="A194" s="129" t="s">
        <v>51</v>
      </c>
      <c r="B194" s="129"/>
      <c r="C194" s="129"/>
      <c r="D194" s="129"/>
      <c r="E194" s="129"/>
      <c r="F194" s="129"/>
      <c r="G194" s="129"/>
      <c r="H194" s="129"/>
      <c r="I194" s="36">
        <f>SUM(I165:I193)</f>
        <v>76956495222.053986</v>
      </c>
      <c r="J194" s="34">
        <f>(I194/$I$237)</f>
        <v>1.1246388808472101E-2</v>
      </c>
      <c r="K194" s="36">
        <f>SUM(K165:K193)</f>
        <v>81002610176.75238</v>
      </c>
      <c r="L194" s="34">
        <f>(K194/$K$237)</f>
        <v>1.120104201860604E-2</v>
      </c>
      <c r="M194" s="34">
        <f t="shared" si="88"/>
        <v>5.2576653121007386E-2</v>
      </c>
      <c r="N194" s="20"/>
      <c r="O194" s="20"/>
      <c r="P194" s="35"/>
      <c r="Q194" s="35"/>
      <c r="R194" s="36"/>
      <c r="S194" s="36"/>
      <c r="T194" s="36">
        <f>SUM(T165:T193)</f>
        <v>73985</v>
      </c>
      <c r="U194" s="36"/>
      <c r="V194" s="39"/>
    </row>
    <row r="195" spans="1:22" ht="6" customHeight="1">
      <c r="A195" s="135"/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</row>
    <row r="196" spans="1:22">
      <c r="A196" s="128" t="s">
        <v>183</v>
      </c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</row>
    <row r="197" spans="1:22">
      <c r="A197" s="76">
        <v>172</v>
      </c>
      <c r="B197" s="10" t="s">
        <v>184</v>
      </c>
      <c r="C197" s="25" t="s">
        <v>46</v>
      </c>
      <c r="D197" s="10">
        <v>7015614032.9300003</v>
      </c>
      <c r="E197" s="10">
        <v>-1369615.87</v>
      </c>
      <c r="F197" s="25">
        <v>233857024.19999999</v>
      </c>
      <c r="G197" s="10">
        <v>20455949.039999999</v>
      </c>
      <c r="H197" s="12">
        <f>(E197+F197)-G197</f>
        <v>212031459.28999999</v>
      </c>
      <c r="I197" s="10">
        <v>6725546426.9399996</v>
      </c>
      <c r="J197" s="13">
        <f t="shared" ref="J197:J198" si="102">(I197/$I$199)</f>
        <v>0.8254231640859645</v>
      </c>
      <c r="K197" s="10">
        <v>7165981979.2600002</v>
      </c>
      <c r="L197" s="13">
        <f t="shared" ref="L197" si="103">(K197/$K$199)</f>
        <v>0.83417966615889083</v>
      </c>
      <c r="M197" s="13">
        <f t="shared" ref="M197" si="104">((K197-I197)/I197)</f>
        <v>6.5486954421395724E-2</v>
      </c>
      <c r="N197" s="20">
        <f t="shared" ref="N197" si="105">(G197/K197)</f>
        <v>2.8545911919963265E-3</v>
      </c>
      <c r="O197" s="21">
        <f t="shared" ref="O197" si="106">H197/K197</f>
        <v>2.9588611847429676E-2</v>
      </c>
      <c r="P197" s="22">
        <f t="shared" ref="P197" si="107">K197/V197</f>
        <v>4.6194197774375256</v>
      </c>
      <c r="Q197" s="22">
        <f t="shared" ref="Q197" si="108">H197/V197</f>
        <v>0.13668221875493894</v>
      </c>
      <c r="R197" s="10">
        <v>4.58</v>
      </c>
      <c r="S197" s="10">
        <v>4.6500000000000004</v>
      </c>
      <c r="T197" s="10">
        <v>11396</v>
      </c>
      <c r="U197" s="10">
        <v>1529944152.97</v>
      </c>
      <c r="V197" s="10">
        <v>1551273173.8</v>
      </c>
    </row>
    <row r="198" spans="1:22">
      <c r="A198" s="76">
        <v>173</v>
      </c>
      <c r="B198" s="10" t="s">
        <v>185</v>
      </c>
      <c r="C198" s="25" t="s">
        <v>94</v>
      </c>
      <c r="D198" s="10">
        <v>1410422256.6300001</v>
      </c>
      <c r="E198" s="10">
        <v>10485960.199999999</v>
      </c>
      <c r="F198" s="10">
        <v>12114321.9</v>
      </c>
      <c r="G198" s="10">
        <v>6945511.0999999996</v>
      </c>
      <c r="H198" s="12">
        <f>(E198+F198)-G198</f>
        <v>15654771.000000002</v>
      </c>
      <c r="I198" s="10">
        <v>1422451738.8099999</v>
      </c>
      <c r="J198" s="13">
        <f t="shared" si="102"/>
        <v>0.1745768359140355</v>
      </c>
      <c r="K198" s="10">
        <v>1424471936.0899999</v>
      </c>
      <c r="L198" s="13">
        <f t="shared" ref="L198" si="109">(K198/$K$199)</f>
        <v>0.16582033384110911</v>
      </c>
      <c r="M198" s="13">
        <f t="shared" ref="M198" si="110">((K198-I198)/I198)</f>
        <v>1.4202220187027475E-3</v>
      </c>
      <c r="N198" s="20">
        <f t="shared" ref="N198" si="111">(G198/K198)</f>
        <v>4.8758497265060713E-3</v>
      </c>
      <c r="O198" s="21">
        <f t="shared" ref="O198" si="112">H198/K198</f>
        <v>1.0989876741952826E-2</v>
      </c>
      <c r="P198" s="22">
        <f t="shared" ref="P198" si="113">K198/V198</f>
        <v>40.019840322652719</v>
      </c>
      <c r="Q198" s="22">
        <f t="shared" ref="Q198" si="114">H198/V198</f>
        <v>0.43981311237858695</v>
      </c>
      <c r="R198" s="10">
        <v>39.89</v>
      </c>
      <c r="S198" s="10">
        <v>40.267400000000002</v>
      </c>
      <c r="T198" s="10">
        <v>1499</v>
      </c>
      <c r="U198" s="10">
        <v>35457889.5</v>
      </c>
      <c r="V198" s="10">
        <v>35594143.420000002</v>
      </c>
    </row>
    <row r="199" spans="1:22" ht="15" customHeight="1">
      <c r="A199" s="129" t="s">
        <v>51</v>
      </c>
      <c r="B199" s="129"/>
      <c r="C199" s="129"/>
      <c r="D199" s="129"/>
      <c r="E199" s="129"/>
      <c r="F199" s="129"/>
      <c r="G199" s="129"/>
      <c r="H199" s="129"/>
      <c r="I199" s="36">
        <f>SUM(I197:I198)</f>
        <v>8147998165.75</v>
      </c>
      <c r="J199" s="34">
        <f>(I199/$I$237)</f>
        <v>1.1907449152710548E-3</v>
      </c>
      <c r="K199" s="36">
        <f>SUM(K197:K198)</f>
        <v>8590453915.3500004</v>
      </c>
      <c r="L199" s="34">
        <f>(K199/$K$237)</f>
        <v>1.1878880823071266E-3</v>
      </c>
      <c r="M199" s="34">
        <f t="shared" ref="M199" si="115">((K199-I199)/I199)</f>
        <v>5.4302386991182339E-2</v>
      </c>
      <c r="N199" s="20"/>
      <c r="O199" s="40"/>
      <c r="P199" s="35"/>
      <c r="Q199" s="35"/>
      <c r="R199" s="36"/>
      <c r="S199" s="36"/>
      <c r="T199" s="36">
        <f>SUM(T197:T198)</f>
        <v>12895</v>
      </c>
      <c r="U199" s="36"/>
      <c r="V199" s="39"/>
    </row>
    <row r="200" spans="1:22" ht="4.95" customHeight="1">
      <c r="A200" s="131"/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</row>
    <row r="201" spans="1:22">
      <c r="A201" s="128" t="s">
        <v>186</v>
      </c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</row>
    <row r="202" spans="1:22" ht="13.05" customHeight="1">
      <c r="A202" s="132" t="s">
        <v>187</v>
      </c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</row>
    <row r="203" spans="1:22" ht="15" customHeight="1">
      <c r="A203" s="63">
        <v>174</v>
      </c>
      <c r="B203" s="86" t="s">
        <v>188</v>
      </c>
      <c r="C203" s="19" t="s">
        <v>118</v>
      </c>
      <c r="D203" s="72">
        <v>6976270953.8500004</v>
      </c>
      <c r="E203" s="29">
        <v>78507164.810000002</v>
      </c>
      <c r="F203" s="29">
        <v>398429832.55000001</v>
      </c>
      <c r="G203" s="17">
        <v>3394636.89</v>
      </c>
      <c r="H203" s="12">
        <f>(E203+F203)-G203</f>
        <v>473542360.47000003</v>
      </c>
      <c r="I203" s="29">
        <v>7518776386.3599997</v>
      </c>
      <c r="J203" s="13">
        <f>(I203/$I$227)</f>
        <v>0.1100605519356737</v>
      </c>
      <c r="K203" s="29">
        <v>7768100849.2600002</v>
      </c>
      <c r="L203" s="13">
        <f>(K203/$K$227)</f>
        <v>0.10834370242391794</v>
      </c>
      <c r="M203" s="13">
        <f>((K203-I203)/I203)</f>
        <v>3.3160244445134227E-2</v>
      </c>
      <c r="N203" s="20">
        <f>(G203/K203)</f>
        <v>4.3699701585663345E-4</v>
      </c>
      <c r="O203" s="21">
        <f>H203/K203</f>
        <v>6.095986260465585E-2</v>
      </c>
      <c r="P203" s="22">
        <f>K203/V203</f>
        <v>2.9370113276273528</v>
      </c>
      <c r="Q203" s="22">
        <f>H203/V203</f>
        <v>0.1790398070004813</v>
      </c>
      <c r="R203" s="29">
        <v>2.91</v>
      </c>
      <c r="S203" s="29">
        <v>2.96</v>
      </c>
      <c r="T203" s="29">
        <v>15256</v>
      </c>
      <c r="U203" s="10">
        <v>2565055224.6399999</v>
      </c>
      <c r="V203" s="10">
        <v>2644899860</v>
      </c>
    </row>
    <row r="204" spans="1:22">
      <c r="A204" s="63">
        <v>175</v>
      </c>
      <c r="B204" s="19" t="s">
        <v>189</v>
      </c>
      <c r="C204" s="19" t="s">
        <v>46</v>
      </c>
      <c r="D204" s="17">
        <v>4420689679.3000002</v>
      </c>
      <c r="E204" s="17">
        <v>9526062.8200000003</v>
      </c>
      <c r="F204" s="17">
        <v>374640748.50999999</v>
      </c>
      <c r="G204" s="17">
        <v>12901871.1</v>
      </c>
      <c r="H204" s="12">
        <f>(E204+F204)-G204</f>
        <v>371264940.22999996</v>
      </c>
      <c r="I204" s="17">
        <v>3026663474.6100001</v>
      </c>
      <c r="J204" s="13">
        <f>(I204/$I$227)</f>
        <v>4.4304583009468809E-2</v>
      </c>
      <c r="K204" s="17">
        <v>3026663474.6100001</v>
      </c>
      <c r="L204" s="13">
        <f>(K204/$K$227)</f>
        <v>4.2213654687776804E-2</v>
      </c>
      <c r="M204" s="13">
        <f>((K204-I204)/I204)</f>
        <v>0</v>
      </c>
      <c r="N204" s="20">
        <f>(G204/K204)</f>
        <v>4.2627372379621647E-3</v>
      </c>
      <c r="O204" s="21">
        <f>H204/K204</f>
        <v>0.12266475719697882</v>
      </c>
      <c r="P204" s="22">
        <f>K204/V204</f>
        <v>644.95632592516188</v>
      </c>
      <c r="Q204" s="22">
        <f>H204/V204</f>
        <v>79.113411122265532</v>
      </c>
      <c r="R204" s="17">
        <v>956.19</v>
      </c>
      <c r="S204" s="17">
        <v>969.42</v>
      </c>
      <c r="T204" s="17">
        <v>2214</v>
      </c>
      <c r="U204" s="17">
        <v>3507936.18</v>
      </c>
      <c r="V204" s="17">
        <v>4692819.2699999996</v>
      </c>
    </row>
    <row r="205" spans="1:22" ht="7.05" customHeight="1">
      <c r="A205" s="131"/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</row>
    <row r="206" spans="1:22">
      <c r="A206" s="133" t="s">
        <v>145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</row>
    <row r="207" spans="1:22">
      <c r="A207" s="83">
        <v>176</v>
      </c>
      <c r="B207" s="84" t="s">
        <v>271</v>
      </c>
      <c r="C207" s="85" t="s">
        <v>58</v>
      </c>
      <c r="D207" s="51">
        <v>701510663.95000005</v>
      </c>
      <c r="E207" s="51">
        <v>21457511.140000001</v>
      </c>
      <c r="F207" s="10">
        <v>0</v>
      </c>
      <c r="G207" s="51">
        <v>2484073.71</v>
      </c>
      <c r="H207" s="51">
        <f>(E207+F207)-G207</f>
        <v>18973437.43</v>
      </c>
      <c r="I207" s="51">
        <v>1062672268</v>
      </c>
      <c r="J207" s="13">
        <f t="shared" ref="J207:J220" si="116">(I207/$I$227)</f>
        <v>1.5555496045206389E-2</v>
      </c>
      <c r="K207" s="51">
        <v>1223623553</v>
      </c>
      <c r="L207" s="13">
        <f t="shared" ref="L207" si="117">(K207/$K$227)</f>
        <v>1.7066192712696073E-2</v>
      </c>
      <c r="M207" s="13">
        <f t="shared" ref="M207:M227" si="118">((K207-I207)/I207)</f>
        <v>0.15145900560943215</v>
      </c>
      <c r="N207" s="20">
        <f>(G207/K207)</f>
        <v>2.0300963510466196E-3</v>
      </c>
      <c r="O207" s="21">
        <f>H207/K207</f>
        <v>1.5505943297251978E-2</v>
      </c>
      <c r="P207" s="22">
        <f>K207/V207</f>
        <v>1.1238479106757011</v>
      </c>
      <c r="Q207" s="22">
        <f>H207/V207</f>
        <v>1.7426321977672524E-2</v>
      </c>
      <c r="R207" s="51">
        <v>1.1237999999999999</v>
      </c>
      <c r="S207" s="51">
        <v>1.1237999999999999</v>
      </c>
      <c r="T207" s="51">
        <v>698</v>
      </c>
      <c r="U207" s="51">
        <v>960649617</v>
      </c>
      <c r="V207" s="51">
        <v>1088780378</v>
      </c>
    </row>
    <row r="208" spans="1:22">
      <c r="A208" s="83">
        <v>177</v>
      </c>
      <c r="B208" s="84" t="s">
        <v>190</v>
      </c>
      <c r="C208" s="85" t="s">
        <v>191</v>
      </c>
      <c r="D208" s="51">
        <v>268286050</v>
      </c>
      <c r="E208" s="51">
        <v>3761548</v>
      </c>
      <c r="F208" s="10">
        <v>0</v>
      </c>
      <c r="G208" s="51">
        <v>889868</v>
      </c>
      <c r="H208" s="51">
        <f>(E208+F208)-G208</f>
        <v>2871680</v>
      </c>
      <c r="I208" s="51">
        <v>330737392</v>
      </c>
      <c r="J208" s="13">
        <f t="shared" si="116"/>
        <v>4.8413648762478815E-3</v>
      </c>
      <c r="K208" s="51">
        <v>359857794</v>
      </c>
      <c r="L208" s="13">
        <f t="shared" ref="L208:L220" si="119">(K208/$K$227)</f>
        <v>5.0190292974604785E-3</v>
      </c>
      <c r="M208" s="13">
        <f t="shared" ref="M208:M220" si="120">((K208-I208)/I208)</f>
        <v>8.8046899759069278E-2</v>
      </c>
      <c r="N208" s="20">
        <f t="shared" ref="N208:N220" si="121">(G208/K208)</f>
        <v>2.4728323655538219E-3</v>
      </c>
      <c r="O208" s="21">
        <f t="shared" ref="O208:O220" si="122">H208/K208</f>
        <v>7.9800411381391392E-3</v>
      </c>
      <c r="P208" s="22">
        <f t="shared" ref="P208:P220" si="123">K208/V208</f>
        <v>1095.1874697563157</v>
      </c>
      <c r="Q208" s="22">
        <f t="shared" ref="Q208:Q220" si="124">H208/V208</f>
        <v>8.7396410626299144</v>
      </c>
      <c r="R208" s="51">
        <v>1095.19</v>
      </c>
      <c r="S208" s="51">
        <v>1095.19</v>
      </c>
      <c r="T208" s="51">
        <v>22</v>
      </c>
      <c r="U208" s="51">
        <v>328627</v>
      </c>
      <c r="V208" s="51">
        <v>328581</v>
      </c>
    </row>
    <row r="209" spans="1:22" ht="15" customHeight="1">
      <c r="A209" s="83">
        <v>178</v>
      </c>
      <c r="B209" s="84" t="s">
        <v>192</v>
      </c>
      <c r="C209" s="85" t="s">
        <v>62</v>
      </c>
      <c r="D209" s="51">
        <v>123789708.08</v>
      </c>
      <c r="E209" s="51">
        <v>3622775.62</v>
      </c>
      <c r="F209" s="10">
        <v>0</v>
      </c>
      <c r="G209" s="51">
        <v>506379.18</v>
      </c>
      <c r="H209" s="51">
        <f t="shared" ref="H209:H219" si="125">(E209+F209)-G209</f>
        <v>3116396.44</v>
      </c>
      <c r="I209" s="51">
        <v>241055942.63</v>
      </c>
      <c r="J209" s="13">
        <f t="shared" si="116"/>
        <v>3.5285994329292717E-3</v>
      </c>
      <c r="K209" s="51">
        <v>316117500.19</v>
      </c>
      <c r="L209" s="13">
        <f t="shared" si="119"/>
        <v>4.4089721588566689E-3</v>
      </c>
      <c r="M209" s="13">
        <f t="shared" si="120"/>
        <v>0.31138646382683455</v>
      </c>
      <c r="N209" s="20">
        <f t="shared" si="121"/>
        <v>1.6018701264423662E-3</v>
      </c>
      <c r="O209" s="21">
        <f t="shared" si="122"/>
        <v>9.8583483613748496E-3</v>
      </c>
      <c r="P209" s="22">
        <f t="shared" si="123"/>
        <v>124.72794958365819</v>
      </c>
      <c r="Q209" s="22">
        <f t="shared" si="124"/>
        <v>1.2296115773957015</v>
      </c>
      <c r="R209" s="51">
        <v>123.21</v>
      </c>
      <c r="S209" s="51">
        <v>123.21</v>
      </c>
      <c r="T209" s="51">
        <v>78</v>
      </c>
      <c r="U209" s="51">
        <v>1977585</v>
      </c>
      <c r="V209" s="51">
        <v>2534456</v>
      </c>
    </row>
    <row r="210" spans="1:22" ht="15" customHeight="1">
      <c r="A210" s="83">
        <v>179</v>
      </c>
      <c r="B210" s="84" t="s">
        <v>315</v>
      </c>
      <c r="C210" s="85" t="s">
        <v>316</v>
      </c>
      <c r="D210" s="51">
        <v>52224025</v>
      </c>
      <c r="E210" s="51">
        <v>1516438.36</v>
      </c>
      <c r="F210" s="10">
        <v>0</v>
      </c>
      <c r="G210" s="51">
        <v>113270.12</v>
      </c>
      <c r="H210" s="51">
        <f t="shared" ref="H210" si="126">(E210+F210)-G210</f>
        <v>1403168.2400000002</v>
      </c>
      <c r="I210" s="51">
        <v>50721025</v>
      </c>
      <c r="J210" s="13">
        <f t="shared" si="116"/>
        <v>7.4245910762424676E-4</v>
      </c>
      <c r="K210" s="51">
        <v>51735067.799999997</v>
      </c>
      <c r="L210" s="13">
        <f t="shared" si="119"/>
        <v>7.2156230967809526E-4</v>
      </c>
      <c r="M210" s="13">
        <f t="shared" si="120"/>
        <v>1.9992553383927022E-2</v>
      </c>
      <c r="N210" s="20">
        <f t="shared" si="121"/>
        <v>2.1894263372358043E-3</v>
      </c>
      <c r="O210" s="21">
        <f t="shared" si="122"/>
        <v>2.7122188095402483E-2</v>
      </c>
      <c r="P210" s="22">
        <f t="shared" si="123"/>
        <v>101.70054609789659</v>
      </c>
      <c r="Q210" s="22">
        <f t="shared" si="124"/>
        <v>2.7583413406723025</v>
      </c>
      <c r="R210" s="51">
        <v>101.7</v>
      </c>
      <c r="S210" s="51">
        <v>101.7</v>
      </c>
      <c r="T210" s="51">
        <v>9</v>
      </c>
      <c r="U210" s="51">
        <v>508700</v>
      </c>
      <c r="V210" s="51">
        <v>508700</v>
      </c>
    </row>
    <row r="211" spans="1:22" ht="15" customHeight="1">
      <c r="A211" s="83">
        <v>180</v>
      </c>
      <c r="B211" s="84" t="s">
        <v>193</v>
      </c>
      <c r="C211" s="85" t="s">
        <v>168</v>
      </c>
      <c r="D211" s="51">
        <v>45420542.359999999</v>
      </c>
      <c r="E211" s="51">
        <v>720994.75</v>
      </c>
      <c r="F211" s="10">
        <v>0</v>
      </c>
      <c r="G211" s="51">
        <v>142531.73000000001</v>
      </c>
      <c r="H211" s="51">
        <f t="shared" si="125"/>
        <v>578463.02</v>
      </c>
      <c r="I211" s="51">
        <v>65733399.729999997</v>
      </c>
      <c r="J211" s="13">
        <f t="shared" si="116"/>
        <v>9.6221165295148708E-4</v>
      </c>
      <c r="K211" s="51">
        <v>66932763.359999999</v>
      </c>
      <c r="L211" s="13">
        <f t="shared" si="119"/>
        <v>9.3352848226438368E-4</v>
      </c>
      <c r="M211" s="13">
        <f t="shared" si="120"/>
        <v>1.8245878578110823E-2</v>
      </c>
      <c r="N211" s="20">
        <f t="shared" si="121"/>
        <v>2.129476251165495E-3</v>
      </c>
      <c r="O211" s="21">
        <f t="shared" si="122"/>
        <v>8.6424493919176511E-3</v>
      </c>
      <c r="P211" s="22">
        <f t="shared" si="123"/>
        <v>102.07055030118185</v>
      </c>
      <c r="Q211" s="22">
        <f t="shared" si="124"/>
        <v>0.88213956538314908</v>
      </c>
      <c r="R211" s="51">
        <v>101.29</v>
      </c>
      <c r="S211" s="51">
        <v>101.29</v>
      </c>
      <c r="T211" s="51">
        <v>21</v>
      </c>
      <c r="U211" s="51">
        <v>655750</v>
      </c>
      <c r="V211" s="51">
        <v>655750</v>
      </c>
    </row>
    <row r="212" spans="1:22" ht="15" customHeight="1">
      <c r="A212" s="83">
        <v>181</v>
      </c>
      <c r="B212" s="19" t="s">
        <v>258</v>
      </c>
      <c r="C212" s="86" t="s">
        <v>69</v>
      </c>
      <c r="D212" s="16">
        <v>237913567.52000001</v>
      </c>
      <c r="E212" s="29">
        <v>3287310.84</v>
      </c>
      <c r="F212" s="29">
        <v>0</v>
      </c>
      <c r="G212" s="10">
        <v>586871.87</v>
      </c>
      <c r="H212" s="12">
        <f t="shared" si="125"/>
        <v>2700438.9699999997</v>
      </c>
      <c r="I212" s="17">
        <v>173739146.56999999</v>
      </c>
      <c r="J212" s="13">
        <f t="shared" si="116"/>
        <v>2.543209876412403E-3</v>
      </c>
      <c r="K212" s="17">
        <v>225738746.94</v>
      </c>
      <c r="L212" s="13">
        <f t="shared" si="119"/>
        <v>3.1484364194815156E-3</v>
      </c>
      <c r="M212" s="13">
        <f t="shared" si="120"/>
        <v>0.29929697133080607</v>
      </c>
      <c r="N212" s="20">
        <f t="shared" si="121"/>
        <v>2.5997835017485369E-3</v>
      </c>
      <c r="O212" s="21">
        <f t="shared" si="122"/>
        <v>1.1962673695170994E-2</v>
      </c>
      <c r="P212" s="22">
        <f t="shared" si="123"/>
        <v>1.0726877386896418</v>
      </c>
      <c r="Q212" s="22">
        <f t="shared" si="124"/>
        <v>1.2832213394755036E-2</v>
      </c>
      <c r="R212" s="10">
        <v>1.1455</v>
      </c>
      <c r="S212" s="10">
        <v>1.1455</v>
      </c>
      <c r="T212" s="10">
        <v>55</v>
      </c>
      <c r="U212" s="10">
        <v>163899687.87</v>
      </c>
      <c r="V212" s="10">
        <v>210442180.69999999</v>
      </c>
    </row>
    <row r="213" spans="1:22" ht="15" customHeight="1">
      <c r="A213" s="83">
        <v>182</v>
      </c>
      <c r="B213" s="85" t="s">
        <v>194</v>
      </c>
      <c r="C213" s="85" t="s">
        <v>73</v>
      </c>
      <c r="D213" s="51">
        <v>4927969560.9799995</v>
      </c>
      <c r="E213" s="51">
        <v>67872783.590000004</v>
      </c>
      <c r="F213" s="10">
        <v>0</v>
      </c>
      <c r="G213" s="51">
        <v>8026873.3899999997</v>
      </c>
      <c r="H213" s="51">
        <f t="shared" si="125"/>
        <v>59845910.200000003</v>
      </c>
      <c r="I213" s="51">
        <v>4731008175.5900002</v>
      </c>
      <c r="J213" s="13">
        <f t="shared" si="116"/>
        <v>6.9252940140929073E-2</v>
      </c>
      <c r="K213" s="51">
        <v>4873827085.6099997</v>
      </c>
      <c r="L213" s="13">
        <f t="shared" si="119"/>
        <v>6.797652111831988E-2</v>
      </c>
      <c r="M213" s="13">
        <f t="shared" si="120"/>
        <v>3.0187838346355991E-2</v>
      </c>
      <c r="N213" s="20">
        <f t="shared" si="121"/>
        <v>1.6469343801095008E-3</v>
      </c>
      <c r="O213" s="21">
        <f t="shared" si="122"/>
        <v>1.2279038453517436E-2</v>
      </c>
      <c r="P213" s="22">
        <f t="shared" si="123"/>
        <v>162.3542253040269</v>
      </c>
      <c r="Q213" s="22">
        <f t="shared" si="124"/>
        <v>1.9935537755991797</v>
      </c>
      <c r="R213" s="51">
        <v>162.35</v>
      </c>
      <c r="S213" s="51">
        <v>162.35</v>
      </c>
      <c r="T213" s="51">
        <v>748</v>
      </c>
      <c r="U213" s="51">
        <v>29474641</v>
      </c>
      <c r="V213" s="51">
        <v>30019712</v>
      </c>
    </row>
    <row r="214" spans="1:22" ht="15" customHeight="1">
      <c r="A214" s="83">
        <v>183</v>
      </c>
      <c r="B214" s="85" t="s">
        <v>220</v>
      </c>
      <c r="C214" s="85" t="s">
        <v>60</v>
      </c>
      <c r="D214" s="51">
        <v>798912205.42999995</v>
      </c>
      <c r="E214" s="51">
        <v>9300744.5999999996</v>
      </c>
      <c r="F214" s="10">
        <v>0</v>
      </c>
      <c r="G214" s="51">
        <v>1781502.44</v>
      </c>
      <c r="H214" s="51">
        <f t="shared" si="125"/>
        <v>7519242.1600000001</v>
      </c>
      <c r="I214" s="51">
        <v>798866250.5</v>
      </c>
      <c r="J214" s="13">
        <f t="shared" si="116"/>
        <v>1.1693878888633618E-2</v>
      </c>
      <c r="K214" s="51">
        <v>795316272.75999999</v>
      </c>
      <c r="L214" s="13">
        <f t="shared" si="119"/>
        <v>1.1092480808487112E-2</v>
      </c>
      <c r="M214" s="13">
        <f t="shared" si="120"/>
        <v>-4.4437698272747463E-3</v>
      </c>
      <c r="N214" s="20">
        <f t="shared" si="121"/>
        <v>2.2399924420226191E-3</v>
      </c>
      <c r="O214" s="21">
        <f t="shared" si="122"/>
        <v>9.4544050179004163E-3</v>
      </c>
      <c r="P214" s="22">
        <f t="shared" si="123"/>
        <v>1312.6397987412647</v>
      </c>
      <c r="Q214" s="22">
        <f t="shared" si="124"/>
        <v>12.410228299915207</v>
      </c>
      <c r="R214" s="51">
        <v>1312.64</v>
      </c>
      <c r="S214" s="51">
        <v>1312.64</v>
      </c>
      <c r="T214" s="51">
        <v>270</v>
      </c>
      <c r="U214" s="51">
        <v>614274.39</v>
      </c>
      <c r="V214" s="51">
        <v>605890.72</v>
      </c>
    </row>
    <row r="215" spans="1:22" ht="15" customHeight="1">
      <c r="A215" s="83">
        <v>184</v>
      </c>
      <c r="B215" s="84" t="s">
        <v>117</v>
      </c>
      <c r="C215" s="85" t="s">
        <v>118</v>
      </c>
      <c r="D215" s="51">
        <v>20376222607.029999</v>
      </c>
      <c r="E215" s="51">
        <v>550011191.72000003</v>
      </c>
      <c r="F215" s="10">
        <v>0</v>
      </c>
      <c r="G215" s="51">
        <v>57005360.100000001</v>
      </c>
      <c r="H215" s="51">
        <f t="shared" si="125"/>
        <v>493005831.62</v>
      </c>
      <c r="I215" s="51">
        <v>34965872658.010002</v>
      </c>
      <c r="J215" s="13">
        <f t="shared" si="116"/>
        <v>0.51183371414456147</v>
      </c>
      <c r="K215" s="51">
        <v>36490365201.580002</v>
      </c>
      <c r="L215" s="13">
        <f t="shared" si="119"/>
        <v>0.50894051782511163</v>
      </c>
      <c r="M215" s="13">
        <f t="shared" si="120"/>
        <v>4.3599442189833866E-2</v>
      </c>
      <c r="N215" s="20">
        <f t="shared" si="121"/>
        <v>1.5622030578507809E-3</v>
      </c>
      <c r="O215" s="21">
        <f t="shared" si="122"/>
        <v>1.3510575432625521E-2</v>
      </c>
      <c r="P215" s="22">
        <f t="shared" si="123"/>
        <v>1269.7959693771386</v>
      </c>
      <c r="Q215" s="22">
        <f t="shared" si="124"/>
        <v>17.155674228313678</v>
      </c>
      <c r="R215" s="51">
        <v>1269.8</v>
      </c>
      <c r="S215" s="51">
        <v>1269.8</v>
      </c>
      <c r="T215" s="51">
        <v>11334</v>
      </c>
      <c r="U215" s="51">
        <v>26961557.550000001</v>
      </c>
      <c r="V215" s="51">
        <v>28737187.77</v>
      </c>
    </row>
    <row r="216" spans="1:22" ht="15" customHeight="1">
      <c r="A216" s="83">
        <v>185</v>
      </c>
      <c r="B216" s="87" t="s">
        <v>217</v>
      </c>
      <c r="C216" s="87" t="s">
        <v>218</v>
      </c>
      <c r="D216" s="51">
        <v>366034913.14999998</v>
      </c>
      <c r="E216" s="51" t="s">
        <v>317</v>
      </c>
      <c r="F216" s="10">
        <v>34027390.899999999</v>
      </c>
      <c r="G216" s="51">
        <v>640727.06000000006</v>
      </c>
      <c r="H216" s="51">
        <v>10833182.789999999</v>
      </c>
      <c r="I216" s="51">
        <v>382206907.45999998</v>
      </c>
      <c r="J216" s="13">
        <f t="shared" si="116"/>
        <v>5.5947804572280355E-3</v>
      </c>
      <c r="K216" s="51">
        <v>369859169.81</v>
      </c>
      <c r="L216" s="13">
        <f t="shared" si="119"/>
        <v>5.1585210607132219E-3</v>
      </c>
      <c r="M216" s="13">
        <f t="shared" si="120"/>
        <v>-3.2306422016436825E-2</v>
      </c>
      <c r="N216" s="20">
        <f t="shared" si="121"/>
        <v>1.7323541290841791E-3</v>
      </c>
      <c r="O216" s="21">
        <f t="shared" si="122"/>
        <v>2.929002083567403E-2</v>
      </c>
      <c r="P216" s="22">
        <f t="shared" si="123"/>
        <v>122.16473684858612</v>
      </c>
      <c r="Q216" s="22">
        <f t="shared" si="124"/>
        <v>3.578207687679722</v>
      </c>
      <c r="R216" s="51">
        <v>118.21</v>
      </c>
      <c r="S216" s="51">
        <v>119.13</v>
      </c>
      <c r="T216" s="51">
        <v>130</v>
      </c>
      <c r="U216" s="51">
        <v>3219492.57</v>
      </c>
      <c r="V216" s="51">
        <v>3027544.44</v>
      </c>
    </row>
    <row r="217" spans="1:22" ht="15" customHeight="1">
      <c r="A217" s="83">
        <v>186</v>
      </c>
      <c r="B217" s="87" t="s">
        <v>219</v>
      </c>
      <c r="C217" s="87" t="s">
        <v>218</v>
      </c>
      <c r="D217" s="51">
        <v>331476377.81999999</v>
      </c>
      <c r="E217" s="51" t="s">
        <v>317</v>
      </c>
      <c r="F217" s="10">
        <v>15477057.640000001</v>
      </c>
      <c r="G217" s="51">
        <v>575859.68999999994</v>
      </c>
      <c r="H217" s="51">
        <v>10833182.789999999</v>
      </c>
      <c r="I217" s="51">
        <v>331358381.62</v>
      </c>
      <c r="J217" s="13">
        <f t="shared" si="116"/>
        <v>4.8504549803833775E-3</v>
      </c>
      <c r="K217" s="51">
        <v>360430904.38999999</v>
      </c>
      <c r="L217" s="13">
        <f t="shared" si="119"/>
        <v>5.0270226156157293E-3</v>
      </c>
      <c r="M217" s="13">
        <f t="shared" si="120"/>
        <v>8.7737399693544479E-2</v>
      </c>
      <c r="N217" s="20">
        <f t="shared" si="121"/>
        <v>1.5976978749216737E-3</v>
      </c>
      <c r="O217" s="21">
        <f t="shared" si="122"/>
        <v>3.0056198450391706E-2</v>
      </c>
      <c r="P217" s="22">
        <f t="shared" si="123"/>
        <v>131.65778191278292</v>
      </c>
      <c r="Q217" s="22">
        <f t="shared" si="124"/>
        <v>3.9571324207089953</v>
      </c>
      <c r="R217" s="51">
        <v>131.29</v>
      </c>
      <c r="S217" s="51">
        <v>131.29</v>
      </c>
      <c r="T217" s="51">
        <v>130</v>
      </c>
      <c r="U217" s="51">
        <v>2559153.8199999998</v>
      </c>
      <c r="V217" s="51">
        <v>2737634.64</v>
      </c>
    </row>
    <row r="218" spans="1:22" ht="13.95" customHeight="1">
      <c r="A218" s="83">
        <v>187</v>
      </c>
      <c r="B218" s="85" t="s">
        <v>195</v>
      </c>
      <c r="C218" s="85" t="s">
        <v>143</v>
      </c>
      <c r="D218" s="51">
        <v>1499975091.1700001</v>
      </c>
      <c r="E218" s="51">
        <v>36797332.960000001</v>
      </c>
      <c r="F218" s="10">
        <v>0</v>
      </c>
      <c r="G218" s="51">
        <v>9685811.1899999995</v>
      </c>
      <c r="H218" s="51">
        <f t="shared" si="125"/>
        <v>27111521.770000003</v>
      </c>
      <c r="I218" s="51">
        <v>2256929005</v>
      </c>
      <c r="J218" s="13">
        <f t="shared" si="116"/>
        <v>3.3037137854047292E-2</v>
      </c>
      <c r="K218" s="51">
        <v>2285998711</v>
      </c>
      <c r="L218" s="13">
        <f t="shared" si="119"/>
        <v>3.1883412547307199E-2</v>
      </c>
      <c r="M218" s="13">
        <f t="shared" si="120"/>
        <v>1.2880204000922926E-2</v>
      </c>
      <c r="N218" s="20">
        <f t="shared" si="121"/>
        <v>4.2370151581419676E-3</v>
      </c>
      <c r="O218" s="21">
        <f t="shared" si="122"/>
        <v>1.1859814985696203E-2</v>
      </c>
      <c r="P218" s="22">
        <f t="shared" si="123"/>
        <v>105.22364391341405</v>
      </c>
      <c r="Q218" s="22">
        <f t="shared" si="124"/>
        <v>1.2479329489338691</v>
      </c>
      <c r="R218" s="51">
        <v>105.22</v>
      </c>
      <c r="S218" s="51">
        <v>105.22</v>
      </c>
      <c r="T218" s="51">
        <v>718</v>
      </c>
      <c r="U218" s="51">
        <v>20908137</v>
      </c>
      <c r="V218" s="51">
        <v>21725143</v>
      </c>
    </row>
    <row r="219" spans="1:22">
      <c r="A219" s="83">
        <v>188</v>
      </c>
      <c r="B219" s="84" t="s">
        <v>196</v>
      </c>
      <c r="C219" s="84" t="s">
        <v>46</v>
      </c>
      <c r="D219" s="51">
        <v>5218240939.2299995</v>
      </c>
      <c r="E219" s="51">
        <v>51541560.359999999</v>
      </c>
      <c r="F219" s="10">
        <v>0</v>
      </c>
      <c r="G219" s="51">
        <v>8789485.5399999991</v>
      </c>
      <c r="H219" s="51">
        <f t="shared" si="125"/>
        <v>42752074.82</v>
      </c>
      <c r="I219" s="51">
        <v>5177691551.8400002</v>
      </c>
      <c r="J219" s="13">
        <f t="shared" si="116"/>
        <v>7.5791533178454648E-2</v>
      </c>
      <c r="K219" s="51">
        <v>5243770253</v>
      </c>
      <c r="L219" s="13">
        <f t="shared" si="119"/>
        <v>7.3136213714906348E-2</v>
      </c>
      <c r="M219" s="13">
        <f t="shared" si="120"/>
        <v>1.2762193440533824E-2</v>
      </c>
      <c r="N219" s="20">
        <f t="shared" si="121"/>
        <v>1.6761767041512676E-3</v>
      </c>
      <c r="O219" s="21">
        <f t="shared" si="122"/>
        <v>8.152926760195342E-3</v>
      </c>
      <c r="P219" s="22">
        <f t="shared" si="123"/>
        <v>142.07043485070446</v>
      </c>
      <c r="Q219" s="22">
        <f t="shared" si="124"/>
        <v>1.1582898501268974</v>
      </c>
      <c r="R219" s="51">
        <v>142.07</v>
      </c>
      <c r="S219" s="51">
        <v>142.07</v>
      </c>
      <c r="T219" s="51">
        <v>1655</v>
      </c>
      <c r="U219" s="51">
        <v>36771275.68</v>
      </c>
      <c r="V219" s="51">
        <v>36909651.600000001</v>
      </c>
    </row>
    <row r="220" spans="1:22" ht="15" customHeight="1">
      <c r="A220" s="83">
        <v>189</v>
      </c>
      <c r="B220" s="85" t="s">
        <v>197</v>
      </c>
      <c r="C220" s="85" t="s">
        <v>50</v>
      </c>
      <c r="D220" s="51">
        <v>2955899334.5900006</v>
      </c>
      <c r="E220" s="51">
        <v>43793806</v>
      </c>
      <c r="F220" s="10">
        <v>0</v>
      </c>
      <c r="G220" s="51">
        <v>6619420.5199999996</v>
      </c>
      <c r="H220" s="51">
        <f>(E220+F220)-G220</f>
        <v>37174385.480000004</v>
      </c>
      <c r="I220" s="51">
        <v>4110503273</v>
      </c>
      <c r="J220" s="13">
        <f t="shared" si="116"/>
        <v>6.0169931344213279E-2</v>
      </c>
      <c r="K220" s="51">
        <v>3880751819.2400007</v>
      </c>
      <c r="L220" s="13">
        <f t="shared" si="119"/>
        <v>5.4125844713366456E-2</v>
      </c>
      <c r="M220" s="13">
        <f t="shared" si="120"/>
        <v>-5.5893752784271111E-2</v>
      </c>
      <c r="N220" s="20">
        <f t="shared" si="121"/>
        <v>1.705705705575456E-3</v>
      </c>
      <c r="O220" s="21">
        <f t="shared" si="122"/>
        <v>9.5791710502322637E-3</v>
      </c>
      <c r="P220" s="22">
        <f t="shared" si="123"/>
        <v>1.178970985801983</v>
      </c>
      <c r="Q220" s="22">
        <f t="shared" si="124"/>
        <v>1.1293564736258149E-2</v>
      </c>
      <c r="R220" s="51">
        <v>1.18</v>
      </c>
      <c r="S220" s="51">
        <v>1.18</v>
      </c>
      <c r="T220" s="51">
        <v>203</v>
      </c>
      <c r="U220" s="51">
        <v>3516497340.8200006</v>
      </c>
      <c r="V220" s="51">
        <v>3291643192.2200007</v>
      </c>
    </row>
    <row r="221" spans="1:22" ht="4.95" customHeight="1">
      <c r="A221" s="63"/>
      <c r="B221" s="19"/>
      <c r="C221" s="19"/>
      <c r="D221" s="11"/>
      <c r="E221" s="11"/>
      <c r="F221" s="11"/>
      <c r="G221" s="31"/>
      <c r="H221" s="12"/>
      <c r="I221" s="23"/>
      <c r="J221" s="13"/>
      <c r="K221" s="32"/>
      <c r="L221" s="13"/>
      <c r="M221" s="13"/>
      <c r="N221" s="20"/>
      <c r="O221" s="21"/>
      <c r="P221" s="22"/>
      <c r="Q221" s="22"/>
      <c r="R221" s="12"/>
      <c r="S221" s="12"/>
      <c r="T221" s="41"/>
      <c r="U221" s="31"/>
      <c r="V221" s="41"/>
    </row>
    <row r="222" spans="1:22" ht="15" customHeight="1">
      <c r="A222" s="132" t="s">
        <v>215</v>
      </c>
      <c r="B222" s="134"/>
      <c r="C222" s="134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</row>
    <row r="223" spans="1:22" ht="15" customHeight="1">
      <c r="A223" s="80">
        <v>190</v>
      </c>
      <c r="B223" s="81" t="s">
        <v>303</v>
      </c>
      <c r="C223" s="81" t="s">
        <v>304</v>
      </c>
      <c r="D223" s="61">
        <v>378466039.73000002</v>
      </c>
      <c r="E223" s="16">
        <v>4545385.8600000003</v>
      </c>
      <c r="F223" s="16">
        <v>5863993.3300000001</v>
      </c>
      <c r="G223" s="16">
        <v>1114739.73</v>
      </c>
      <c r="H223" s="16">
        <f>(E223+F223)-G223</f>
        <v>9294639.4600000009</v>
      </c>
      <c r="I223" s="54">
        <v>325083848.63999999</v>
      </c>
      <c r="J223" s="55">
        <f t="shared" ref="J223:J226" si="127">(I223/$I$227)</f>
        <v>4.7586077797976299E-3</v>
      </c>
      <c r="K223" s="54">
        <v>369307703.02999997</v>
      </c>
      <c r="L223" s="13">
        <f t="shared" ref="L223" si="128">(K223/$K$227)</f>
        <v>5.1508296115587359E-3</v>
      </c>
      <c r="M223" s="13">
        <f>((K223-I223)/I223)</f>
        <v>0.13603830081073567</v>
      </c>
      <c r="N223" s="20">
        <f t="shared" ref="N223" si="129">(G223/K223)</f>
        <v>3.0184578357128023E-3</v>
      </c>
      <c r="O223" s="21">
        <f t="shared" ref="O223" si="130">H223/K223</f>
        <v>2.5167737861251621E-2</v>
      </c>
      <c r="P223" s="22">
        <f t="shared" ref="P223" si="131">K223/V223</f>
        <v>103.55776541697044</v>
      </c>
      <c r="Q223" s="22">
        <f t="shared" ref="Q223" si="132">H223/V223</f>
        <v>2.6063146935113006</v>
      </c>
      <c r="R223" s="54">
        <v>103.56</v>
      </c>
      <c r="S223" s="54">
        <v>103.56</v>
      </c>
      <c r="T223" s="54">
        <v>108</v>
      </c>
      <c r="U223" s="54">
        <v>3213800</v>
      </c>
      <c r="V223" s="54">
        <v>3566200</v>
      </c>
    </row>
    <row r="224" spans="1:22" ht="15" customHeight="1">
      <c r="A224" s="88">
        <v>191</v>
      </c>
      <c r="B224" s="89" t="s">
        <v>280</v>
      </c>
      <c r="C224" s="90" t="s">
        <v>58</v>
      </c>
      <c r="D224" s="16">
        <v>2151993376.75</v>
      </c>
      <c r="E224" s="16">
        <v>26960416.41</v>
      </c>
      <c r="F224" s="16">
        <v>176348909.24000001</v>
      </c>
      <c r="G224" s="16">
        <v>7497335.5899999999</v>
      </c>
      <c r="H224" s="16">
        <f>(E224+F224)-G224</f>
        <v>195811990.06</v>
      </c>
      <c r="I224" s="54">
        <v>2378066146</v>
      </c>
      <c r="J224" s="55">
        <f t="shared" si="127"/>
        <v>3.4810354653333438E-2</v>
      </c>
      <c r="K224" s="54">
        <v>3575795089</v>
      </c>
      <c r="L224" s="13">
        <f t="shared" ref="L224:L226" si="133">(K224/$K$227)</f>
        <v>4.9872534686316389E-2</v>
      </c>
      <c r="M224" s="13">
        <f t="shared" ref="M224:M226" si="134">((K224-I224)/I224)</f>
        <v>0.50365669811776548</v>
      </c>
      <c r="N224" s="20">
        <f t="shared" ref="N224:N226" si="135">(G224/K224)</f>
        <v>2.0966904991462166E-3</v>
      </c>
      <c r="O224" s="21">
        <f t="shared" ref="O224:O226" si="136">H224/K224</f>
        <v>5.4760405780063984E-2</v>
      </c>
      <c r="P224" s="22">
        <f t="shared" ref="P224:P226" si="137">K224/V224</f>
        <v>103.31924552287229</v>
      </c>
      <c r="Q224" s="22">
        <f t="shared" ref="Q224:Q226" si="138">H224/V224</f>
        <v>5.6578038097225454</v>
      </c>
      <c r="R224" s="54">
        <v>102.8026</v>
      </c>
      <c r="S224" s="54">
        <v>105.90219999999999</v>
      </c>
      <c r="T224" s="54">
        <v>3130</v>
      </c>
      <c r="U224" s="54">
        <v>24835692</v>
      </c>
      <c r="V224" s="54">
        <v>34609187</v>
      </c>
    </row>
    <row r="225" spans="1:22" ht="15" customHeight="1">
      <c r="A225" s="95">
        <v>192</v>
      </c>
      <c r="B225" s="10" t="s">
        <v>216</v>
      </c>
      <c r="C225" s="25" t="s">
        <v>118</v>
      </c>
      <c r="D225" s="16">
        <v>179691467.87</v>
      </c>
      <c r="E225" s="16">
        <v>4233190.83</v>
      </c>
      <c r="F225" s="16">
        <v>13360000</v>
      </c>
      <c r="G225" s="10">
        <v>689648.92</v>
      </c>
      <c r="H225" s="12">
        <f>(E225+F225)-G225</f>
        <v>16903541.909999996</v>
      </c>
      <c r="I225" s="17">
        <v>267445014.68000001</v>
      </c>
      <c r="J225" s="55">
        <f t="shared" si="127"/>
        <v>3.914885137630132E-3</v>
      </c>
      <c r="K225" s="17">
        <v>276437105.33999997</v>
      </c>
      <c r="L225" s="13">
        <f t="shared" si="133"/>
        <v>3.8555394762594146E-3</v>
      </c>
      <c r="M225" s="13">
        <f t="shared" si="134"/>
        <v>3.3622203318162694E-2</v>
      </c>
      <c r="N225" s="20">
        <f t="shared" si="135"/>
        <v>2.4947769553286848E-3</v>
      </c>
      <c r="O225" s="21">
        <f t="shared" si="136"/>
        <v>6.1147876256372025E-2</v>
      </c>
      <c r="P225" s="22">
        <f t="shared" si="137"/>
        <v>1230.0886343230004</v>
      </c>
      <c r="Q225" s="22">
        <f t="shared" si="138"/>
        <v>75.217307595952477</v>
      </c>
      <c r="R225" s="12">
        <v>1230.0899999999999</v>
      </c>
      <c r="S225" s="12">
        <v>1230.0899999999999</v>
      </c>
      <c r="T225" s="10">
        <v>161</v>
      </c>
      <c r="U225" s="10">
        <v>218537.26</v>
      </c>
      <c r="V225" s="10">
        <v>224729.42</v>
      </c>
    </row>
    <row r="226" spans="1:22" ht="15" customHeight="1">
      <c r="A226" s="95">
        <v>193</v>
      </c>
      <c r="B226" s="10" t="s">
        <v>278</v>
      </c>
      <c r="C226" s="10" t="s">
        <v>279</v>
      </c>
      <c r="D226" s="17">
        <v>45000000</v>
      </c>
      <c r="E226" s="17">
        <v>3005435.2</v>
      </c>
      <c r="F226" s="17">
        <v>0</v>
      </c>
      <c r="G226" s="17">
        <v>103980.65</v>
      </c>
      <c r="H226" s="17">
        <f>(E226+F226)-G226</f>
        <v>2901454.5500000003</v>
      </c>
      <c r="I226" s="17">
        <v>119776902.73</v>
      </c>
      <c r="J226" s="55">
        <f t="shared" si="127"/>
        <v>1.7533055042738589E-3</v>
      </c>
      <c r="K226" s="17">
        <v>138054620.21000001</v>
      </c>
      <c r="L226" s="13">
        <f t="shared" si="133"/>
        <v>1.9254833299060614E-3</v>
      </c>
      <c r="M226" s="13">
        <f t="shared" si="134"/>
        <v>0.15259801400276202</v>
      </c>
      <c r="N226" s="20">
        <f t="shared" si="135"/>
        <v>7.5318486148331118E-4</v>
      </c>
      <c r="O226" s="21">
        <f t="shared" si="136"/>
        <v>2.1016714584318075E-2</v>
      </c>
      <c r="P226" s="22">
        <f t="shared" si="137"/>
        <v>111.6657663145464</v>
      </c>
      <c r="Q226" s="22">
        <f t="shared" si="138"/>
        <v>2.3468475394719817</v>
      </c>
      <c r="R226" s="17">
        <v>110.53</v>
      </c>
      <c r="S226" s="17">
        <v>112.8</v>
      </c>
      <c r="T226" s="17">
        <v>294</v>
      </c>
      <c r="U226" s="17">
        <v>1085348</v>
      </c>
      <c r="V226" s="17">
        <v>1236320</v>
      </c>
    </row>
    <row r="227" spans="1:22" ht="15" customHeight="1">
      <c r="A227" s="129" t="s">
        <v>51</v>
      </c>
      <c r="B227" s="129"/>
      <c r="C227" s="129"/>
      <c r="D227" s="129"/>
      <c r="E227" s="129"/>
      <c r="F227" s="129"/>
      <c r="G227" s="129"/>
      <c r="H227" s="129"/>
      <c r="I227" s="36">
        <f>SUM(I203:I226)</f>
        <v>68314907149.970001</v>
      </c>
      <c r="J227" s="34">
        <f>(I227/$I$237)</f>
        <v>9.9835108785340989E-3</v>
      </c>
      <c r="K227" s="36">
        <f>SUM(K203:K226)</f>
        <v>71698683684.12999</v>
      </c>
      <c r="L227" s="34">
        <f>(K227/$K$237)</f>
        <v>9.9144949387713881E-3</v>
      </c>
      <c r="M227" s="34">
        <f t="shared" si="118"/>
        <v>4.9532037374092723E-2</v>
      </c>
      <c r="N227" s="20"/>
      <c r="O227" s="20"/>
      <c r="P227" s="35"/>
      <c r="Q227" s="35"/>
      <c r="R227" s="36"/>
      <c r="S227" s="36"/>
      <c r="T227" s="36">
        <f>SUM(T203:T226)</f>
        <v>37234</v>
      </c>
      <c r="U227" s="36"/>
      <c r="V227" s="36"/>
    </row>
    <row r="228" spans="1:22" ht="15" customHeight="1">
      <c r="A228" s="130" t="s">
        <v>294</v>
      </c>
      <c r="B228" s="130"/>
      <c r="C228" s="130"/>
      <c r="D228" s="130"/>
      <c r="E228" s="130"/>
      <c r="F228" s="130"/>
      <c r="G228" s="130"/>
      <c r="H228" s="130"/>
      <c r="I228" s="68">
        <f>SUM(I24,I69,I111,I153,I162,I194,I199,I227)</f>
        <v>6824788014501.4063</v>
      </c>
      <c r="J228" s="69"/>
      <c r="K228" s="68">
        <f>SUM(K24,K69,K111,K153,K162,K194,K199,K227)</f>
        <v>7213150778345.9775</v>
      </c>
      <c r="L228" s="69"/>
      <c r="M228" s="69"/>
      <c r="N228" s="70"/>
      <c r="O228" s="70"/>
      <c r="P228" s="71"/>
      <c r="Q228" s="71"/>
      <c r="R228" s="68"/>
      <c r="S228" s="68"/>
      <c r="T228" s="68">
        <f>SUM(T24,T69,T111,T153,T162,T194,T199,T227)</f>
        <v>997184</v>
      </c>
      <c r="U228" s="68"/>
      <c r="V228" s="68"/>
    </row>
    <row r="229" spans="1:22" s="6" customFormat="1" ht="6.6" customHeight="1">
      <c r="A229" s="62"/>
      <c r="B229" s="62"/>
      <c r="C229" s="62"/>
      <c r="D229" s="62"/>
      <c r="E229" s="62"/>
      <c r="F229" s="62"/>
      <c r="G229" s="62"/>
      <c r="H229" s="62"/>
      <c r="I229" s="36"/>
      <c r="J229" s="57"/>
      <c r="K229" s="36"/>
      <c r="L229" s="57"/>
      <c r="M229" s="57"/>
      <c r="N229" s="58"/>
      <c r="O229" s="58"/>
      <c r="P229" s="59"/>
      <c r="Q229" s="59"/>
      <c r="R229" s="36"/>
      <c r="S229" s="36"/>
      <c r="T229" s="36"/>
      <c r="U229" s="36"/>
      <c r="V229" s="36"/>
    </row>
    <row r="230" spans="1:22" s="6" customFormat="1" ht="15" customHeight="1">
      <c r="A230" s="142" t="s">
        <v>282</v>
      </c>
      <c r="B230" s="142"/>
      <c r="C230" s="142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</row>
    <row r="231" spans="1:22" s="6" customFormat="1" ht="15" customHeight="1">
      <c r="A231" s="82">
        <v>1</v>
      </c>
      <c r="B231" s="25" t="s">
        <v>283</v>
      </c>
      <c r="C231" s="25" t="s">
        <v>58</v>
      </c>
      <c r="D231" s="17">
        <f>734514.28*FX_RATE</f>
        <v>1044284145.7158041</v>
      </c>
      <c r="E231" s="16">
        <f>8939.49*FX_RATE</f>
        <v>12709579.557507001</v>
      </c>
      <c r="F231" s="16">
        <f>681.99*FX_RATE</f>
        <v>969608.57525700005</v>
      </c>
      <c r="G231" s="16">
        <f>2454*FX_RATE</f>
        <v>3488935.9722000002</v>
      </c>
      <c r="H231" s="17">
        <f>(E231+F231)-G231</f>
        <v>10190252.160564</v>
      </c>
      <c r="I231" s="10">
        <v>1841476862.7045</v>
      </c>
      <c r="J231" s="13">
        <f>(I231/$I$236)</f>
        <v>0.10238485038467639</v>
      </c>
      <c r="K231" s="10">
        <f>1251131*FX_RATE</f>
        <v>1778775856.4933002</v>
      </c>
      <c r="L231" s="13">
        <f>(K231/$K$236)</f>
        <v>9.5878933755901868E-2</v>
      </c>
      <c r="M231" s="13">
        <f>((K231-I231)/I231)</f>
        <v>-3.4049304382306175E-2</v>
      </c>
      <c r="N231" s="20">
        <f t="shared" ref="N231" si="139">(G231/K231)</f>
        <v>1.9614253023864008E-3</v>
      </c>
      <c r="O231" s="21">
        <f t="shared" ref="O231" si="140">H231/K231</f>
        <v>5.7288005812340982E-3</v>
      </c>
      <c r="P231" s="22">
        <f t="shared" ref="P231" si="141">K231/V231</f>
        <v>1458.38954852548</v>
      </c>
      <c r="Q231" s="22">
        <f t="shared" ref="Q231" si="142">H231/V231</f>
        <v>8.3548228932585058</v>
      </c>
      <c r="R231" s="10">
        <f>1.0258*FX_RATE</f>
        <v>1458.4150449400001</v>
      </c>
      <c r="S231" s="10">
        <f>1.0258*FX_RATE</f>
        <v>1458.4150449400001</v>
      </c>
      <c r="T231" s="10">
        <v>49</v>
      </c>
      <c r="U231" s="10">
        <v>1222617</v>
      </c>
      <c r="V231" s="10">
        <v>1219685</v>
      </c>
    </row>
    <row r="232" spans="1:22" s="6" customFormat="1" ht="15" customHeight="1">
      <c r="A232" s="82">
        <v>2</v>
      </c>
      <c r="B232" s="25" t="s">
        <v>284</v>
      </c>
      <c r="C232" s="25" t="s">
        <v>285</v>
      </c>
      <c r="D232" s="16">
        <v>3763343486.77</v>
      </c>
      <c r="E232" s="16">
        <v>103239651.90000001</v>
      </c>
      <c r="F232" s="96">
        <v>0</v>
      </c>
      <c r="G232" s="16">
        <v>10246433.42</v>
      </c>
      <c r="H232" s="17">
        <f>(E232+F232)-G232</f>
        <v>92993218.480000004</v>
      </c>
      <c r="I232" s="10">
        <v>3711179672</v>
      </c>
      <c r="J232" s="13">
        <f t="shared" ref="J232:J235" si="143">(I232/$I$236)</f>
        <v>0.20633904403790795</v>
      </c>
      <c r="K232" s="10">
        <v>4092074972.02</v>
      </c>
      <c r="L232" s="13">
        <f t="shared" ref="L232:L235" si="144">(K232/$K$236)</f>
        <v>0.22056954716034921</v>
      </c>
      <c r="M232" s="13">
        <f t="shared" ref="M232:M235" si="145">((K232-I232)/I232)</f>
        <v>0.10263456196792835</v>
      </c>
      <c r="N232" s="20">
        <f t="shared" ref="N232:N235" si="146">(G232/K232)</f>
        <v>2.5039701105334295E-3</v>
      </c>
      <c r="O232" s="21">
        <f t="shared" ref="O232:O235" si="147">H232/K232</f>
        <v>2.2725199102130601E-2</v>
      </c>
      <c r="P232" s="22">
        <f t="shared" ref="P232:P235" si="148">K232/V232</f>
        <v>123.31023986656702</v>
      </c>
      <c r="Q232" s="22">
        <f t="shared" ref="Q232:Q235" si="149">H232/V232</f>
        <v>2.8022497522992178</v>
      </c>
      <c r="R232" s="10">
        <v>123.3</v>
      </c>
      <c r="S232" s="10">
        <v>123.3</v>
      </c>
      <c r="T232" s="10">
        <v>9</v>
      </c>
      <c r="U232" s="10">
        <v>33185200</v>
      </c>
      <c r="V232" s="10">
        <v>33185200</v>
      </c>
    </row>
    <row r="233" spans="1:22" s="6" customFormat="1" ht="15" customHeight="1">
      <c r="A233" s="82">
        <v>3</v>
      </c>
      <c r="B233" s="25" t="s">
        <v>286</v>
      </c>
      <c r="C233" s="25" t="s">
        <v>135</v>
      </c>
      <c r="D233" s="16">
        <v>574259510.37</v>
      </c>
      <c r="E233" s="16">
        <v>3587167.66</v>
      </c>
      <c r="F233" s="16">
        <v>5243490</v>
      </c>
      <c r="G233" s="16">
        <v>627494.16</v>
      </c>
      <c r="H233" s="17">
        <f>(E233+F233)-G233</f>
        <v>8203163.5</v>
      </c>
      <c r="I233" s="10">
        <v>584853826.22000003</v>
      </c>
      <c r="J233" s="13">
        <f t="shared" si="143"/>
        <v>3.2517471550794687E-2</v>
      </c>
      <c r="K233" s="10">
        <v>572434162.01999998</v>
      </c>
      <c r="L233" s="13">
        <f t="shared" si="144"/>
        <v>3.0855139448615232E-2</v>
      </c>
      <c r="M233" s="13">
        <f t="shared" si="145"/>
        <v>-2.1235501322219678E-2</v>
      </c>
      <c r="N233" s="20">
        <f t="shared" si="146"/>
        <v>1.0961857304003396E-3</v>
      </c>
      <c r="O233" s="21">
        <f t="shared" si="147"/>
        <v>1.4330317867565343E-2</v>
      </c>
      <c r="P233" s="22">
        <f t="shared" si="148"/>
        <v>154296.17005528347</v>
      </c>
      <c r="Q233" s="22">
        <f t="shared" si="149"/>
        <v>2211.1131626401293</v>
      </c>
      <c r="R233" s="10">
        <f>108.14*FX_RATE</f>
        <v>153746.347202</v>
      </c>
      <c r="S233" s="10">
        <f>108.14*FX_RATE</f>
        <v>153746.347202</v>
      </c>
      <c r="T233" s="10">
        <v>5</v>
      </c>
      <c r="U233" s="10">
        <v>3614.97</v>
      </c>
      <c r="V233" s="10">
        <v>3709.97</v>
      </c>
    </row>
    <row r="234" spans="1:22" ht="15" customHeight="1">
      <c r="A234" s="82">
        <v>4</v>
      </c>
      <c r="B234" s="25" t="s">
        <v>287</v>
      </c>
      <c r="C234" s="25" t="s">
        <v>288</v>
      </c>
      <c r="D234" s="16">
        <v>12061462609.98</v>
      </c>
      <c r="E234" s="16">
        <v>230900619.27000001</v>
      </c>
      <c r="F234" s="96">
        <v>0</v>
      </c>
      <c r="G234" s="16">
        <v>23849042.690000001</v>
      </c>
      <c r="H234" s="17">
        <f>(E234+F234)-G234</f>
        <v>207051576.58000001</v>
      </c>
      <c r="I234" s="10">
        <v>11715781116.860001</v>
      </c>
      <c r="J234" s="13">
        <f t="shared" si="143"/>
        <v>0.65138939352604486</v>
      </c>
      <c r="K234" s="10">
        <v>11940821773.620001</v>
      </c>
      <c r="L234" s="13">
        <f t="shared" si="144"/>
        <v>0.64362986243863207</v>
      </c>
      <c r="M234" s="13">
        <f t="shared" si="145"/>
        <v>1.920833570679702E-2</v>
      </c>
      <c r="N234" s="20">
        <f t="shared" si="146"/>
        <v>1.9972697978532746E-3</v>
      </c>
      <c r="O234" s="21">
        <f t="shared" si="147"/>
        <v>1.733980964672165E-2</v>
      </c>
      <c r="P234" s="22">
        <f t="shared" si="148"/>
        <v>1.1448534778159156</v>
      </c>
      <c r="Q234" s="22">
        <f t="shared" si="149"/>
        <v>1.9851541378715247E-2</v>
      </c>
      <c r="R234" s="10">
        <v>1.1399999999999999</v>
      </c>
      <c r="S234" s="10">
        <v>1.1399999999999999</v>
      </c>
      <c r="T234" s="10">
        <v>16</v>
      </c>
      <c r="U234" s="10">
        <v>10430000000</v>
      </c>
      <c r="V234" s="10">
        <v>10430000000</v>
      </c>
    </row>
    <row r="235" spans="1:22" ht="15" customHeight="1">
      <c r="A235" s="82">
        <v>5</v>
      </c>
      <c r="B235" s="25" t="s">
        <v>289</v>
      </c>
      <c r="C235" s="25" t="s">
        <v>50</v>
      </c>
      <c r="D235" s="17">
        <v>135785263.01547945</v>
      </c>
      <c r="E235" s="16">
        <v>1624315</v>
      </c>
      <c r="F235" s="16">
        <v>1416000</v>
      </c>
      <c r="G235" s="16">
        <v>554333.31999999995</v>
      </c>
      <c r="H235" s="17">
        <f>(E235+F235)-G235</f>
        <v>2485981.6800000002</v>
      </c>
      <c r="I235" s="10">
        <v>132541932</v>
      </c>
      <c r="J235" s="13">
        <f t="shared" si="143"/>
        <v>7.3692405005761734E-3</v>
      </c>
      <c r="K235" s="10">
        <v>168204852.30547944</v>
      </c>
      <c r="L235" s="13">
        <f t="shared" si="144"/>
        <v>9.0665171965015733E-3</v>
      </c>
      <c r="M235" s="13">
        <f t="shared" si="145"/>
        <v>0.26906896381651835</v>
      </c>
      <c r="N235" s="20">
        <f t="shared" si="146"/>
        <v>3.2955845946302824E-3</v>
      </c>
      <c r="O235" s="21">
        <f t="shared" si="147"/>
        <v>1.4779488498257888E-2</v>
      </c>
      <c r="P235" s="22">
        <f t="shared" si="148"/>
        <v>1.1069352255372937</v>
      </c>
      <c r="Q235" s="22">
        <f t="shared" si="149"/>
        <v>1.6359936434144934E-2</v>
      </c>
      <c r="R235" s="10">
        <v>1.1100000000000001</v>
      </c>
      <c r="S235" s="10">
        <v>1.1100000000000001</v>
      </c>
      <c r="T235" s="10">
        <v>15</v>
      </c>
      <c r="U235" s="10">
        <v>122007264.58</v>
      </c>
      <c r="V235" s="10">
        <v>151955460.82999998</v>
      </c>
    </row>
    <row r="236" spans="1:22" ht="15" customHeight="1">
      <c r="A236" s="140" t="s">
        <v>51</v>
      </c>
      <c r="B236" s="140"/>
      <c r="C236" s="140"/>
      <c r="D236" s="140"/>
      <c r="E236" s="140"/>
      <c r="F236" s="140"/>
      <c r="G236" s="140"/>
      <c r="H236" s="140"/>
      <c r="I236" s="73">
        <f>SUM(I231:I235)</f>
        <v>17985833409.7845</v>
      </c>
      <c r="J236" s="74">
        <f>(I236/$I$237)</f>
        <v>2.6284418876819692E-3</v>
      </c>
      <c r="K236" s="73">
        <f>SUM(K231:K235)</f>
        <v>18552311616.458782</v>
      </c>
      <c r="L236" s="34">
        <f>(K236/$K$237)</f>
        <v>2.5654138984507382E-3</v>
      </c>
      <c r="M236" s="57"/>
      <c r="N236" s="58"/>
      <c r="O236" s="58"/>
      <c r="P236" s="59"/>
      <c r="Q236" s="59"/>
      <c r="R236" s="36"/>
      <c r="S236" s="36"/>
      <c r="T236" s="36">
        <f>SUM(T231:T235)</f>
        <v>94</v>
      </c>
      <c r="U236" s="36"/>
      <c r="V236" s="36"/>
    </row>
    <row r="237" spans="1:22" ht="15.6" customHeight="1">
      <c r="A237" s="141" t="s">
        <v>198</v>
      </c>
      <c r="B237" s="141"/>
      <c r="C237" s="141"/>
      <c r="D237" s="141"/>
      <c r="E237" s="141"/>
      <c r="F237" s="141"/>
      <c r="G237" s="141"/>
      <c r="H237" s="141"/>
      <c r="I237" s="66">
        <f>I228+I236</f>
        <v>6842773847911.1904</v>
      </c>
      <c r="J237" s="65"/>
      <c r="K237" s="66">
        <f>K228+K236</f>
        <v>7231703089962.4365</v>
      </c>
      <c r="L237" s="65"/>
      <c r="M237" s="65"/>
      <c r="N237" s="65"/>
      <c r="O237" s="65"/>
      <c r="P237" s="65"/>
      <c r="Q237" s="65"/>
      <c r="R237" s="67"/>
      <c r="S237" s="67"/>
      <c r="T237" s="66">
        <f>T228+T236</f>
        <v>997278</v>
      </c>
      <c r="U237" s="67"/>
      <c r="V237" s="67"/>
    </row>
    <row r="238" spans="1:22" ht="4.95" customHeight="1">
      <c r="A238" s="52"/>
      <c r="B238" s="14"/>
      <c r="C238" s="14"/>
      <c r="D238" s="6"/>
      <c r="E238" s="6"/>
      <c r="F238" s="6"/>
      <c r="G238" s="6"/>
      <c r="H238" s="7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>
      <c r="A239" s="53" t="s">
        <v>199</v>
      </c>
      <c r="B239" s="42" t="s">
        <v>320</v>
      </c>
      <c r="C239" s="56">
        <v>1421.7343000000001</v>
      </c>
      <c r="D239" s="75"/>
      <c r="E239" s="6"/>
      <c r="F239" s="6"/>
      <c r="G239" s="6"/>
      <c r="H239" s="7"/>
      <c r="I239" s="8"/>
      <c r="J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9"/>
    </row>
  </sheetData>
  <sheetProtection algorithmName="SHA-512" hashValue="UCcXLYYq/k8Kp0+zGyhmryef925ogsjcJ/t2wZiKuEu/4NmcvheFmIu/qysBtn0Bh0IO3F0Tuh8uRsuYk0LqSA==" saltValue="K3gr05nCNs8iYxynb0D91Q==" spinCount="100000" sheet="1" objects="1" scenarios="1"/>
  <mergeCells count="36">
    <mergeCell ref="A236:H236"/>
    <mergeCell ref="A237:H237"/>
    <mergeCell ref="A230:V230"/>
    <mergeCell ref="A1:V1"/>
    <mergeCell ref="A3:V3"/>
    <mergeCell ref="A4:V4"/>
    <mergeCell ref="A24:H24"/>
    <mergeCell ref="A25:V25"/>
    <mergeCell ref="A26:V26"/>
    <mergeCell ref="A69:H69"/>
    <mergeCell ref="A70:V70"/>
    <mergeCell ref="A71:V71"/>
    <mergeCell ref="A111:H111"/>
    <mergeCell ref="A112:V112"/>
    <mergeCell ref="A113:V113"/>
    <mergeCell ref="A114:V114"/>
    <mergeCell ref="A132:V132"/>
    <mergeCell ref="A133:V133"/>
    <mergeCell ref="A153:H153"/>
    <mergeCell ref="A154:V154"/>
    <mergeCell ref="A155:V155"/>
    <mergeCell ref="A162:H162"/>
    <mergeCell ref="A163:V163"/>
    <mergeCell ref="A164:V164"/>
    <mergeCell ref="A194:H194"/>
    <mergeCell ref="A195:V195"/>
    <mergeCell ref="A196:V196"/>
    <mergeCell ref="A199:H199"/>
    <mergeCell ref="A227:H227"/>
    <mergeCell ref="A228:H228"/>
    <mergeCell ref="A200:V200"/>
    <mergeCell ref="A201:V201"/>
    <mergeCell ref="A202:V202"/>
    <mergeCell ref="A205:V205"/>
    <mergeCell ref="A206:V206"/>
    <mergeCell ref="A222:V222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H140 J24 J69 J111 J153 J162 J194 J199 J227 J2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I9" sqref="I9"/>
    </sheetView>
  </sheetViews>
  <sheetFormatPr defaultColWidth="9" defaultRowHeight="14.4"/>
  <cols>
    <col min="1" max="1" width="30.33203125" customWidth="1"/>
    <col min="2" max="2" width="9.33203125" customWidth="1"/>
    <col min="3" max="3" width="9.44140625" customWidth="1"/>
  </cols>
  <sheetData>
    <row r="1" spans="1:7">
      <c r="A1" s="2"/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spans="1:7">
      <c r="A3" s="148"/>
      <c r="B3" s="148"/>
      <c r="C3" s="148"/>
      <c r="D3" s="2"/>
      <c r="E3" s="2"/>
      <c r="F3" s="2"/>
      <c r="G3" s="2"/>
    </row>
    <row r="4" spans="1:7" ht="33" customHeight="1">
      <c r="A4" s="121" t="s">
        <v>200</v>
      </c>
      <c r="B4" s="122" t="s">
        <v>318</v>
      </c>
      <c r="C4" s="122" t="s">
        <v>323</v>
      </c>
      <c r="D4" s="97"/>
      <c r="E4" s="97"/>
      <c r="F4" s="2"/>
      <c r="G4" s="2"/>
    </row>
    <row r="5" spans="1:7" ht="19.05" customHeight="1">
      <c r="A5" s="123" t="s">
        <v>20</v>
      </c>
      <c r="B5" s="124">
        <v>71.229762141910001</v>
      </c>
      <c r="C5" s="124">
        <f>October!K24/1000000000</f>
        <v>80.026944757741362</v>
      </c>
      <c r="D5" s="97"/>
      <c r="E5" s="97"/>
      <c r="F5" s="2"/>
      <c r="G5" s="2"/>
    </row>
    <row r="6" spans="1:7">
      <c r="A6" s="121" t="s">
        <v>52</v>
      </c>
      <c r="B6" s="125">
        <v>4016.7591331062349</v>
      </c>
      <c r="C6" s="124">
        <f>October!K69/1000000000</f>
        <v>4358.4102246460734</v>
      </c>
      <c r="D6" s="97"/>
      <c r="E6" s="97"/>
      <c r="F6" s="2"/>
      <c r="G6" s="2"/>
    </row>
    <row r="7" spans="1:7">
      <c r="A7" s="121" t="s">
        <v>201</v>
      </c>
      <c r="B7" s="124">
        <v>230.13504923472004</v>
      </c>
      <c r="C7" s="124">
        <f>October!K111/1000000000</f>
        <v>241.31955482041843</v>
      </c>
      <c r="D7" s="97"/>
      <c r="E7" s="97"/>
      <c r="F7" s="2"/>
      <c r="G7" s="2"/>
    </row>
    <row r="8" spans="1:7">
      <c r="A8" s="121" t="s">
        <v>202</v>
      </c>
      <c r="B8" s="125">
        <v>1931.3497499436774</v>
      </c>
      <c r="C8" s="124">
        <f>October!K153/1000000000</f>
        <v>1893.5907993101837</v>
      </c>
      <c r="D8" s="97"/>
      <c r="E8" s="97"/>
      <c r="F8" s="2"/>
      <c r="G8" s="2"/>
    </row>
    <row r="9" spans="1:7">
      <c r="A9" s="121" t="s">
        <v>203</v>
      </c>
      <c r="B9" s="124">
        <v>421.89491953708995</v>
      </c>
      <c r="C9" s="124">
        <f>October!K162/1000000000</f>
        <v>478.51150703533</v>
      </c>
      <c r="D9" s="97"/>
      <c r="E9" s="97"/>
      <c r="F9" s="2"/>
      <c r="G9" s="2"/>
    </row>
    <row r="10" spans="1:7">
      <c r="A10" s="121" t="s">
        <v>160</v>
      </c>
      <c r="B10" s="124">
        <v>76.956495222053988</v>
      </c>
      <c r="C10" s="124">
        <f>October!K194/1000000000</f>
        <v>81.002610176752384</v>
      </c>
      <c r="D10" s="97"/>
      <c r="E10" s="97"/>
      <c r="F10" s="2"/>
      <c r="G10" s="2"/>
    </row>
    <row r="11" spans="1:7">
      <c r="A11" s="121" t="s">
        <v>183</v>
      </c>
      <c r="B11" s="124">
        <v>8.1479981657499998</v>
      </c>
      <c r="C11" s="124">
        <f>October!K199/1000000000</f>
        <v>8.5904539153500004</v>
      </c>
      <c r="D11" s="97"/>
      <c r="E11" s="97"/>
      <c r="F11" s="2"/>
      <c r="G11" s="2"/>
    </row>
    <row r="12" spans="1:7">
      <c r="A12" s="121" t="s">
        <v>204</v>
      </c>
      <c r="B12" s="124">
        <v>68.314907149969997</v>
      </c>
      <c r="C12" s="124">
        <f>October!K227/1000000000</f>
        <v>71.698683684129989</v>
      </c>
      <c r="D12" s="97"/>
      <c r="E12" s="97"/>
      <c r="F12" s="2"/>
      <c r="G12" s="2"/>
    </row>
    <row r="13" spans="1:7">
      <c r="A13" s="126" t="s">
        <v>282</v>
      </c>
      <c r="B13" s="124">
        <v>17.985833409784501</v>
      </c>
      <c r="C13" s="124">
        <f>October!K236/1000000000</f>
        <v>18.55231161645878</v>
      </c>
      <c r="D13" s="97"/>
      <c r="E13" s="97"/>
      <c r="F13" s="2"/>
      <c r="G13" s="2"/>
    </row>
    <row r="14" spans="1:7">
      <c r="A14" s="120"/>
      <c r="B14" s="120"/>
      <c r="C14" s="120"/>
      <c r="D14" s="97"/>
      <c r="E14" s="97"/>
      <c r="F14" s="2"/>
      <c r="G14" s="2"/>
    </row>
    <row r="15" spans="1:7">
      <c r="A15" s="120"/>
      <c r="B15" s="120"/>
      <c r="C15" s="120"/>
      <c r="D15" s="97"/>
      <c r="E15" s="97"/>
      <c r="F15" s="2"/>
      <c r="G15" s="2"/>
    </row>
    <row r="16" spans="1:7">
      <c r="A16" s="120"/>
      <c r="B16" s="127"/>
      <c r="C16" s="120"/>
      <c r="D16" s="97"/>
      <c r="E16" s="97"/>
      <c r="F16" s="2"/>
      <c r="G16" s="2"/>
    </row>
    <row r="17" spans="1:7">
      <c r="A17" s="149"/>
      <c r="B17" s="150"/>
      <c r="C17" s="148"/>
      <c r="D17" s="2"/>
      <c r="E17" s="2"/>
      <c r="F17" s="2"/>
      <c r="G17" s="2"/>
    </row>
    <row r="18" spans="1:7" ht="15.6">
      <c r="A18" s="64"/>
      <c r="B18" s="47"/>
      <c r="C18" s="2"/>
      <c r="D18" s="2"/>
      <c r="E18" s="2"/>
      <c r="F18" s="2"/>
      <c r="G18" s="2"/>
    </row>
    <row r="19" spans="1:7">
      <c r="A19" s="48"/>
      <c r="B19" s="46"/>
      <c r="C19" s="2"/>
      <c r="D19" s="2"/>
      <c r="E19" s="2"/>
      <c r="F19" s="2"/>
      <c r="G19" s="2"/>
    </row>
    <row r="20" spans="1:7">
      <c r="A20" s="48"/>
      <c r="B20" s="47"/>
      <c r="C20" s="2"/>
      <c r="D20" s="2"/>
      <c r="E20" s="2"/>
      <c r="F20" s="2"/>
      <c r="G20" s="2"/>
    </row>
    <row r="21" spans="1:7">
      <c r="A21" s="48"/>
      <c r="B21" s="46"/>
      <c r="C21" s="2"/>
      <c r="D21" s="2"/>
      <c r="E21" s="2"/>
      <c r="F21" s="2"/>
      <c r="G21" s="2"/>
    </row>
    <row r="22" spans="1:7">
      <c r="A22" s="48"/>
      <c r="B22" s="49"/>
      <c r="C22" s="2"/>
      <c r="D22" s="2"/>
      <c r="E22" s="2"/>
      <c r="F22" s="2"/>
      <c r="G22" s="2"/>
    </row>
    <row r="23" spans="1:7">
      <c r="A23" s="48"/>
      <c r="B23" s="46"/>
      <c r="C23" s="2"/>
      <c r="D23" s="2"/>
      <c r="E23" s="2"/>
      <c r="F23" s="2"/>
      <c r="G23" s="2"/>
    </row>
    <row r="24" spans="1:7">
      <c r="A24" s="48"/>
      <c r="B24" s="46"/>
      <c r="C24" s="2"/>
      <c r="D24" s="2"/>
      <c r="E24" s="2"/>
      <c r="F24" s="2"/>
      <c r="G24" s="2"/>
    </row>
    <row r="25" spans="1:7">
      <c r="A25" s="48"/>
      <c r="B25" s="46"/>
      <c r="C25" s="2"/>
      <c r="D25" s="2"/>
      <c r="E25" s="2"/>
      <c r="F25" s="2"/>
      <c r="G25" s="2"/>
    </row>
    <row r="26" spans="1:7">
      <c r="A26" s="48"/>
      <c r="B26" s="46"/>
      <c r="C26" s="2"/>
      <c r="D26" s="2"/>
      <c r="E26" s="2"/>
      <c r="F26" s="2"/>
      <c r="G26" s="2"/>
    </row>
    <row r="27" spans="1:7">
      <c r="A27" s="2"/>
      <c r="B27" s="2"/>
      <c r="C27" s="2"/>
      <c r="D27" s="2"/>
      <c r="E27" s="2"/>
      <c r="F27" s="2"/>
      <c r="G27" s="2"/>
    </row>
    <row r="28" spans="1:7">
      <c r="A28" s="2"/>
      <c r="B28" s="2"/>
      <c r="C28" s="2"/>
      <c r="D28" s="2"/>
    </row>
  </sheetData>
  <sheetProtection algorithmName="SHA-512" hashValue="+K0bRWC44+XtKR8sPd1MQv3zWEFvFleVB3IdWh9M6MU9wX9YGO5pshxpn6GryU1QAQD9Kn9HtJoDpxNcdIUzQQ==" saltValue="JN5Ra9cqaEYmPpqO80g4o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J13" sqref="J13"/>
    </sheetView>
  </sheetViews>
  <sheetFormatPr defaultColWidth="9" defaultRowHeight="14.4"/>
  <cols>
    <col min="1" max="1" width="26.77734375" customWidth="1"/>
    <col min="2" max="2" width="21.21875" customWidth="1"/>
  </cols>
  <sheetData>
    <row r="1" spans="1:6">
      <c r="A1" s="104" t="s">
        <v>200</v>
      </c>
      <c r="B1" s="105" t="s">
        <v>323</v>
      </c>
      <c r="C1" s="97"/>
      <c r="D1" s="97"/>
      <c r="E1" s="97"/>
      <c r="F1" s="2"/>
    </row>
    <row r="2" spans="1:6">
      <c r="A2" s="104" t="s">
        <v>183</v>
      </c>
      <c r="B2" s="106">
        <f>October!K199</f>
        <v>8590453915.3500004</v>
      </c>
      <c r="C2" s="97"/>
      <c r="D2" s="97"/>
      <c r="E2" s="97"/>
      <c r="F2" s="2"/>
    </row>
    <row r="3" spans="1:6">
      <c r="A3" s="104" t="s">
        <v>282</v>
      </c>
      <c r="B3" s="106">
        <f>October!K236</f>
        <v>18552311616.458782</v>
      </c>
      <c r="C3" s="97"/>
      <c r="D3" s="97"/>
      <c r="E3" s="97"/>
      <c r="F3" s="2"/>
    </row>
    <row r="4" spans="1:6">
      <c r="A4" s="104" t="s">
        <v>204</v>
      </c>
      <c r="B4" s="107">
        <f>October!K227</f>
        <v>71698683684.12999</v>
      </c>
      <c r="C4" s="97"/>
      <c r="D4" s="97"/>
      <c r="E4" s="97"/>
      <c r="F4" s="2"/>
    </row>
    <row r="5" spans="1:6">
      <c r="A5" s="104" t="s">
        <v>20</v>
      </c>
      <c r="B5" s="108">
        <f>October!K24</f>
        <v>80026944757.741364</v>
      </c>
      <c r="C5" s="97"/>
      <c r="D5" s="97"/>
      <c r="E5" s="97"/>
      <c r="F5" s="2"/>
    </row>
    <row r="6" spans="1:6">
      <c r="A6" s="104" t="s">
        <v>160</v>
      </c>
      <c r="B6" s="108">
        <f>October!K194</f>
        <v>81002610176.75238</v>
      </c>
      <c r="C6" s="97"/>
      <c r="D6" s="97"/>
      <c r="E6" s="97"/>
      <c r="F6" s="2"/>
    </row>
    <row r="7" spans="1:6">
      <c r="A7" s="104" t="s">
        <v>201</v>
      </c>
      <c r="B7" s="109">
        <f>October!K111</f>
        <v>241319554820.41843</v>
      </c>
      <c r="C7" s="97"/>
      <c r="D7" s="97"/>
      <c r="E7" s="97"/>
      <c r="F7" s="2"/>
    </row>
    <row r="8" spans="1:6">
      <c r="A8" s="104" t="s">
        <v>203</v>
      </c>
      <c r="B8" s="109">
        <f>October!K162</f>
        <v>478511507035.33002</v>
      </c>
      <c r="C8" s="97"/>
      <c r="D8" s="97"/>
      <c r="E8" s="97"/>
      <c r="F8" s="2"/>
    </row>
    <row r="9" spans="1:6">
      <c r="A9" s="104" t="s">
        <v>202</v>
      </c>
      <c r="B9" s="108">
        <f>October!K153</f>
        <v>1893590799310.1836</v>
      </c>
      <c r="C9" s="97"/>
      <c r="D9" s="97"/>
      <c r="E9" s="97"/>
      <c r="F9" s="2"/>
    </row>
    <row r="10" spans="1:6">
      <c r="A10" s="104" t="s">
        <v>52</v>
      </c>
      <c r="B10" s="108">
        <f>October!K69</f>
        <v>4358410224646.0732</v>
      </c>
      <c r="C10" s="97"/>
      <c r="D10" s="97"/>
      <c r="E10" s="97"/>
      <c r="F10" s="2"/>
    </row>
    <row r="11" spans="1:6">
      <c r="A11" s="97"/>
      <c r="B11" s="97"/>
      <c r="C11" s="97"/>
      <c r="D11" s="97"/>
      <c r="E11" s="97"/>
      <c r="F11" s="2"/>
    </row>
    <row r="12" spans="1:6">
      <c r="A12" s="110"/>
      <c r="B12" s="111"/>
      <c r="C12" s="97"/>
      <c r="D12" s="97"/>
      <c r="E12" s="97"/>
      <c r="F12" s="2"/>
    </row>
    <row r="13" spans="1:6">
      <c r="A13" s="112"/>
      <c r="B13" s="111"/>
      <c r="C13" s="97"/>
      <c r="D13" s="97"/>
      <c r="E13" s="97"/>
      <c r="F13" s="2"/>
    </row>
    <row r="14" spans="1:6" ht="15" customHeight="1">
      <c r="A14" s="111"/>
      <c r="B14" s="113"/>
      <c r="C14" s="97"/>
      <c r="D14" s="97"/>
      <c r="E14" s="97"/>
      <c r="F14" s="2"/>
    </row>
    <row r="15" spans="1:6">
      <c r="A15" s="114"/>
      <c r="B15" s="113"/>
      <c r="C15" s="97"/>
      <c r="D15" s="97"/>
      <c r="E15" s="97"/>
      <c r="F15" s="2"/>
    </row>
    <row r="16" spans="1:6">
      <c r="A16" s="115"/>
      <c r="B16" s="113"/>
      <c r="C16" s="97"/>
      <c r="D16" s="97"/>
      <c r="E16" s="97"/>
      <c r="F16" s="2"/>
    </row>
    <row r="17" spans="1:6">
      <c r="A17" s="116"/>
      <c r="B17" s="113"/>
      <c r="C17" s="97"/>
      <c r="D17" s="97"/>
      <c r="E17" s="97"/>
      <c r="F17" s="2"/>
    </row>
    <row r="18" spans="1:6">
      <c r="A18" s="116"/>
      <c r="B18" s="113"/>
      <c r="C18" s="97"/>
      <c r="D18" s="97"/>
      <c r="E18" s="97"/>
      <c r="F18" s="2"/>
    </row>
    <row r="19" spans="1:6">
      <c r="A19" s="115"/>
      <c r="B19" s="113"/>
      <c r="C19" s="97"/>
      <c r="D19" s="97"/>
      <c r="E19" s="97"/>
      <c r="F19" s="2"/>
    </row>
    <row r="20" spans="1:6">
      <c r="A20" s="117"/>
      <c r="B20" s="113"/>
      <c r="C20" s="97"/>
      <c r="D20" s="97"/>
      <c r="E20" s="97"/>
      <c r="F20" s="2"/>
    </row>
    <row r="21" spans="1:6">
      <c r="A21" s="118"/>
      <c r="B21" s="113"/>
      <c r="C21" s="97"/>
      <c r="D21" s="97"/>
      <c r="E21" s="97"/>
      <c r="F21" s="2"/>
    </row>
    <row r="22" spans="1:6">
      <c r="A22" s="110"/>
      <c r="B22" s="119"/>
      <c r="C22" s="97"/>
      <c r="D22" s="97"/>
      <c r="E22" s="97"/>
      <c r="F22" s="2"/>
    </row>
    <row r="23" spans="1:6">
      <c r="A23" s="111"/>
      <c r="B23" s="119"/>
      <c r="C23" s="97"/>
      <c r="D23" s="97"/>
      <c r="E23" s="97"/>
      <c r="F23" s="2"/>
    </row>
    <row r="24" spans="1:6">
      <c r="A24" s="97"/>
      <c r="B24" s="97"/>
      <c r="C24" s="97"/>
      <c r="D24" s="97"/>
      <c r="E24" s="97"/>
      <c r="F24" s="2"/>
    </row>
    <row r="25" spans="1:6">
      <c r="A25" s="97"/>
      <c r="B25" s="97"/>
      <c r="C25" s="97"/>
      <c r="D25" s="97"/>
      <c r="E25" s="97"/>
      <c r="F25" s="2"/>
    </row>
    <row r="26" spans="1:6">
      <c r="A26" s="97"/>
      <c r="B26" s="97"/>
      <c r="C26" s="97"/>
      <c r="D26" s="97"/>
      <c r="E26" s="97"/>
      <c r="F26" s="2"/>
    </row>
    <row r="27" spans="1:6">
      <c r="A27" s="97"/>
      <c r="B27" s="97"/>
      <c r="C27" s="97"/>
      <c r="D27" s="97"/>
      <c r="E27" s="97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3" spans="1:17" ht="16.05" customHeight="1">
      <c r="A33" s="147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"/>
    </row>
    <row r="34" spans="1:17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"/>
    </row>
  </sheetData>
  <sheetProtection algorithmName="SHA-512" hashValue="PFeix608BnVrp7zpqkeLTOxIszgfV0FlZ6+UV+FteXl/bzKaq09AnaQRSxE9o7HWkqxCZKL1Ybqp1KyakMuzKg==" saltValue="sxJK2FyPAf9voMMsugv6yQ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G8" sqref="G8"/>
    </sheetView>
  </sheetViews>
  <sheetFormatPr defaultColWidth="9" defaultRowHeight="14.4"/>
  <cols>
    <col min="1" max="1" width="34.77734375" customWidth="1"/>
    <col min="2" max="2" width="15" customWidth="1"/>
  </cols>
  <sheetData>
    <row r="1" spans="1:6">
      <c r="A1" s="2"/>
      <c r="B1" s="2"/>
      <c r="C1" s="2"/>
      <c r="D1" s="2"/>
      <c r="E1" s="2"/>
      <c r="F1" s="60"/>
    </row>
    <row r="2" spans="1:6">
      <c r="A2" s="2"/>
      <c r="B2" s="2"/>
      <c r="C2" s="2"/>
      <c r="D2" s="2"/>
      <c r="E2" s="2"/>
      <c r="F2" s="60"/>
    </row>
    <row r="3" spans="1:6">
      <c r="A3" s="97"/>
      <c r="B3" s="97"/>
      <c r="C3" s="97"/>
      <c r="D3" s="2"/>
      <c r="E3" s="2"/>
      <c r="F3" s="60"/>
    </row>
    <row r="4" spans="1:6">
      <c r="A4" s="97"/>
      <c r="B4" s="97"/>
      <c r="C4" s="97"/>
      <c r="D4" s="2"/>
      <c r="E4" s="2"/>
      <c r="F4" s="60"/>
    </row>
    <row r="5" spans="1:6" ht="15.6">
      <c r="A5" s="98" t="s">
        <v>200</v>
      </c>
      <c r="B5" s="99" t="s">
        <v>205</v>
      </c>
      <c r="C5" s="97"/>
      <c r="D5" s="2"/>
      <c r="E5" s="2"/>
      <c r="F5" s="60"/>
    </row>
    <row r="6" spans="1:6">
      <c r="A6" s="100" t="s">
        <v>20</v>
      </c>
      <c r="B6" s="101">
        <f>October!T24</f>
        <v>61351</v>
      </c>
      <c r="C6" s="97"/>
      <c r="D6" s="2"/>
      <c r="E6" s="2"/>
      <c r="F6" s="60"/>
    </row>
    <row r="7" spans="1:6">
      <c r="A7" s="100" t="s">
        <v>52</v>
      </c>
      <c r="B7" s="101">
        <f>October!T69</f>
        <v>515168</v>
      </c>
      <c r="C7" s="97"/>
      <c r="D7" s="2"/>
      <c r="E7" s="2"/>
      <c r="F7" s="60"/>
    </row>
    <row r="8" spans="1:6">
      <c r="A8" s="100" t="s">
        <v>201</v>
      </c>
      <c r="B8" s="101">
        <f>October!T111</f>
        <v>50676</v>
      </c>
      <c r="C8" s="97"/>
      <c r="D8" s="2"/>
      <c r="E8" s="2"/>
      <c r="F8" s="60"/>
    </row>
    <row r="9" spans="1:6">
      <c r="A9" s="100" t="s">
        <v>202</v>
      </c>
      <c r="B9" s="101">
        <f>October!T153</f>
        <v>24357</v>
      </c>
      <c r="C9" s="97"/>
      <c r="D9" s="2"/>
      <c r="E9" s="2"/>
      <c r="F9" s="60"/>
    </row>
    <row r="10" spans="1:6">
      <c r="A10" s="100" t="s">
        <v>203</v>
      </c>
      <c r="B10" s="101">
        <f>October!T162</f>
        <v>221518</v>
      </c>
      <c r="C10" s="97"/>
      <c r="D10" s="2"/>
      <c r="E10" s="2"/>
      <c r="F10" s="60"/>
    </row>
    <row r="11" spans="1:6">
      <c r="A11" s="100" t="s">
        <v>160</v>
      </c>
      <c r="B11" s="101">
        <f>October!T194</f>
        <v>73985</v>
      </c>
      <c r="C11" s="97"/>
      <c r="D11" s="2"/>
      <c r="E11" s="2"/>
      <c r="F11" s="60"/>
    </row>
    <row r="12" spans="1:6">
      <c r="A12" s="100" t="s">
        <v>183</v>
      </c>
      <c r="B12" s="101">
        <f>October!T199</f>
        <v>12895</v>
      </c>
      <c r="C12" s="97"/>
      <c r="D12" s="2"/>
      <c r="E12" s="2"/>
      <c r="F12" s="60"/>
    </row>
    <row r="13" spans="1:6">
      <c r="A13" s="100" t="s">
        <v>204</v>
      </c>
      <c r="B13" s="101">
        <f>October!T227</f>
        <v>37234</v>
      </c>
      <c r="C13" s="97"/>
      <c r="D13" s="2"/>
      <c r="E13" s="2"/>
      <c r="F13" s="60"/>
    </row>
    <row r="14" spans="1:6">
      <c r="A14" s="102" t="s">
        <v>282</v>
      </c>
      <c r="B14" s="103">
        <f>October!T236</f>
        <v>94</v>
      </c>
      <c r="C14" s="97"/>
      <c r="D14" s="2"/>
      <c r="E14" s="2"/>
      <c r="F14" s="60"/>
    </row>
    <row r="15" spans="1:6">
      <c r="A15" s="97"/>
      <c r="B15" s="97"/>
      <c r="C15" s="97"/>
      <c r="D15" s="2"/>
      <c r="E15" s="2"/>
      <c r="F15" s="60"/>
    </row>
    <row r="16" spans="1:6">
      <c r="A16" s="97"/>
      <c r="B16" s="97"/>
      <c r="C16" s="97"/>
      <c r="D16" s="2"/>
      <c r="E16" s="2"/>
      <c r="F16" s="60"/>
    </row>
    <row r="17" spans="1:6">
      <c r="A17" s="97"/>
      <c r="B17" s="97"/>
      <c r="C17" s="97"/>
      <c r="D17" s="2"/>
      <c r="E17" s="2"/>
      <c r="F17" s="60"/>
    </row>
    <row r="18" spans="1:6">
      <c r="A18" s="97"/>
      <c r="B18" s="97"/>
      <c r="C18" s="97"/>
      <c r="D18" s="2"/>
      <c r="E18" s="2"/>
      <c r="F18" s="60"/>
    </row>
    <row r="19" spans="1:6">
      <c r="A19" s="97"/>
      <c r="B19" s="97"/>
      <c r="C19" s="97"/>
      <c r="D19" s="2"/>
      <c r="E19" s="2"/>
      <c r="F19" s="60"/>
    </row>
    <row r="20" spans="1:6">
      <c r="A20" s="2"/>
      <c r="B20" s="2"/>
      <c r="C20" s="2"/>
      <c r="D20" s="2"/>
      <c r="E20" s="2"/>
      <c r="F20" s="60"/>
    </row>
    <row r="21" spans="1:6">
      <c r="A21" s="2"/>
      <c r="B21" s="2"/>
      <c r="C21" s="2"/>
      <c r="D21" s="2"/>
      <c r="E21" s="2"/>
      <c r="F21" s="60"/>
    </row>
    <row r="22" spans="1:6">
      <c r="A22" s="2"/>
      <c r="B22" s="2"/>
      <c r="C22" s="2"/>
      <c r="D22" s="2"/>
      <c r="E22" s="60"/>
      <c r="F22" s="60"/>
    </row>
    <row r="23" spans="1:6">
      <c r="A23" s="2"/>
      <c r="B23" s="2"/>
      <c r="C23" s="2"/>
      <c r="D23" s="2"/>
      <c r="E23" s="60"/>
      <c r="F23" s="60"/>
    </row>
    <row r="24" spans="1:6">
      <c r="A24" s="2"/>
      <c r="B24" s="2"/>
      <c r="C24" s="2"/>
      <c r="D24" s="2"/>
      <c r="E24" s="60"/>
      <c r="F24" s="60"/>
    </row>
    <row r="25" spans="1:6">
      <c r="A25" s="2"/>
      <c r="B25" s="2"/>
      <c r="C25" s="2"/>
      <c r="D25" s="2"/>
      <c r="E25" s="60"/>
      <c r="F25" s="60"/>
    </row>
    <row r="26" spans="1:6">
      <c r="A26" s="2"/>
      <c r="B26" s="2"/>
      <c r="C26" s="2"/>
      <c r="D26" s="2"/>
    </row>
  </sheetData>
  <sheetProtection algorithmName="SHA-512" hashValue="U6jfhccnzFz8vuZ65Wcf44ci//JZAzonsjPhHOp0rFt2Eoaf3V+JQ3mWrY/Q1ZTmqcjL1iwYJC1R9tLEkVTR3g==" saltValue="11cuHbDQlvb2BJrFxu0js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October</vt:lpstr>
      <vt:lpstr>NAV Comparison</vt:lpstr>
      <vt:lpstr>Market Share</vt:lpstr>
      <vt:lpstr>Unitholders</vt:lpstr>
      <vt:lpstr>October!_Hlk34300669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2025-09-10T13:51:24Z</cp:lastPrinted>
  <dcterms:created xsi:type="dcterms:W3CDTF">2023-10-09T09:40:00Z</dcterms:created>
  <dcterms:modified xsi:type="dcterms:W3CDTF">2026-02-24T12:33:35Z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