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-108" yWindow="-108" windowWidth="25824" windowHeight="13896"/>
  </bookViews>
  <sheets>
    <sheet name="November" sheetId="7" r:id="rId1"/>
    <sheet name="NAV Comparison" sheetId="2" r:id="rId2"/>
    <sheet name="Market Share" sheetId="3" r:id="rId3"/>
    <sheet name="Unitholders" sheetId="6" r:id="rId4"/>
  </sheets>
  <definedNames>
    <definedName name="_Hlk34300669" localSheetId="0">November!$K$63</definedName>
    <definedName name="Component">"Group"</definedName>
    <definedName name="FX_RATE">November!$C$239</definedName>
    <definedName name="pbCountingPages">FALSE</definedName>
  </definedNames>
  <calcPr calcId="162913"/>
</workbook>
</file>

<file path=xl/calcChain.xml><?xml version="1.0" encoding="utf-8"?>
<calcChain xmlns="http://schemas.openxmlformats.org/spreadsheetml/2006/main">
  <c r="C13" i="2" l="1"/>
  <c r="C12" i="2"/>
  <c r="C11" i="2"/>
  <c r="C10" i="2"/>
  <c r="C9" i="2"/>
  <c r="C8" i="2"/>
  <c r="C7" i="2"/>
  <c r="C6" i="2"/>
  <c r="C5" i="2" l="1"/>
  <c r="L232" i="7"/>
  <c r="M232" i="7"/>
  <c r="N232" i="7"/>
  <c r="O232" i="7"/>
  <c r="P232" i="7"/>
  <c r="Q232" i="7"/>
  <c r="L233" i="7"/>
  <c r="M233" i="7"/>
  <c r="N233" i="7"/>
  <c r="O233" i="7"/>
  <c r="P233" i="7"/>
  <c r="Q233" i="7"/>
  <c r="L234" i="7"/>
  <c r="M234" i="7"/>
  <c r="N234" i="7"/>
  <c r="O234" i="7"/>
  <c r="P234" i="7"/>
  <c r="Q234" i="7"/>
  <c r="L235" i="7"/>
  <c r="M235" i="7"/>
  <c r="N235" i="7"/>
  <c r="O235" i="7"/>
  <c r="P235" i="7"/>
  <c r="Q235" i="7"/>
  <c r="L224" i="7"/>
  <c r="M224" i="7"/>
  <c r="N224" i="7"/>
  <c r="O224" i="7"/>
  <c r="P224" i="7"/>
  <c r="Q224" i="7"/>
  <c r="L225" i="7"/>
  <c r="M225" i="7"/>
  <c r="N225" i="7"/>
  <c r="O225" i="7"/>
  <c r="P225" i="7"/>
  <c r="Q225" i="7"/>
  <c r="L226" i="7"/>
  <c r="M226" i="7"/>
  <c r="N226" i="7"/>
  <c r="O226" i="7"/>
  <c r="P226" i="7"/>
  <c r="Q226" i="7"/>
  <c r="L208" i="7"/>
  <c r="M208" i="7"/>
  <c r="N208" i="7"/>
  <c r="O208" i="7"/>
  <c r="P208" i="7"/>
  <c r="Q208" i="7"/>
  <c r="L209" i="7"/>
  <c r="M209" i="7"/>
  <c r="N209" i="7"/>
  <c r="O209" i="7"/>
  <c r="P209" i="7"/>
  <c r="Q209" i="7"/>
  <c r="L210" i="7"/>
  <c r="M210" i="7"/>
  <c r="N210" i="7"/>
  <c r="O210" i="7"/>
  <c r="P210" i="7"/>
  <c r="Q210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19" i="7"/>
  <c r="M219" i="7"/>
  <c r="N219" i="7"/>
  <c r="O219" i="7"/>
  <c r="P219" i="7"/>
  <c r="Q219" i="7"/>
  <c r="L220" i="7"/>
  <c r="M220" i="7"/>
  <c r="N220" i="7"/>
  <c r="O220" i="7"/>
  <c r="P220" i="7"/>
  <c r="Q220" i="7"/>
  <c r="L204" i="7"/>
  <c r="M204" i="7"/>
  <c r="N204" i="7"/>
  <c r="O204" i="7"/>
  <c r="P204" i="7"/>
  <c r="Q204" i="7"/>
  <c r="L198" i="7"/>
  <c r="M198" i="7"/>
  <c r="N198" i="7"/>
  <c r="O198" i="7"/>
  <c r="P198" i="7"/>
  <c r="Q198" i="7"/>
  <c r="L166" i="7"/>
  <c r="M166" i="7"/>
  <c r="N166" i="7"/>
  <c r="O166" i="7"/>
  <c r="P166" i="7"/>
  <c r="Q166" i="7"/>
  <c r="L167" i="7"/>
  <c r="M167" i="7"/>
  <c r="N167" i="7"/>
  <c r="O167" i="7"/>
  <c r="P167" i="7"/>
  <c r="Q167" i="7"/>
  <c r="L168" i="7"/>
  <c r="M168" i="7"/>
  <c r="N168" i="7"/>
  <c r="O168" i="7"/>
  <c r="P168" i="7"/>
  <c r="Q168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89" i="7"/>
  <c r="M189" i="7"/>
  <c r="N189" i="7"/>
  <c r="O189" i="7"/>
  <c r="P189" i="7"/>
  <c r="Q189" i="7"/>
  <c r="L190" i="7"/>
  <c r="M190" i="7"/>
  <c r="N190" i="7"/>
  <c r="O190" i="7"/>
  <c r="P190" i="7"/>
  <c r="Q190" i="7"/>
  <c r="L191" i="7"/>
  <c r="M191" i="7"/>
  <c r="N191" i="7"/>
  <c r="O191" i="7"/>
  <c r="P191" i="7"/>
  <c r="Q191" i="7"/>
  <c r="L192" i="7"/>
  <c r="M192" i="7"/>
  <c r="N192" i="7"/>
  <c r="O192" i="7"/>
  <c r="P192" i="7"/>
  <c r="Q192" i="7"/>
  <c r="L193" i="7"/>
  <c r="M193" i="7"/>
  <c r="N193" i="7"/>
  <c r="O193" i="7"/>
  <c r="P193" i="7"/>
  <c r="Q193" i="7"/>
  <c r="L157" i="7"/>
  <c r="M157" i="7"/>
  <c r="N157" i="7"/>
  <c r="O157" i="7"/>
  <c r="P157" i="7"/>
  <c r="Q157" i="7"/>
  <c r="L158" i="7"/>
  <c r="M158" i="7"/>
  <c r="N158" i="7"/>
  <c r="O158" i="7"/>
  <c r="P158" i="7"/>
  <c r="Q158" i="7"/>
  <c r="L159" i="7"/>
  <c r="M159" i="7"/>
  <c r="N159" i="7"/>
  <c r="O159" i="7"/>
  <c r="P159" i="7"/>
  <c r="Q159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L147" i="7"/>
  <c r="M147" i="7"/>
  <c r="N147" i="7"/>
  <c r="O147" i="7"/>
  <c r="P147" i="7"/>
  <c r="Q147" i="7"/>
  <c r="L148" i="7"/>
  <c r="M148" i="7"/>
  <c r="N148" i="7"/>
  <c r="O148" i="7"/>
  <c r="P148" i="7"/>
  <c r="Q148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L135" i="7"/>
  <c r="M135" i="7"/>
  <c r="N135" i="7"/>
  <c r="O135" i="7"/>
  <c r="P135" i="7"/>
  <c r="Q135" i="7"/>
  <c r="L136" i="7"/>
  <c r="M136" i="7"/>
  <c r="N136" i="7"/>
  <c r="O136" i="7"/>
  <c r="P136" i="7"/>
  <c r="Q136" i="7"/>
  <c r="L137" i="7"/>
  <c r="M137" i="7"/>
  <c r="N137" i="7"/>
  <c r="O137" i="7"/>
  <c r="P137" i="7"/>
  <c r="Q137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16" i="7"/>
  <c r="M116" i="7"/>
  <c r="N116" i="7"/>
  <c r="O116" i="7"/>
  <c r="P116" i="7"/>
  <c r="Q116" i="7"/>
  <c r="L117" i="7"/>
  <c r="M117" i="7"/>
  <c r="N117" i="7"/>
  <c r="O117" i="7"/>
  <c r="P117" i="7"/>
  <c r="Q117" i="7"/>
  <c r="L118" i="7"/>
  <c r="M118" i="7"/>
  <c r="N118" i="7"/>
  <c r="O118" i="7"/>
  <c r="P118" i="7"/>
  <c r="Q118" i="7"/>
  <c r="L119" i="7"/>
  <c r="M119" i="7"/>
  <c r="N119" i="7"/>
  <c r="O119" i="7"/>
  <c r="P119" i="7"/>
  <c r="Q119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29" i="7"/>
  <c r="M129" i="7"/>
  <c r="N129" i="7"/>
  <c r="O129" i="7"/>
  <c r="P129" i="7"/>
  <c r="Q129" i="7"/>
  <c r="L130" i="7"/>
  <c r="M130" i="7"/>
  <c r="N130" i="7"/>
  <c r="O130" i="7"/>
  <c r="P130" i="7"/>
  <c r="Q130" i="7"/>
  <c r="L131" i="7"/>
  <c r="M131" i="7"/>
  <c r="N131" i="7"/>
  <c r="O131" i="7"/>
  <c r="P131" i="7"/>
  <c r="Q131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M6" i="7"/>
  <c r="N6" i="7"/>
  <c r="O6" i="7"/>
  <c r="P6" i="7"/>
  <c r="Q6" i="7"/>
  <c r="M7" i="7"/>
  <c r="N7" i="7"/>
  <c r="O7" i="7"/>
  <c r="P7" i="7"/>
  <c r="Q7" i="7"/>
  <c r="M8" i="7"/>
  <c r="N8" i="7"/>
  <c r="O8" i="7"/>
  <c r="P8" i="7"/>
  <c r="Q8" i="7"/>
  <c r="M9" i="7"/>
  <c r="N9" i="7"/>
  <c r="O9" i="7"/>
  <c r="P9" i="7"/>
  <c r="Q9" i="7"/>
  <c r="M10" i="7"/>
  <c r="N10" i="7"/>
  <c r="O10" i="7"/>
  <c r="P10" i="7"/>
  <c r="Q10" i="7"/>
  <c r="M11" i="7"/>
  <c r="N11" i="7"/>
  <c r="O11" i="7"/>
  <c r="P11" i="7"/>
  <c r="Q11" i="7"/>
  <c r="M12" i="7"/>
  <c r="N12" i="7"/>
  <c r="O12" i="7"/>
  <c r="P12" i="7"/>
  <c r="Q12" i="7"/>
  <c r="M13" i="7"/>
  <c r="N13" i="7"/>
  <c r="O13" i="7"/>
  <c r="P13" i="7"/>
  <c r="Q13" i="7"/>
  <c r="M14" i="7"/>
  <c r="N14" i="7"/>
  <c r="O14" i="7"/>
  <c r="P14" i="7"/>
  <c r="Q14" i="7"/>
  <c r="M15" i="7"/>
  <c r="N15" i="7"/>
  <c r="O15" i="7"/>
  <c r="P15" i="7"/>
  <c r="Q15" i="7"/>
  <c r="M16" i="7"/>
  <c r="N16" i="7"/>
  <c r="O16" i="7"/>
  <c r="P16" i="7"/>
  <c r="Q16" i="7"/>
  <c r="M17" i="7"/>
  <c r="N17" i="7"/>
  <c r="O17" i="7"/>
  <c r="P17" i="7"/>
  <c r="Q17" i="7"/>
  <c r="M18" i="7"/>
  <c r="N18" i="7"/>
  <c r="O18" i="7"/>
  <c r="P18" i="7"/>
  <c r="Q18" i="7"/>
  <c r="M19" i="7"/>
  <c r="N19" i="7"/>
  <c r="O19" i="7"/>
  <c r="P19" i="7"/>
  <c r="Q19" i="7"/>
  <c r="M20" i="7"/>
  <c r="N20" i="7"/>
  <c r="O20" i="7"/>
  <c r="P20" i="7"/>
  <c r="Q20" i="7"/>
  <c r="M21" i="7"/>
  <c r="N21" i="7"/>
  <c r="O21" i="7"/>
  <c r="P21" i="7"/>
  <c r="Q21" i="7"/>
  <c r="M22" i="7"/>
  <c r="N22" i="7"/>
  <c r="O22" i="7"/>
  <c r="P22" i="7"/>
  <c r="Q22" i="7"/>
  <c r="M23" i="7"/>
  <c r="N23" i="7"/>
  <c r="O23" i="7"/>
  <c r="P23" i="7"/>
  <c r="Q23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E145" i="7" l="1"/>
  <c r="D145" i="7"/>
  <c r="K119" i="7" l="1"/>
  <c r="G119" i="7"/>
  <c r="E119" i="7"/>
  <c r="D119" i="7"/>
  <c r="S231" i="7" l="1"/>
  <c r="R231" i="7"/>
  <c r="S137" i="7" l="1"/>
  <c r="R137" i="7"/>
  <c r="T137" i="7"/>
  <c r="S134" i="7"/>
  <c r="R134" i="7"/>
  <c r="K134" i="7"/>
  <c r="G134" i="7"/>
  <c r="E134" i="7"/>
  <c r="D134" i="7"/>
  <c r="G141" i="7"/>
  <c r="E141" i="7"/>
  <c r="S125" i="7" l="1"/>
  <c r="R125" i="7"/>
  <c r="G44" i="7"/>
  <c r="G147" i="7"/>
  <c r="S140" i="7" l="1"/>
  <c r="R140" i="7"/>
  <c r="S138" i="7" l="1"/>
  <c r="R138" i="7"/>
  <c r="H140" i="7"/>
  <c r="G140" i="7"/>
  <c r="E140" i="7"/>
  <c r="D140" i="7"/>
  <c r="H217" i="7" l="1"/>
  <c r="H216" i="7"/>
  <c r="R119" i="7"/>
  <c r="S119" i="7"/>
  <c r="S120" i="7"/>
  <c r="R120" i="7"/>
  <c r="K120" i="7"/>
  <c r="G120" i="7"/>
  <c r="E120" i="7"/>
  <c r="D120" i="7"/>
  <c r="H108" i="7"/>
  <c r="S143" i="7"/>
  <c r="R143" i="7"/>
  <c r="K143" i="7"/>
  <c r="G143" i="7"/>
  <c r="F143" i="7"/>
  <c r="E143" i="7"/>
  <c r="D143" i="7"/>
  <c r="K139" i="7"/>
  <c r="G139" i="7"/>
  <c r="E139" i="7"/>
  <c r="D139" i="7"/>
  <c r="K128" i="7"/>
  <c r="G128" i="7"/>
  <c r="E128" i="7"/>
  <c r="D128" i="7"/>
  <c r="S129" i="7"/>
  <c r="R129" i="7"/>
  <c r="K129" i="7"/>
  <c r="G129" i="7"/>
  <c r="E129" i="7"/>
  <c r="D129" i="7"/>
  <c r="K149" i="7"/>
  <c r="G149" i="7"/>
  <c r="E149" i="7"/>
  <c r="D149" i="7"/>
  <c r="K136" i="7"/>
  <c r="E136" i="7"/>
  <c r="S118" i="7"/>
  <c r="R118" i="7"/>
  <c r="K118" i="7"/>
  <c r="G118" i="7"/>
  <c r="F118" i="7"/>
  <c r="E118" i="7"/>
  <c r="D118" i="7"/>
  <c r="K231" i="7"/>
  <c r="G231" i="7"/>
  <c r="F231" i="7"/>
  <c r="E231" i="7"/>
  <c r="D231" i="7"/>
  <c r="R117" i="7"/>
  <c r="S117" i="7"/>
  <c r="K117" i="7"/>
  <c r="G117" i="7"/>
  <c r="F117" i="7"/>
  <c r="E117" i="7"/>
  <c r="D117" i="7"/>
  <c r="H89" i="7"/>
  <c r="H177" i="7"/>
  <c r="S152" i="7"/>
  <c r="R152" i="7"/>
  <c r="K152" i="7"/>
  <c r="E152" i="7"/>
  <c r="D152" i="7"/>
  <c r="S146" i="7"/>
  <c r="R146" i="7"/>
  <c r="K146" i="7"/>
  <c r="E146" i="7"/>
  <c r="D146" i="7"/>
  <c r="S131" i="7"/>
  <c r="R131" i="7"/>
  <c r="K131" i="7"/>
  <c r="G131" i="7"/>
  <c r="E131" i="7"/>
  <c r="D131" i="7"/>
  <c r="K116" i="7"/>
  <c r="G116" i="7"/>
  <c r="E116" i="7"/>
  <c r="D116" i="7"/>
  <c r="S147" i="7"/>
  <c r="R147" i="7"/>
  <c r="K147" i="7"/>
  <c r="E147" i="7"/>
  <c r="D147" i="7"/>
  <c r="S121" i="7"/>
  <c r="R121" i="7"/>
  <c r="K121" i="7"/>
  <c r="G121" i="7"/>
  <c r="E121" i="7"/>
  <c r="D121" i="7"/>
  <c r="R142" i="7"/>
  <c r="S142" i="7"/>
  <c r="K142" i="7"/>
  <c r="G142" i="7"/>
  <c r="E142" i="7"/>
  <c r="D142" i="7"/>
  <c r="R151" i="7"/>
  <c r="S151" i="7"/>
  <c r="K151" i="7"/>
  <c r="G151" i="7"/>
  <c r="F151" i="7"/>
  <c r="E151" i="7"/>
  <c r="D151" i="7"/>
  <c r="S135" i="7"/>
  <c r="R135" i="7"/>
  <c r="K135" i="7"/>
  <c r="G135" i="7"/>
  <c r="E135" i="7"/>
  <c r="D135" i="7"/>
  <c r="R150" i="7"/>
  <c r="S150" i="7"/>
  <c r="K150" i="7" l="1"/>
  <c r="G150" i="7"/>
  <c r="E150" i="7"/>
  <c r="D150" i="7"/>
  <c r="K126" i="7"/>
  <c r="G126" i="7"/>
  <c r="E126" i="7"/>
  <c r="D126" i="7"/>
  <c r="R145" i="7"/>
  <c r="S145" i="7"/>
  <c r="K145" i="7"/>
  <c r="G145" i="7"/>
  <c r="F145" i="7"/>
  <c r="R144" i="7"/>
  <c r="S144" i="7"/>
  <c r="K144" i="7"/>
  <c r="G144" i="7"/>
  <c r="F144" i="7"/>
  <c r="E144" i="7"/>
  <c r="D144" i="7"/>
  <c r="S123" i="7"/>
  <c r="R123" i="7"/>
  <c r="K123" i="7"/>
  <c r="G123" i="7"/>
  <c r="E123" i="7"/>
  <c r="D123" i="7"/>
  <c r="R128" i="7"/>
  <c r="S128" i="7"/>
  <c r="K141" i="7"/>
  <c r="D141" i="7"/>
  <c r="R127" i="7"/>
  <c r="S127" i="7"/>
  <c r="K127" i="7"/>
  <c r="G127" i="7"/>
  <c r="D127" i="7"/>
  <c r="S124" i="7"/>
  <c r="R124" i="7"/>
  <c r="S233" i="7"/>
  <c r="R233" i="7"/>
  <c r="K122" i="7"/>
  <c r="G122" i="7"/>
  <c r="E122" i="7"/>
  <c r="D122" i="7"/>
  <c r="K137" i="7"/>
  <c r="G137" i="7"/>
  <c r="E137" i="7"/>
  <c r="D137" i="7"/>
  <c r="R139" i="7"/>
  <c r="S139" i="7"/>
  <c r="G136" i="7"/>
  <c r="D136" i="7"/>
  <c r="G152" i="7"/>
  <c r="H43" i="7" l="1"/>
  <c r="K140" i="7" l="1"/>
  <c r="H52" i="7" l="1"/>
  <c r="S149" i="7" l="1"/>
  <c r="R149" i="7"/>
  <c r="H78" i="7" l="1"/>
  <c r="S136" i="7"/>
  <c r="R136" i="7"/>
  <c r="H136" i="7"/>
  <c r="H105" i="7"/>
  <c r="H186" i="7"/>
  <c r="H210" i="7"/>
  <c r="H151" i="7" l="1"/>
  <c r="H29" i="7" l="1"/>
  <c r="H72" i="7"/>
  <c r="H46" i="7"/>
  <c r="H39" i="7" l="1"/>
  <c r="H173" i="7"/>
  <c r="H174" i="7"/>
  <c r="H166" i="7"/>
  <c r="H167" i="7"/>
  <c r="P223" i="7" l="1"/>
  <c r="N223" i="7"/>
  <c r="M223" i="7"/>
  <c r="H223" i="7"/>
  <c r="Q223" i="7" s="1"/>
  <c r="O223" i="7" l="1"/>
  <c r="H165" i="7" l="1"/>
  <c r="I236" i="7" l="1"/>
  <c r="H146" i="7"/>
  <c r="H58" i="7"/>
  <c r="J232" i="7" l="1"/>
  <c r="J234" i="7"/>
  <c r="J231" i="7"/>
  <c r="J233" i="7"/>
  <c r="J235" i="7"/>
  <c r="T227" i="7"/>
  <c r="K227" i="7"/>
  <c r="I227" i="7"/>
  <c r="J225" i="7" l="1"/>
  <c r="J209" i="7"/>
  <c r="J211" i="7"/>
  <c r="J213" i="7"/>
  <c r="J215" i="7"/>
  <c r="J217" i="7"/>
  <c r="J219" i="7"/>
  <c r="J224" i="7"/>
  <c r="J226" i="7"/>
  <c r="J208" i="7"/>
  <c r="J210" i="7"/>
  <c r="J212" i="7"/>
  <c r="J214" i="7"/>
  <c r="J216" i="7"/>
  <c r="J218" i="7"/>
  <c r="J220" i="7"/>
  <c r="J204" i="7"/>
  <c r="B4" i="3"/>
  <c r="J223" i="7"/>
  <c r="L223" i="7"/>
  <c r="H188" i="7"/>
  <c r="H148" i="7"/>
  <c r="H62" i="7" l="1"/>
  <c r="T236" i="7"/>
  <c r="B14" i="6" s="1"/>
  <c r="B13" i="6"/>
  <c r="H10" i="7" l="1"/>
  <c r="H67" i="7" l="1"/>
  <c r="H109" i="7" l="1"/>
  <c r="H150" i="7" l="1"/>
  <c r="H115" i="7"/>
  <c r="S122" i="7" l="1"/>
  <c r="R122" i="7"/>
  <c r="H235" i="7" l="1"/>
  <c r="H234" i="7"/>
  <c r="H233" i="7"/>
  <c r="H232" i="7"/>
  <c r="H157" i="7" l="1"/>
  <c r="K236" i="7" l="1"/>
  <c r="P231" i="7"/>
  <c r="M231" i="7"/>
  <c r="N231" i="7"/>
  <c r="H231" i="7"/>
  <c r="B3" i="3" l="1"/>
  <c r="L231" i="7"/>
  <c r="Q231" i="7"/>
  <c r="O231" i="7"/>
  <c r="H5" i="7"/>
  <c r="H45" i="7" l="1"/>
  <c r="S126" i="7"/>
  <c r="R126" i="7"/>
  <c r="H126" i="7" l="1"/>
  <c r="H18" i="7"/>
  <c r="H169" i="7" l="1"/>
  <c r="H226" i="7" l="1"/>
  <c r="H224" i="7"/>
  <c r="H225" i="7"/>
  <c r="H220" i="7"/>
  <c r="H20" i="7" l="1"/>
  <c r="H137" i="7" l="1"/>
  <c r="H122" i="7"/>
  <c r="S116" i="7"/>
  <c r="R116" i="7"/>
  <c r="S141" i="7"/>
  <c r="R141" i="7"/>
  <c r="M197" i="7" l="1"/>
  <c r="N197" i="7"/>
  <c r="P197" i="7"/>
  <c r="H208" i="7" l="1"/>
  <c r="H118" i="7"/>
  <c r="H33" i="7" l="1"/>
  <c r="H31" i="7" l="1"/>
  <c r="H141" i="7" l="1"/>
  <c r="H49" i="7" l="1"/>
  <c r="H44" i="7" l="1"/>
  <c r="H156" i="7" l="1"/>
  <c r="H98" i="7" l="1"/>
  <c r="H107" i="7" l="1"/>
  <c r="T162" i="7" l="1"/>
  <c r="B10" i="6" s="1"/>
  <c r="K162" i="7"/>
  <c r="P207" i="7"/>
  <c r="N207" i="7"/>
  <c r="M207" i="7"/>
  <c r="I162" i="7"/>
  <c r="J157" i="7" l="1"/>
  <c r="J159" i="7"/>
  <c r="J161" i="7"/>
  <c r="J158" i="7"/>
  <c r="J160" i="7"/>
  <c r="B8" i="3"/>
  <c r="M162" i="7"/>
  <c r="H212" i="7"/>
  <c r="H15" i="7" l="1"/>
  <c r="H138" i="7" l="1"/>
  <c r="H83" i="7"/>
  <c r="H181" i="7"/>
  <c r="H22" i="7"/>
  <c r="H168" i="7" l="1"/>
  <c r="H170" i="7"/>
  <c r="H171" i="7"/>
  <c r="H172" i="7"/>
  <c r="H175" i="7"/>
  <c r="H178" i="7"/>
  <c r="H180" i="7"/>
  <c r="H179" i="7"/>
  <c r="H182" i="7"/>
  <c r="H183" i="7"/>
  <c r="H184" i="7"/>
  <c r="H185" i="7"/>
  <c r="H187" i="7"/>
  <c r="H189" i="7"/>
  <c r="H190" i="7"/>
  <c r="H191" i="7"/>
  <c r="H192" i="7"/>
  <c r="H193" i="7"/>
  <c r="P156" i="7" l="1"/>
  <c r="N156" i="7"/>
  <c r="M156" i="7"/>
  <c r="H209" i="7" l="1"/>
  <c r="H211" i="7"/>
  <c r="H213" i="7"/>
  <c r="H214" i="7"/>
  <c r="H215" i="7"/>
  <c r="H218" i="7"/>
  <c r="H219" i="7"/>
  <c r="H207" i="7" l="1"/>
  <c r="H204" i="7"/>
  <c r="H203" i="7"/>
  <c r="H197" i="7"/>
  <c r="H198" i="7"/>
  <c r="H158" i="7"/>
  <c r="H159" i="7"/>
  <c r="H160" i="7"/>
  <c r="H161" i="7"/>
  <c r="H135" i="7"/>
  <c r="H139" i="7"/>
  <c r="H142" i="7"/>
  <c r="H143" i="7"/>
  <c r="H144" i="7"/>
  <c r="H145" i="7"/>
  <c r="H147" i="7"/>
  <c r="H149" i="7"/>
  <c r="H152" i="7"/>
  <c r="H134" i="7"/>
  <c r="H116" i="7"/>
  <c r="H117" i="7"/>
  <c r="H119" i="7"/>
  <c r="H120" i="7"/>
  <c r="H121" i="7"/>
  <c r="H123" i="7"/>
  <c r="H124" i="7"/>
  <c r="H125" i="7"/>
  <c r="H127" i="7"/>
  <c r="H128" i="7"/>
  <c r="H129" i="7"/>
  <c r="H130" i="7"/>
  <c r="H131" i="7"/>
  <c r="O197" i="7" l="1"/>
  <c r="Q197" i="7"/>
  <c r="Q207" i="7"/>
  <c r="O207" i="7"/>
  <c r="Q156" i="7"/>
  <c r="O156" i="7"/>
  <c r="H73" i="7"/>
  <c r="H74" i="7"/>
  <c r="H75" i="7"/>
  <c r="H76" i="7"/>
  <c r="H77" i="7"/>
  <c r="H79" i="7"/>
  <c r="H80" i="7"/>
  <c r="H81" i="7"/>
  <c r="H82" i="7"/>
  <c r="H84" i="7"/>
  <c r="H85" i="7"/>
  <c r="H86" i="7"/>
  <c r="H87" i="7"/>
  <c r="H88" i="7"/>
  <c r="H90" i="7"/>
  <c r="H91" i="7"/>
  <c r="H92" i="7"/>
  <c r="H93" i="7"/>
  <c r="H94" i="7"/>
  <c r="H95" i="7"/>
  <c r="H96" i="7"/>
  <c r="H97" i="7"/>
  <c r="H99" i="7"/>
  <c r="H100" i="7"/>
  <c r="H101" i="7"/>
  <c r="H102" i="7"/>
  <c r="H103" i="7"/>
  <c r="H104" i="7"/>
  <c r="H106" i="7"/>
  <c r="H110" i="7"/>
  <c r="H8" i="7"/>
  <c r="H9" i="7"/>
  <c r="H11" i="7"/>
  <c r="H12" i="7"/>
  <c r="H13" i="7"/>
  <c r="H14" i="7"/>
  <c r="H16" i="7"/>
  <c r="H17" i="7"/>
  <c r="H19" i="7"/>
  <c r="H21" i="7"/>
  <c r="H23" i="7"/>
  <c r="H6" i="7"/>
  <c r="H7" i="7"/>
  <c r="H28" i="7" l="1"/>
  <c r="H30" i="7"/>
  <c r="H32" i="7"/>
  <c r="H34" i="7"/>
  <c r="H35" i="7"/>
  <c r="H36" i="7"/>
  <c r="H37" i="7"/>
  <c r="H38" i="7"/>
  <c r="H40" i="7"/>
  <c r="H41" i="7"/>
  <c r="H42" i="7"/>
  <c r="H47" i="7"/>
  <c r="H48" i="7"/>
  <c r="H50" i="7"/>
  <c r="H51" i="7"/>
  <c r="H53" i="7"/>
  <c r="H54" i="7"/>
  <c r="H55" i="7"/>
  <c r="H56" i="7"/>
  <c r="H57" i="7"/>
  <c r="H59" i="7"/>
  <c r="H60" i="7"/>
  <c r="H61" i="7"/>
  <c r="H63" i="7"/>
  <c r="H64" i="7"/>
  <c r="H65" i="7"/>
  <c r="H66" i="7"/>
  <c r="H68" i="7"/>
  <c r="Q203" i="7" l="1"/>
  <c r="P203" i="7"/>
  <c r="O203" i="7"/>
  <c r="N203" i="7"/>
  <c r="M203" i="7"/>
  <c r="T199" i="7"/>
  <c r="B12" i="6" s="1"/>
  <c r="K199" i="7"/>
  <c r="I199" i="7"/>
  <c r="J198" i="7" s="1"/>
  <c r="K194" i="7"/>
  <c r="I194" i="7"/>
  <c r="T194" i="7"/>
  <c r="B11" i="6" s="1"/>
  <c r="P165" i="7"/>
  <c r="N165" i="7"/>
  <c r="M165" i="7"/>
  <c r="Q165" i="7"/>
  <c r="L156" i="7"/>
  <c r="T153" i="7"/>
  <c r="B9" i="6" s="1"/>
  <c r="P115" i="7"/>
  <c r="N115" i="7"/>
  <c r="M115" i="7"/>
  <c r="Q115" i="7"/>
  <c r="T111" i="7"/>
  <c r="B8" i="6" s="1"/>
  <c r="K111" i="7"/>
  <c r="I111" i="7"/>
  <c r="P72" i="7"/>
  <c r="N72" i="7"/>
  <c r="M72" i="7"/>
  <c r="T69" i="7"/>
  <c r="B7" i="6" s="1"/>
  <c r="K69" i="7"/>
  <c r="I69" i="7"/>
  <c r="P27" i="7"/>
  <c r="N27" i="7"/>
  <c r="M27" i="7"/>
  <c r="H27" i="7"/>
  <c r="Q27" i="7" s="1"/>
  <c r="T24" i="7"/>
  <c r="B6" i="6" s="1"/>
  <c r="K24" i="7"/>
  <c r="I24" i="7"/>
  <c r="P5" i="7"/>
  <c r="N5" i="7"/>
  <c r="M5" i="7"/>
  <c r="Q5" i="7"/>
  <c r="J74" i="7" l="1"/>
  <c r="J76" i="7"/>
  <c r="J78" i="7"/>
  <c r="J80" i="7"/>
  <c r="J82" i="7"/>
  <c r="J84" i="7"/>
  <c r="J86" i="7"/>
  <c r="J88" i="7"/>
  <c r="J90" i="7"/>
  <c r="J92" i="7"/>
  <c r="J94" i="7"/>
  <c r="J96" i="7"/>
  <c r="J98" i="7"/>
  <c r="J100" i="7"/>
  <c r="J102" i="7"/>
  <c r="J104" i="7"/>
  <c r="J106" i="7"/>
  <c r="J108" i="7"/>
  <c r="J110" i="7"/>
  <c r="J73" i="7"/>
  <c r="J75" i="7"/>
  <c r="J77" i="7"/>
  <c r="J79" i="7"/>
  <c r="J81" i="7"/>
  <c r="J83" i="7"/>
  <c r="J85" i="7"/>
  <c r="J87" i="7"/>
  <c r="J89" i="7"/>
  <c r="J91" i="7"/>
  <c r="J93" i="7"/>
  <c r="J95" i="7"/>
  <c r="J97" i="7"/>
  <c r="J99" i="7"/>
  <c r="J101" i="7"/>
  <c r="J103" i="7"/>
  <c r="J105" i="7"/>
  <c r="J107" i="7"/>
  <c r="J109" i="7"/>
  <c r="J29" i="7"/>
  <c r="J31" i="7"/>
  <c r="J33" i="7"/>
  <c r="J35" i="7"/>
  <c r="J37" i="7"/>
  <c r="J39" i="7"/>
  <c r="J41" i="7"/>
  <c r="J43" i="7"/>
  <c r="J45" i="7"/>
  <c r="J47" i="7"/>
  <c r="J49" i="7"/>
  <c r="J51" i="7"/>
  <c r="J53" i="7"/>
  <c r="J55" i="7"/>
  <c r="J57" i="7"/>
  <c r="J59" i="7"/>
  <c r="J61" i="7"/>
  <c r="J63" i="7"/>
  <c r="J65" i="7"/>
  <c r="J67" i="7"/>
  <c r="J28" i="7"/>
  <c r="J30" i="7"/>
  <c r="J32" i="7"/>
  <c r="J34" i="7"/>
  <c r="J36" i="7"/>
  <c r="J38" i="7"/>
  <c r="J40" i="7"/>
  <c r="J42" i="7"/>
  <c r="J44" i="7"/>
  <c r="J46" i="7"/>
  <c r="J48" i="7"/>
  <c r="J50" i="7"/>
  <c r="J52" i="7"/>
  <c r="J54" i="7"/>
  <c r="J56" i="7"/>
  <c r="J58" i="7"/>
  <c r="J60" i="7"/>
  <c r="J62" i="7"/>
  <c r="J64" i="7"/>
  <c r="J66" i="7"/>
  <c r="J68" i="7"/>
  <c r="J166" i="7"/>
  <c r="J168" i="7"/>
  <c r="J170" i="7"/>
  <c r="J172" i="7"/>
  <c r="J174" i="7"/>
  <c r="J176" i="7"/>
  <c r="J178" i="7"/>
  <c r="J180" i="7"/>
  <c r="J182" i="7"/>
  <c r="J184" i="7"/>
  <c r="J186" i="7"/>
  <c r="J188" i="7"/>
  <c r="J190" i="7"/>
  <c r="J192" i="7"/>
  <c r="J167" i="7"/>
  <c r="J169" i="7"/>
  <c r="J171" i="7"/>
  <c r="J173" i="7"/>
  <c r="J175" i="7"/>
  <c r="J177" i="7"/>
  <c r="J179" i="7"/>
  <c r="J181" i="7"/>
  <c r="J183" i="7"/>
  <c r="J185" i="7"/>
  <c r="J187" i="7"/>
  <c r="J189" i="7"/>
  <c r="J191" i="7"/>
  <c r="J193" i="7"/>
  <c r="B5" i="3"/>
  <c r="B2" i="3"/>
  <c r="B7" i="3"/>
  <c r="B10" i="3"/>
  <c r="L197" i="7"/>
  <c r="J197" i="7"/>
  <c r="B6" i="3"/>
  <c r="M199" i="7"/>
  <c r="L207" i="7"/>
  <c r="J207" i="7"/>
  <c r="M24" i="7"/>
  <c r="M69" i="7"/>
  <c r="M111" i="7"/>
  <c r="M194" i="7"/>
  <c r="J156" i="7"/>
  <c r="Q134" i="7"/>
  <c r="N134" i="7"/>
  <c r="J72" i="7"/>
  <c r="L203" i="7"/>
  <c r="O115" i="7"/>
  <c r="J165" i="7"/>
  <c r="L27" i="7"/>
  <c r="J203" i="7"/>
  <c r="M227" i="7"/>
  <c r="T228" i="7"/>
  <c r="T237" i="7" s="1"/>
  <c r="L72" i="7"/>
  <c r="M134" i="7"/>
  <c r="P134" i="7"/>
  <c r="O165" i="7"/>
  <c r="L5" i="7"/>
  <c r="Q72" i="7"/>
  <c r="O72" i="7"/>
  <c r="K153" i="7"/>
  <c r="J5" i="7"/>
  <c r="O5" i="7"/>
  <c r="J27" i="7"/>
  <c r="O27" i="7"/>
  <c r="I153" i="7"/>
  <c r="L165" i="7"/>
  <c r="J136" i="7" l="1"/>
  <c r="J138" i="7"/>
  <c r="J140" i="7"/>
  <c r="J142" i="7"/>
  <c r="J144" i="7"/>
  <c r="J146" i="7"/>
  <c r="J148" i="7"/>
  <c r="J150" i="7"/>
  <c r="J152" i="7"/>
  <c r="J116" i="7"/>
  <c r="J118" i="7"/>
  <c r="J120" i="7"/>
  <c r="J122" i="7"/>
  <c r="J124" i="7"/>
  <c r="J126" i="7"/>
  <c r="J128" i="7"/>
  <c r="J130" i="7"/>
  <c r="J135" i="7"/>
  <c r="J137" i="7"/>
  <c r="J139" i="7"/>
  <c r="J141" i="7"/>
  <c r="J143" i="7"/>
  <c r="J145" i="7"/>
  <c r="J147" i="7"/>
  <c r="J149" i="7"/>
  <c r="J151" i="7"/>
  <c r="J117" i="7"/>
  <c r="J119" i="7"/>
  <c r="J121" i="7"/>
  <c r="J123" i="7"/>
  <c r="J125" i="7"/>
  <c r="J127" i="7"/>
  <c r="J129" i="7"/>
  <c r="J131" i="7"/>
  <c r="B9" i="3"/>
  <c r="J134" i="7"/>
  <c r="M153" i="7"/>
  <c r="O134" i="7"/>
  <c r="K228" i="7"/>
  <c r="J115" i="7"/>
  <c r="L115" i="7"/>
  <c r="L134" i="7"/>
  <c r="I228" i="7"/>
  <c r="I237" i="7" l="1"/>
  <c r="K237" i="7"/>
  <c r="J236" i="7" l="1"/>
  <c r="J199" i="7"/>
  <c r="J162" i="7"/>
  <c r="J111" i="7"/>
  <c r="J24" i="7"/>
  <c r="J227" i="7"/>
  <c r="J153" i="7"/>
  <c r="J69" i="7"/>
  <c r="J194" i="7"/>
  <c r="L227" i="7"/>
  <c r="L199" i="7"/>
  <c r="L24" i="7"/>
  <c r="L194" i="7"/>
  <c r="L162" i="7"/>
  <c r="L111" i="7"/>
  <c r="L69" i="7"/>
  <c r="L236" i="7"/>
  <c r="L153" i="7"/>
</calcChain>
</file>

<file path=xl/sharedStrings.xml><?xml version="1.0" encoding="utf-8"?>
<sst xmlns="http://schemas.openxmlformats.org/spreadsheetml/2006/main" count="481" uniqueCount="324">
  <si>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</si>
  <si>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</si>
  <si>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</si>
  <si>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</si>
  <si>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</si>
  <si>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</si>
  <si>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</si>
  <si>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</si>
  <si>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</si>
  <si>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</si>
  <si>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</si>
  <si>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</si>
  <si>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</si>
  <si>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</si>
  <si>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</si>
  <si>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</si>
  <si>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</si>
  <si>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</si>
  <si>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</si>
  <si>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</si>
  <si>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</si>
  <si>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</si>
  <si>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</si>
  <si>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</si>
  <si>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</si>
  <si>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</si>
  <si>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</si>
  <si>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</si>
  <si>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</si>
  <si>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</si>
  <si>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</si>
  <si>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</si>
  <si>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</si>
  <si>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</si>
  <si>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</si>
  <si>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</si>
  <si>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</si>
  <si>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</si>
  <si>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</si>
  <si>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</si>
  <si>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</si>
  <si>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</si>
  <si>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</si>
  <si>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</si>
  <si>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</si>
  <si>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</si>
  <si>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</si>
  <si>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</si>
  <si>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</si>
  <si>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</si>
  <si>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</si>
  <si>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</si>
  <si>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</si>
  <si>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</si>
  <si>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</si>
  <si>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</si>
  <si>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</si>
  <si>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</si>
  <si>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</si>
  <si>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</si>
  <si>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</si>
  <si>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</si>
  <si>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</si>
  <si>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</si>
  <si>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</si>
  <si>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</si>
  <si>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</si>
  <si>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</si>
  <si>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</si>
  <si>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</si>
  <si>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</si>
  <si>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</si>
  <si>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</si>
  <si>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</si>
  <si>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</si>
  <si>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</si>
  <si>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</si>
  <si>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</si>
  <si>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</si>
  <si>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</si>
  <si>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</si>
  <si>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</si>
  <si>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</si>
  <si>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</si>
  <si>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</si>
  <si>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</si>
  <si>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</si>
  <si>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</si>
  <si>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</si>
  <si>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</si>
  <si>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</si>
  <si>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</si>
  <si>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</si>
  <si>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</si>
  <si>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</si>
  <si>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</si>
  <si>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</si>
  <si>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</si>
  <si>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</si>
  <si>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</si>
  <si>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</si>
  <si>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</si>
  <si>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</si>
  <si>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</si>
  <si>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</si>
  <si>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</si>
  <si>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</si>
  <si>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</si>
  <si>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</si>
  <si>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</si>
  <si>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</si>
  <si>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</si>
  <si>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</si>
  <si>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</si>
  <si>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</si>
  <si>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</si>
  <si>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</si>
  <si>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</si>
  <si>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</si>
  <si>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</si>
  <si>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</si>
  <si>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</si>
  <si>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</si>
  <si>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</si>
  <si>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</si>
  <si>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</si>
  <si>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</si>
  <si>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</si>
  <si>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</si>
  <si>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</si>
  <si>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</si>
  <si>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</si>
  <si>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</si>
  <si>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</si>
  <si>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</si>
  <si>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</si>
  <si>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</si>
  <si>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</si>
  <si>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</si>
  <si>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</si>
  <si>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</si>
  <si>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</si>
  <si>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</si>
  <si>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</si>
  <si>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</si>
  <si>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</si>
  <si>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</si>
  <si>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</si>
  <si>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</si>
  <si>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</si>
  <si>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</si>
  <si>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</si>
  <si>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</si>
  <si>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</si>
  <si>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</si>
  <si>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</si>
  <si>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</si>
  <si>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</si>
  <si>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</si>
  <si>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</si>
  <si>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</si>
  <si>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</si>
  <si>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</si>
  <si>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</si>
  <si>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</si>
  <si>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</si>
  <si>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</si>
  <si>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</si>
  <si>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</si>
  <si>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</si>
  <si>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</si>
  <si>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</si>
  <si>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</si>
  <si>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</si>
  <si>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</si>
  <si>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</si>
  <si>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</si>
  <si>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</si>
  <si>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</si>
  <si>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</si>
  <si>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</si>
  <si>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</si>
  <si>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</si>
  <si>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</si>
  <si>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</si>
  <si>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</si>
  <si>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</si>
  <si>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</si>
  <si>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</si>
  <si>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</si>
  <si>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</si>
  <si>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</si>
  <si>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</si>
  <si>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</si>
  <si>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</si>
  <si>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</si>
  <si>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</si>
  <si>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</si>
  <si>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</si>
  <si>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</si>
  <si>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</si>
  <si>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</si>
  <si>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</si>
  <si>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</si>
  <si>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</si>
  <si>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</si>
  <si>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</si>
  <si>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</si>
  <si>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</si>
  <si>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</si>
  <si>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</si>
  <si>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</si>
  <si>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</si>
  <si>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</si>
  <si>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</si>
  <si>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</si>
  <si>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</si>
  <si>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</si>
  <si>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</si>
  <si>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</si>
  <si>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</si>
  <si>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</si>
  <si>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</si>
  <si>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</si>
  <si>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</si>
  <si>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</si>
  <si>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</si>
  <si>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</si>
  <si>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</si>
  <si>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</si>
  <si>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</si>
  <si>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</si>
  <si>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</si>
  <si>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</si>
  <si>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</si>
  <si>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</si>
  <si>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</si>
  <si>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</si>
  <si>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</si>
  <si>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</si>
  <si>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</si>
  <si>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</si>
  <si>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</si>
  <si>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</si>
  <si>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</si>
  <si>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</si>
  <si>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</si>
  <si>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</si>
  <si>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</si>
  <si>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</si>
  <si>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</si>
  <si>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</si>
  <si>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</si>
  <si>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</si>
  <si>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</si>
  <si>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</si>
  <si>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</si>
  <si>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</si>
  <si>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</si>
  <si>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</si>
  <si>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</si>
  <si>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</si>
  <si>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</si>
  <si>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</si>
  <si>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</si>
  <si>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</si>
  <si>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</si>
  <si>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</si>
  <si>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</si>
  <si>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AVA GAM Money Market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</si>
  <si>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</si>
  <si>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</si>
  <si>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</si>
  <si>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</si>
  <si>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</si>
  <si>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</si>
  <si>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</si>
  <si>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Balanced Fund</t>
  </si>
  <si>
    <t>One17 Halal Fund</t>
  </si>
  <si>
    <t>One17 Capital Limited</t>
  </si>
  <si>
    <t>ARM Halal Balanced Fund</t>
  </si>
  <si>
    <t>MOFI Real Estate Investment Fund</t>
  </si>
  <si>
    <t>SPECIALISED FUNDS</t>
  </si>
  <si>
    <t>ARM Specialized Dollar Fund</t>
  </si>
  <si>
    <t>Clean Energy Fund</t>
  </si>
  <si>
    <t>Fundco Capital Managers Limited</t>
  </si>
  <si>
    <t>FBN Blended Dollar Fund</t>
  </si>
  <si>
    <t>FCMB-TLG Private Debt Fund</t>
  </si>
  <si>
    <t>FCMB Asset Management Limited</t>
  </si>
  <si>
    <t>United Capital Children Investment Fund</t>
  </si>
  <si>
    <t>Zedcrest Dollar Fund</t>
  </si>
  <si>
    <t>Zedcrest Investment Managers Limited</t>
  </si>
  <si>
    <t>Zedcrest Fixed Income Fund</t>
  </si>
  <si>
    <t>Zedcrest Money Market Fund</t>
  </si>
  <si>
    <t>Mutual Fund Total</t>
  </si>
  <si>
    <t>Parthian Money Market Fund</t>
  </si>
  <si>
    <t>Parthian Capital Ltd.</t>
  </si>
  <si>
    <t>STL Money Market Fund</t>
  </si>
  <si>
    <t>STL Asset Mgt. Limited</t>
  </si>
  <si>
    <t>STL Dollar Fund</t>
  </si>
  <si>
    <t>STL Balanced Fund</t>
  </si>
  <si>
    <t>Parthian Dollar Fixed Income Fund</t>
  </si>
  <si>
    <t>BALANCED FUND</t>
  </si>
  <si>
    <t>Afrinvest Halal Fund</t>
  </si>
  <si>
    <t>Afrinvest Asset Mgt Ltd.</t>
  </si>
  <si>
    <t>DLM Money Market Fund</t>
  </si>
  <si>
    <t>Samtl Mixed Income Fud</t>
  </si>
  <si>
    <t>Samtl Fund Managers Limited</t>
  </si>
  <si>
    <t>CFG AM Fixed Income Naira Fund</t>
  </si>
  <si>
    <t>CFG Assset Management Limited</t>
  </si>
  <si>
    <t>Trustbanc Fixed Income Fund</t>
  </si>
  <si>
    <t>Trustbanc Aset Management Limited</t>
  </si>
  <si>
    <t>CFG AM Fixed Income Dollar Fund</t>
  </si>
  <si>
    <t>Greenwich Fixed Income Dollar Fund</t>
  </si>
  <si>
    <t>Vetiva USD Fixed Income Fund</t>
  </si>
  <si>
    <t>D'Namaz Halal Fixed Income Fund</t>
  </si>
  <si>
    <t>D'Namaz Capital Limited</t>
  </si>
  <si>
    <t>FBN Dollar Fund</t>
  </si>
  <si>
    <t xml:space="preserve"> </t>
  </si>
  <si>
    <r>
      <t>US$/NG</t>
    </r>
    <r>
      <rPr>
        <strike/>
        <sz val="8"/>
        <color theme="0"/>
        <rFont val="Times New Roman"/>
        <family val="1"/>
      </rPr>
      <t>N</t>
    </r>
    <r>
      <rPr>
        <sz val="8"/>
        <color theme="0"/>
        <rFont val="Times New Roman"/>
        <family val="1"/>
      </rPr>
      <t xml:space="preserve"> I&amp;E as at 28th November, 2025 = N1446.7421</t>
    </r>
  </si>
  <si>
    <t>NET ASSET VALUE (N) PREVIOUS - OCTOBER</t>
  </si>
  <si>
    <t>Oct 2025</t>
  </si>
  <si>
    <t>Nov 2025</t>
  </si>
  <si>
    <t>MONTHLY UPDATE ON REGISTERED MUTUAL FUNDS AS AT 30TH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</si>
</sst>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8"/>
      <color theme="0"/>
      <name val="Times New Roman"/>
      <family val="1"/>
    </font>
    <font>
      <strike/>
      <sz val="8"/>
      <color theme="0"/>
      <name val="Times New Roman"/>
      <family val="1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28"/>
      <color theme="0"/>
      <name val="Segoe UI Black"/>
      <family val="2"/>
    </font>
    <font>
      <sz val="10"/>
      <color theme="0"/>
      <name val="Arial Narrow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b/>
      <sz val="12"/>
      <name val="Arial Narrow"/>
      <family val="2"/>
    </font>
    <font>
      <sz val="10"/>
      <name val="Century Gothic"/>
      <family val="2"/>
    </font>
    <font>
      <sz val="8"/>
      <color rgb="FF424242"/>
      <name val="Arial"/>
      <family val="2"/>
    </font>
    <font>
      <b/>
      <sz val="8"/>
      <color theme="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8"/>
      <color theme="0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</borders>
  <cellStyleXfs count="465">
    <xf numFmtId="0" fontId="0" fillId="0" borderId="0"/>
    <xf numFmtId="164" fontId="11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3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5" fontId="13" fillId="0" borderId="0" applyFont="0" applyFill="0" applyBorder="0" applyAlignment="0" applyProtection="0"/>
    <xf numFmtId="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4" fillId="27" borderId="0" applyNumberFormat="0" applyBorder="0" applyAlignment="0" applyProtection="0"/>
    <xf numFmtId="17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49" fontId="7" fillId="0" borderId="0"/>
    <xf numFmtId="49" fontId="7" fillId="0" borderId="0"/>
    <xf numFmtId="49" fontId="7" fillId="0" borderId="0"/>
    <xf numFmtId="49" fontId="7" fillId="0" borderId="0"/>
    <xf numFmtId="0" fontId="7" fillId="0" borderId="0"/>
    <xf numFmtId="37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0" fontId="11" fillId="28" borderId="3" applyNumberFormat="0" applyFont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0"/>
    <xf numFmtId="9" fontId="31" fillId="0" borderId="0" applyFont="0" applyFill="0" applyBorder="0" applyAlignment="0" applyProtection="0"/>
  </cellStyleXfs>
  <cellXfs count="157">
    <xf numFmtId="0" fontId="0" fillId="0" borderId="0" xfId="0"/>
    <xf numFmtId="0" fontId="3" fillId="2" borderId="0" xfId="0" applyFont="1" applyFill="1" applyAlignment="1">
      <alignment wrapText="1"/>
    </xf>
    <xf numFmtId="0" fontId="5" fillId="0" borderId="0" xfId="0" applyFont="1"/>
    <xf numFmtId="0" fontId="6" fillId="3" borderId="0" xfId="0" applyFont="1" applyFill="1"/>
    <xf numFmtId="0" fontId="6" fillId="0" borderId="0" xfId="0" applyFont="1"/>
    <xf numFmtId="0" fontId="10" fillId="0" borderId="0" xfId="0" applyFont="1"/>
    <xf numFmtId="0" fontId="6" fillId="2" borderId="0" xfId="0" applyFont="1" applyFill="1"/>
    <xf numFmtId="164" fontId="6" fillId="2" borderId="0" xfId="1" applyFont="1" applyFill="1" applyBorder="1" applyAlignment="1"/>
    <xf numFmtId="172" fontId="9" fillId="2" borderId="0" xfId="0" applyNumberFormat="1" applyFont="1" applyFill="1"/>
    <xf numFmtId="175" fontId="9" fillId="2" borderId="0" xfId="0" applyNumberFormat="1" applyFont="1" applyFill="1"/>
    <xf numFmtId="164" fontId="19" fillId="2" borderId="2" xfId="1" applyFont="1" applyFill="1" applyBorder="1"/>
    <xf numFmtId="172" fontId="19" fillId="2" borderId="2" xfId="0" applyNumberFormat="1" applyFont="1" applyFill="1" applyBorder="1" applyAlignment="1">
      <alignment horizontal="right"/>
    </xf>
    <xf numFmtId="164" fontId="19" fillId="2" borderId="2" xfId="1" applyFont="1" applyFill="1" applyBorder="1" applyAlignment="1"/>
    <xf numFmtId="10" fontId="19" fillId="2" borderId="2" xfId="0" applyNumberFormat="1" applyFont="1" applyFill="1" applyBorder="1" applyAlignment="1">
      <alignment horizontal="center"/>
    </xf>
    <xf numFmtId="0" fontId="21" fillId="2" borderId="0" xfId="0" applyFont="1" applyFill="1"/>
    <xf numFmtId="0" fontId="22" fillId="0" borderId="0" xfId="0" applyFont="1"/>
    <xf numFmtId="164" fontId="19" fillId="2" borderId="2" xfId="1" applyFont="1" applyFill="1" applyBorder="1" applyAlignment="1">
      <alignment horizontal="right"/>
    </xf>
    <xf numFmtId="164" fontId="19" fillId="0" borderId="2" xfId="1" applyFont="1" applyBorder="1"/>
    <xf numFmtId="164" fontId="19" fillId="0" borderId="2" xfId="1" applyFont="1" applyFill="1" applyBorder="1"/>
    <xf numFmtId="49" fontId="19" fillId="2" borderId="2" xfId="0" applyNumberFormat="1" applyFont="1" applyFill="1" applyBorder="1" applyAlignment="1">
      <alignment wrapText="1"/>
    </xf>
    <xf numFmtId="10" fontId="20" fillId="6" borderId="2" xfId="0" applyNumberFormat="1" applyFont="1" applyFill="1" applyBorder="1" applyAlignment="1">
      <alignment horizontal="center" vertical="center"/>
    </xf>
    <xf numFmtId="10" fontId="19" fillId="6" borderId="2" xfId="0" applyNumberFormat="1" applyFont="1" applyFill="1" applyBorder="1" applyAlignment="1">
      <alignment horizontal="center" vertical="center"/>
    </xf>
    <xf numFmtId="172" fontId="19" fillId="6" borderId="2" xfId="0" applyNumberFormat="1" applyFont="1" applyFill="1" applyBorder="1" applyAlignment="1">
      <alignment horizontal="right" vertical="center"/>
    </xf>
    <xf numFmtId="172" fontId="19" fillId="2" borderId="2" xfId="0" applyNumberFormat="1" applyFont="1" applyFill="1" applyBorder="1"/>
    <xf numFmtId="172" fontId="19" fillId="6" borderId="2" xfId="0" applyNumberFormat="1" applyFont="1" applyFill="1" applyBorder="1" applyAlignment="1">
      <alignment horizontal="center" vertical="center"/>
    </xf>
    <xf numFmtId="164" fontId="19" fillId="2" borderId="2" xfId="1" applyFont="1" applyFill="1" applyBorder="1" applyAlignment="1">
      <alignment wrapText="1"/>
    </xf>
    <xf numFmtId="172" fontId="20" fillId="2" borderId="2" xfId="0" applyNumberFormat="1" applyFont="1" applyFill="1" applyBorder="1"/>
    <xf numFmtId="164" fontId="19" fillId="2" borderId="2" xfId="1" applyFont="1" applyFill="1" applyBorder="1" applyAlignment="1">
      <alignment horizontal="right" vertical="top" wrapText="1"/>
    </xf>
    <xf numFmtId="164" fontId="19" fillId="2" borderId="2" xfId="1" applyFont="1" applyFill="1" applyBorder="1" applyAlignment="1">
      <alignment horizontal="center" vertical="top" wrapText="1"/>
    </xf>
    <xf numFmtId="164" fontId="19" fillId="2" borderId="2" xfId="1" applyFont="1" applyFill="1" applyBorder="1" applyAlignment="1">
      <alignment horizontal="left"/>
    </xf>
    <xf numFmtId="49" fontId="8" fillId="5" borderId="2" xfId="0" applyNumberFormat="1" applyFont="1" applyFill="1" applyBorder="1" applyAlignment="1">
      <alignment horizontal="center" vertical="top" wrapText="1"/>
    </xf>
    <xf numFmtId="171" fontId="19" fillId="0" borderId="2" xfId="0" applyNumberFormat="1" applyFont="1" applyBorder="1"/>
    <xf numFmtId="174" fontId="19" fillId="0" borderId="2" xfId="0" applyNumberFormat="1" applyFont="1" applyBorder="1"/>
    <xf numFmtId="164" fontId="8" fillId="5" borderId="2" xfId="1" applyFont="1" applyFill="1" applyBorder="1" applyAlignment="1">
      <alignment horizontal="center" vertical="top" wrapText="1"/>
    </xf>
    <xf numFmtId="172" fontId="20" fillId="2" borderId="2" xfId="0" applyNumberFormat="1" applyFont="1" applyFill="1" applyBorder="1" applyAlignment="1">
      <alignment horizontal="left"/>
    </xf>
    <xf numFmtId="10" fontId="20" fillId="2" borderId="2" xfId="0" applyNumberFormat="1" applyFont="1" applyFill="1" applyBorder="1" applyAlignment="1">
      <alignment horizontal="center"/>
    </xf>
    <xf numFmtId="172" fontId="20" fillId="6" borderId="2" xfId="0" applyNumberFormat="1" applyFont="1" applyFill="1" applyBorder="1" applyAlignment="1">
      <alignment horizontal="right" vertical="center"/>
    </xf>
    <xf numFmtId="164" fontId="20" fillId="2" borderId="2" xfId="1" applyFont="1" applyFill="1" applyBorder="1"/>
    <xf numFmtId="172" fontId="20" fillId="6" borderId="2" xfId="0" applyNumberFormat="1" applyFont="1" applyFill="1" applyBorder="1" applyAlignment="1">
      <alignment horizontal="center" vertical="center"/>
    </xf>
    <xf numFmtId="164" fontId="20" fillId="2" borderId="2" xfId="1" applyFont="1" applyFill="1" applyBorder="1" applyAlignment="1"/>
    <xf numFmtId="164" fontId="20" fillId="2" borderId="2" xfId="1" applyFont="1" applyFill="1" applyBorder="1" applyAlignment="1">
      <alignment wrapText="1"/>
    </xf>
    <xf numFmtId="10" fontId="20" fillId="6" borderId="2" xfId="0" applyNumberFormat="1" applyFont="1" applyFill="1" applyBorder="1" applyAlignment="1">
      <alignment horizontal="right" vertical="center"/>
    </xf>
    <xf numFmtId="173" fontId="19" fillId="2" borderId="2" xfId="0" applyNumberFormat="1" applyFont="1" applyFill="1" applyBorder="1"/>
    <xf numFmtId="0" fontId="23" fillId="9" borderId="0" xfId="0" applyFont="1" applyFill="1" applyAlignment="1">
      <alignment horizontal="left"/>
    </xf>
    <xf numFmtId="164" fontId="19" fillId="0" borderId="2" xfId="1" applyFont="1" applyBorder="1" applyAlignment="1"/>
    <xf numFmtId="164" fontId="19" fillId="7" borderId="2" xfId="1" applyFont="1" applyFill="1" applyBorder="1"/>
    <xf numFmtId="164" fontId="19" fillId="0" borderId="2" xfId="1" applyFont="1" applyFill="1" applyBorder="1" applyAlignment="1">
      <alignment horizontal="right"/>
    </xf>
    <xf numFmtId="164" fontId="26" fillId="2" borderId="0" xfId="1" applyFont="1" applyFill="1" applyBorder="1"/>
    <xf numFmtId="4" fontId="27" fillId="2" borderId="0" xfId="0" applyNumberFormat="1" applyFont="1" applyFill="1"/>
    <xf numFmtId="4" fontId="27" fillId="2" borderId="0" xfId="0" applyNumberFormat="1" applyFont="1" applyFill="1" applyAlignment="1">
      <alignment horizontal="right"/>
    </xf>
    <xf numFmtId="4" fontId="26" fillId="2" borderId="0" xfId="0" applyNumberFormat="1" applyFont="1" applyFill="1" applyAlignment="1">
      <alignment horizontal="right"/>
    </xf>
    <xf numFmtId="0" fontId="25" fillId="0" borderId="0" xfId="0" applyFont="1" applyAlignment="1">
      <alignment horizontal="right"/>
    </xf>
    <xf numFmtId="4" fontId="26" fillId="2" borderId="0" xfId="0" applyNumberFormat="1" applyFont="1" applyFill="1"/>
    <xf numFmtId="164" fontId="27" fillId="2" borderId="0" xfId="1" applyFont="1" applyFill="1" applyBorder="1" applyAlignment="1">
      <alignment horizontal="right" vertical="top" wrapText="1"/>
    </xf>
    <xf numFmtId="164" fontId="26" fillId="2" borderId="0" xfId="1" applyFont="1" applyFill="1" applyBorder="1" applyAlignment="1">
      <alignment horizontal="right" vertical="top" wrapText="1"/>
    </xf>
    <xf numFmtId="164" fontId="20" fillId="2" borderId="2" xfId="1" applyFont="1" applyFill="1" applyBorder="1" applyAlignment="1">
      <alignment horizontal="left"/>
    </xf>
    <xf numFmtId="164" fontId="19" fillId="0" borderId="2" xfId="1" applyFont="1" applyFill="1" applyBorder="1" applyAlignment="1" applyProtection="1"/>
    <xf numFmtId="0" fontId="30" fillId="2" borderId="0" xfId="0" applyFont="1" applyFill="1"/>
    <xf numFmtId="164" fontId="19" fillId="2" borderId="2" xfId="1" applyFont="1" applyFill="1" applyBorder="1" applyAlignment="1">
      <alignment horizontal="center" wrapText="1"/>
    </xf>
    <xf numFmtId="10" fontId="19" fillId="2" borderId="2" xfId="464" applyNumberFormat="1" applyFont="1" applyFill="1" applyBorder="1" applyAlignment="1">
      <alignment horizontal="center" wrapText="1"/>
    </xf>
    <xf numFmtId="0" fontId="29" fillId="2" borderId="0" xfId="0" applyFont="1" applyFill="1" applyAlignment="1">
      <alignment horizontal="left"/>
    </xf>
    <xf numFmtId="10" fontId="20" fillId="2" borderId="2" xfId="0" applyNumberFormat="1" applyFont="1" applyFill="1" applyBorder="1"/>
    <xf numFmtId="10" fontId="20" fillId="2" borderId="2" xfId="0" applyNumberFormat="1" applyFont="1" applyFill="1" applyBorder="1" applyAlignment="1">
      <alignment horizontal="right" vertical="center"/>
    </xf>
    <xf numFmtId="172" fontId="20" fillId="2" borderId="2" xfId="0" applyNumberFormat="1" applyFont="1" applyFill="1" applyBorder="1" applyAlignment="1">
      <alignment horizontal="right" vertical="center"/>
    </xf>
    <xf numFmtId="164" fontId="19" fillId="2" borderId="6" xfId="1" applyFont="1" applyFill="1" applyBorder="1" applyAlignment="1">
      <alignment horizontal="right"/>
    </xf>
    <xf numFmtId="49" fontId="20" fillId="2" borderId="2" xfId="0" applyNumberFormat="1" applyFont="1" applyFill="1" applyBorder="1" applyAlignment="1">
      <alignment horizontal="right"/>
    </xf>
    <xf numFmtId="173" fontId="19" fillId="2" borderId="2" xfId="0" applyNumberFormat="1" applyFont="1" applyFill="1" applyBorder="1" applyAlignment="1">
      <alignment horizontal="center" wrapText="1"/>
    </xf>
    <xf numFmtId="0" fontId="33" fillId="0" borderId="0" xfId="0" applyFont="1" applyAlignment="1">
      <alignment horizontal="right"/>
    </xf>
    <xf numFmtId="43" fontId="5" fillId="0" borderId="0" xfId="200" applyFont="1"/>
    <xf numFmtId="4" fontId="26" fillId="2" borderId="2" xfId="0" applyNumberFormat="1" applyFont="1" applyFill="1" applyBorder="1"/>
    <xf numFmtId="4" fontId="26" fillId="2" borderId="2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0" fontId="34" fillId="29" borderId="0" xfId="0" applyFont="1" applyFill="1"/>
    <xf numFmtId="164" fontId="8" fillId="29" borderId="0" xfId="1" applyFont="1" applyFill="1"/>
    <xf numFmtId="164" fontId="34" fillId="29" borderId="0" xfId="1" applyFont="1" applyFill="1"/>
    <xf numFmtId="164" fontId="32" fillId="5" borderId="2" xfId="1" applyFont="1" applyFill="1" applyBorder="1"/>
    <xf numFmtId="10" fontId="32" fillId="5" borderId="2" xfId="0" applyNumberFormat="1" applyFont="1" applyFill="1" applyBorder="1"/>
    <xf numFmtId="10" fontId="32" fillId="5" borderId="2" xfId="0" applyNumberFormat="1" applyFont="1" applyFill="1" applyBorder="1" applyAlignment="1">
      <alignment horizontal="right" vertical="center"/>
    </xf>
    <xf numFmtId="172" fontId="32" fillId="5" borderId="2" xfId="0" applyNumberFormat="1" applyFont="1" applyFill="1" applyBorder="1" applyAlignment="1">
      <alignment horizontal="right" vertical="center"/>
    </xf>
    <xf numFmtId="164" fontId="19" fillId="2" borderId="2" xfId="1" applyFont="1" applyFill="1" applyBorder="1" applyAlignment="1">
      <alignment horizontal="right" wrapText="1"/>
    </xf>
    <xf numFmtId="164" fontId="32" fillId="2" borderId="2" xfId="1" applyFont="1" applyFill="1" applyBorder="1"/>
    <xf numFmtId="10" fontId="32" fillId="2" borderId="2" xfId="0" applyNumberFormat="1" applyFont="1" applyFill="1" applyBorder="1" applyAlignment="1">
      <alignment horizontal="center"/>
    </xf>
    <xf numFmtId="0" fontId="35" fillId="0" borderId="0" xfId="0" applyFont="1"/>
    <xf numFmtId="4" fontId="19" fillId="2" borderId="2" xfId="0" applyNumberFormat="1" applyFont="1" applyFill="1" applyBorder="1" applyAlignment="1">
      <alignment wrapText="1"/>
    </xf>
    <xf numFmtId="0" fontId="19" fillId="2" borderId="2" xfId="0" applyFont="1" applyFill="1" applyBorder="1" applyAlignment="1">
      <alignment wrapText="1"/>
    </xf>
    <xf numFmtId="164" fontId="19" fillId="2" borderId="0" xfId="1" applyFont="1" applyFill="1" applyBorder="1" applyAlignment="1">
      <alignment wrapText="1"/>
    </xf>
    <xf numFmtId="2" fontId="19" fillId="2" borderId="2" xfId="0" applyNumberFormat="1" applyFont="1" applyFill="1" applyBorder="1"/>
    <xf numFmtId="2" fontId="19" fillId="2" borderId="2" xfId="0" applyNumberFormat="1" applyFont="1" applyFill="1" applyBorder="1" applyAlignment="1">
      <alignment wrapText="1"/>
    </xf>
    <xf numFmtId="49" fontId="19" fillId="2" borderId="2" xfId="0" applyNumberFormat="1" applyFont="1" applyFill="1" applyBorder="1"/>
    <xf numFmtId="2" fontId="19" fillId="2" borderId="2" xfId="463" applyNumberFormat="1" applyFont="1" applyFill="1" applyBorder="1" applyAlignment="1">
      <alignment wrapText="1"/>
    </xf>
    <xf numFmtId="164" fontId="19" fillId="2" borderId="8" xfId="1" applyFont="1" applyFill="1" applyBorder="1" applyAlignment="1">
      <alignment wrapText="1"/>
    </xf>
    <xf numFmtId="164" fontId="19" fillId="2" borderId="2" xfId="1" applyFont="1" applyFill="1" applyBorder="1" applyAlignment="1">
      <alignment horizontal="left" vertical="top" wrapText="1"/>
    </xf>
    <xf numFmtId="49" fontId="19" fillId="2" borderId="2" xfId="0" applyNumberFormat="1" applyFont="1" applyFill="1" applyBorder="1" applyAlignment="1">
      <alignment vertical="center" wrapText="1"/>
    </xf>
    <xf numFmtId="174" fontId="19" fillId="2" borderId="4" xfId="1" applyNumberFormat="1" applyFont="1" applyFill="1" applyBorder="1" applyAlignment="1">
      <alignment horizontal="right" wrapText="1"/>
    </xf>
    <xf numFmtId="174" fontId="19" fillId="2" borderId="2" xfId="1" applyNumberFormat="1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right" wrapText="1"/>
    </xf>
    <xf numFmtId="174" fontId="19" fillId="2" borderId="2" xfId="1" applyNumberFormat="1" applyFont="1" applyFill="1" applyBorder="1" applyAlignment="1">
      <alignment horizontal="right"/>
    </xf>
    <xf numFmtId="174" fontId="19" fillId="2" borderId="2" xfId="1" applyNumberFormat="1" applyFont="1" applyFill="1" applyBorder="1" applyAlignment="1">
      <alignment horizontal="right" vertical="center" wrapText="1"/>
    </xf>
    <xf numFmtId="164" fontId="19" fillId="2" borderId="2" xfId="1" applyFont="1" applyFill="1" applyBorder="1" applyAlignment="1">
      <alignment vertical="top" wrapText="1"/>
    </xf>
    <xf numFmtId="174" fontId="19" fillId="2" borderId="2" xfId="1" applyNumberFormat="1" applyFont="1" applyFill="1" applyBorder="1" applyAlignment="1">
      <alignment horizontal="right" wrapText="1"/>
    </xf>
    <xf numFmtId="164" fontId="19" fillId="2" borderId="8" xfId="1" applyFont="1" applyFill="1" applyBorder="1"/>
    <xf numFmtId="49" fontId="19" fillId="2" borderId="2" xfId="0" applyNumberFormat="1" applyFont="1" applyFill="1" applyBorder="1" applyAlignment="1">
      <alignment vertical="top" wrapText="1"/>
    </xf>
    <xf numFmtId="4" fontId="27" fillId="2" borderId="0" xfId="0" applyNumberFormat="1" applyFont="1" applyFill="1" applyBorder="1" applyAlignment="1">
      <alignment horizontal="right"/>
    </xf>
    <xf numFmtId="0" fontId="36" fillId="9" borderId="0" xfId="0" applyFont="1" applyFill="1" applyAlignment="1">
      <alignment horizontal="right" vertical="center"/>
    </xf>
    <xf numFmtId="164" fontId="20" fillId="2" borderId="2" xfId="1" applyFont="1" applyFill="1" applyBorder="1" applyAlignment="1">
      <alignment horizontal="right"/>
    </xf>
    <xf numFmtId="173" fontId="19" fillId="2" borderId="2" xfId="0" applyNumberFormat="1" applyFont="1" applyFill="1" applyBorder="1" applyAlignment="1">
      <alignment horizontal="center" wrapText="1"/>
    </xf>
    <xf numFmtId="164" fontId="32" fillId="2" borderId="2" xfId="1" applyFont="1" applyFill="1" applyBorder="1" applyAlignment="1">
      <alignment horizontal="right"/>
    </xf>
    <xf numFmtId="164" fontId="8" fillId="29" borderId="2" xfId="1" applyFont="1" applyFill="1" applyBorder="1" applyAlignment="1">
      <alignment horizontal="right"/>
    </xf>
    <xf numFmtId="49" fontId="8" fillId="2" borderId="2" xfId="0" applyNumberFormat="1" applyFont="1" applyFill="1" applyBorder="1" applyAlignment="1">
      <alignment horizontal="center"/>
    </xf>
    <xf numFmtId="49" fontId="28" fillId="4" borderId="2" xfId="0" applyNumberFormat="1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 vertical="top" wrapText="1"/>
    </xf>
    <xf numFmtId="164" fontId="20" fillId="2" borderId="2" xfId="1" applyFont="1" applyFill="1" applyBorder="1" applyAlignment="1">
      <alignment horizontal="right"/>
    </xf>
    <xf numFmtId="173" fontId="20" fillId="2" borderId="2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vertical="top" wrapText="1"/>
    </xf>
    <xf numFmtId="49" fontId="8" fillId="2" borderId="5" xfId="0" applyNumberFormat="1" applyFont="1" applyFill="1" applyBorder="1" applyAlignment="1">
      <alignment horizontal="center" vertical="top" wrapText="1"/>
    </xf>
    <xf numFmtId="49" fontId="8" fillId="2" borderId="6" xfId="0" applyNumberFormat="1" applyFont="1" applyFill="1" applyBorder="1" applyAlignment="1">
      <alignment horizontal="center" vertical="top" wrapText="1"/>
    </xf>
    <xf numFmtId="172" fontId="32" fillId="2" borderId="2" xfId="0" applyNumberFormat="1" applyFont="1" applyFill="1" applyBorder="1" applyAlignment="1">
      <alignment horizontal="center" wrapText="1"/>
    </xf>
    <xf numFmtId="173" fontId="19" fillId="2" borderId="2" xfId="0" applyNumberFormat="1" applyFont="1" applyFill="1" applyBorder="1" applyAlignment="1">
      <alignment horizontal="center" wrapText="1"/>
    </xf>
    <xf numFmtId="173" fontId="20" fillId="2" borderId="2" xfId="0" applyNumberFormat="1" applyFont="1" applyFill="1" applyBorder="1" applyAlignment="1">
      <alignment horizontal="center" wrapText="1"/>
    </xf>
    <xf numFmtId="49" fontId="32" fillId="5" borderId="2" xfId="0" applyNumberFormat="1" applyFont="1" applyFill="1" applyBorder="1" applyAlignment="1">
      <alignment horizontal="right"/>
    </xf>
    <xf numFmtId="0" fontId="32" fillId="2" borderId="2" xfId="0" applyFont="1" applyFill="1" applyBorder="1" applyAlignment="1">
      <alignment horizontal="center" wrapText="1"/>
    </xf>
    <xf numFmtId="2" fontId="32" fillId="2" borderId="2" xfId="0" applyNumberFormat="1" applyFont="1" applyFill="1" applyBorder="1" applyAlignment="1">
      <alignment horizontal="center" wrapText="1"/>
    </xf>
    <xf numFmtId="0" fontId="32" fillId="2" borderId="7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73" fontId="19" fillId="2" borderId="2" xfId="0" applyNumberFormat="1" applyFont="1" applyFill="1" applyBorder="1" applyAlignment="1">
      <alignment horizontal="right" wrapText="1"/>
    </xf>
    <xf numFmtId="164" fontId="1" fillId="0" borderId="0" xfId="1" applyFont="1"/>
    <xf numFmtId="0" fontId="38" fillId="2" borderId="0" xfId="0" applyFont="1" applyFill="1"/>
    <xf numFmtId="0" fontId="39" fillId="2" borderId="1" xfId="0" applyFont="1" applyFill="1" applyBorder="1" applyAlignment="1">
      <alignment horizontal="right"/>
    </xf>
    <xf numFmtId="0" fontId="37" fillId="2" borderId="0" xfId="0" applyFont="1" applyFill="1" applyAlignment="1">
      <alignment horizontal="right"/>
    </xf>
    <xf numFmtId="0" fontId="40" fillId="2" borderId="1" xfId="0" applyFont="1" applyFill="1" applyBorder="1" applyAlignment="1">
      <alignment horizontal="right"/>
    </xf>
    <xf numFmtId="171" fontId="38" fillId="2" borderId="0" xfId="200" applyNumberFormat="1" applyFont="1" applyFill="1"/>
    <xf numFmtId="0" fontId="40" fillId="2" borderId="0" xfId="0" applyFont="1" applyFill="1" applyAlignment="1">
      <alignment horizontal="right"/>
    </xf>
    <xf numFmtId="174" fontId="38" fillId="2" borderId="0" xfId="1" applyNumberFormat="1" applyFont="1" applyFill="1"/>
    <xf numFmtId="0" fontId="41" fillId="0" borderId="2" xfId="0" applyFont="1" applyBorder="1" applyAlignment="1">
      <alignment horizontal="right"/>
    </xf>
    <xf numFmtId="16" fontId="41" fillId="2" borderId="2" xfId="0" quotePrefix="1" applyNumberFormat="1" applyFont="1" applyFill="1" applyBorder="1" applyAlignment="1">
      <alignment horizontal="right"/>
    </xf>
    <xf numFmtId="0" fontId="38" fillId="0" borderId="0" xfId="0" applyFont="1"/>
    <xf numFmtId="164" fontId="29" fillId="2" borderId="2" xfId="1" applyFont="1" applyFill="1" applyBorder="1" applyAlignment="1">
      <alignment horizontal="right" vertical="top" wrapText="1"/>
    </xf>
    <xf numFmtId="164" fontId="29" fillId="2" borderId="2" xfId="1" applyFont="1" applyFill="1" applyBorder="1"/>
    <xf numFmtId="4" fontId="29" fillId="2" borderId="2" xfId="0" applyNumberFormat="1" applyFont="1" applyFill="1" applyBorder="1"/>
    <xf numFmtId="4" fontId="29" fillId="2" borderId="2" xfId="0" applyNumberFormat="1" applyFont="1" applyFill="1" applyBorder="1" applyAlignment="1">
      <alignment horizontal="right"/>
    </xf>
    <xf numFmtId="0" fontId="40" fillId="0" borderId="0" xfId="0" applyFont="1" applyBorder="1" applyAlignment="1">
      <alignment horizontal="right"/>
    </xf>
    <xf numFmtId="164" fontId="42" fillId="2" borderId="8" xfId="1" applyFont="1" applyFill="1" applyBorder="1"/>
    <xf numFmtId="43" fontId="38" fillId="0" borderId="0" xfId="200" applyFont="1"/>
    <xf numFmtId="0" fontId="29" fillId="0" borderId="0" xfId="0" applyFont="1"/>
    <xf numFmtId="0" fontId="41" fillId="2" borderId="0" xfId="0" applyFont="1" applyFill="1" applyAlignment="1">
      <alignment horizontal="right"/>
    </xf>
    <xf numFmtId="16" fontId="41" fillId="2" borderId="0" xfId="0" quotePrefix="1" applyNumberFormat="1" applyFont="1" applyFill="1" applyAlignment="1">
      <alignment horizontal="right" wrapText="1"/>
    </xf>
    <xf numFmtId="0" fontId="41" fillId="2" borderId="0" xfId="0" applyFont="1" applyFill="1" applyAlignment="1">
      <alignment horizontal="right" wrapText="1"/>
    </xf>
    <xf numFmtId="2" fontId="29" fillId="0" borderId="0" xfId="0" applyNumberFormat="1" applyFont="1"/>
    <xf numFmtId="43" fontId="29" fillId="0" borderId="0" xfId="200" applyFont="1" applyBorder="1"/>
    <xf numFmtId="164" fontId="29" fillId="0" borderId="0" xfId="1" applyFont="1"/>
    <xf numFmtId="0" fontId="41" fillId="0" borderId="0" xfId="0" applyFont="1" applyAlignment="1">
      <alignment horizontal="right"/>
    </xf>
    <xf numFmtId="16" fontId="41" fillId="2" borderId="0" xfId="0" applyNumberFormat="1" applyFont="1" applyFill="1"/>
    <xf numFmtId="164" fontId="29" fillId="0" borderId="0" xfId="1" applyFont="1" applyBorder="1"/>
    <xf numFmtId="4" fontId="29" fillId="2" borderId="0" xfId="0" applyNumberFormat="1" applyFont="1" applyFill="1"/>
    <xf numFmtId="172" fontId="29" fillId="2" borderId="0" xfId="0" applyNumberFormat="1" applyFont="1" applyFill="1"/>
  </cellXfs>
  <cellStyles count="465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" xfId="464" builtinId="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3659116963828E-2"/>
          <c:y val="0.12704992830139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Oct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Comparison'!$B$5:$B$13</c:f>
              <c:numCache>
                <c:formatCode>_-* #,##0.00_-;\-* #,##0.00_-;_-* "-"??_-;_-@_-</c:formatCode>
                <c:ptCount val="9"/>
                <c:pt idx="0" formatCode="0.00">
                  <c:v>80.026944757741362</c:v>
                </c:pt>
                <c:pt idx="1">
                  <c:v>4358.4102246460734</c:v>
                </c:pt>
                <c:pt idx="2" formatCode="0.00">
                  <c:v>241.31955482041843</c:v>
                </c:pt>
                <c:pt idx="3">
                  <c:v>1893.5907993101837</c:v>
                </c:pt>
                <c:pt idx="4" formatCode="0.00">
                  <c:v>478.51150703533</c:v>
                </c:pt>
                <c:pt idx="5" formatCode="0.00">
                  <c:v>81.002610176752384</c:v>
                </c:pt>
                <c:pt idx="6" formatCode="0.00">
                  <c:v>8.5904539153500004</c:v>
                </c:pt>
                <c:pt idx="7" formatCode="0.00">
                  <c:v>71.698683684129989</c:v>
                </c:pt>
                <c:pt idx="8" formatCode="0.00">
                  <c:v>18.55231161645878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Nov 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Comparison'!$C$5:$C$13</c:f>
              <c:numCache>
                <c:formatCode>_(* #,##0.00_);_(* \(#,##0.00\);_(* "-"??_);_(@_)</c:formatCode>
                <c:ptCount val="9"/>
                <c:pt idx="0">
                  <c:v>76.687557108239986</c:v>
                </c:pt>
                <c:pt idx="1">
                  <c:v>4485.8453789347277</c:v>
                </c:pt>
                <c:pt idx="2">
                  <c:v>241.37287576415</c:v>
                </c:pt>
                <c:pt idx="3">
                  <c:v>1903.5428744500064</c:v>
                </c:pt>
                <c:pt idx="4">
                  <c:v>483.18103508065002</c:v>
                </c:pt>
                <c:pt idx="5">
                  <c:v>80.407918513799999</c:v>
                </c:pt>
                <c:pt idx="6">
                  <c:v>8.1305151032299996</c:v>
                </c:pt>
                <c:pt idx="7">
                  <c:v>74.418607204430003</c:v>
                </c:pt>
                <c:pt idx="8" formatCode="0.00">
                  <c:v>18.6196708478613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ser>
          <c:idx val="2"/>
          <c:order val="2"/>
          <c:tx>
            <c:strRef>
              <c:f>'NAV Comparison'!#REF!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elete val="1"/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9-4376-982D-C0EACFCCD7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51400592"/>
        <c:axId val="148111208"/>
      </c:barChart>
      <c:catAx>
        <c:axId val="25140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8111208"/>
        <c:crosses val="autoZero"/>
        <c:auto val="1"/>
        <c:lblAlgn val="ctr"/>
        <c:lblOffset val="100"/>
        <c:noMultiLvlLbl val="0"/>
      </c:catAx>
      <c:valAx>
        <c:axId val="14811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140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Nov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2.964929024123427E-2"/>
                  <c:y val="-0.1520708413635106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0.1591371302216133"/>
                  <c:y val="4.05882891525260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-0.24575895294875716"/>
                  <c:y val="-2.64829412802723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dLbl>
              <c:idx val="8"/>
              <c:layout>
                <c:manualLayout>
                  <c:x val="-0.19174734845962124"/>
                  <c:y val="-0.344957348471139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612-485C-B4A4-AAD79CF83AD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EQUITY BASED FUNDS</c:v>
                </c:pt>
                <c:pt idx="4">
                  <c:v>BALANCED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_-* #,##0.00_-;\-* #,##0.00_-;_-* "-"??_-;_-@_-</c:formatCode>
                <c:ptCount val="9"/>
                <c:pt idx="0">
                  <c:v>8130515103.2299995</c:v>
                </c:pt>
                <c:pt idx="1">
                  <c:v>18619670847.861301</c:v>
                </c:pt>
                <c:pt idx="2">
                  <c:v>74418607204.430008</c:v>
                </c:pt>
                <c:pt idx="3" formatCode="#,##0.00">
                  <c:v>76687557108.23999</c:v>
                </c:pt>
                <c:pt idx="4" formatCode="#,##0.00">
                  <c:v>80407918513.800003</c:v>
                </c:pt>
                <c:pt idx="5" formatCode="#,##0.00">
                  <c:v>241372875764.14999</c:v>
                </c:pt>
                <c:pt idx="6" formatCode="#,##0.00">
                  <c:v>483181035080.65002</c:v>
                </c:pt>
                <c:pt idx="7" formatCode="#,##0.00">
                  <c:v>1903542874450.0063</c:v>
                </c:pt>
                <c:pt idx="8" formatCode="#,##0.00">
                  <c:v>4485845378934.7275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Unitholders!$A$6:$A$14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Unitholders!$B$6:$B$14</c:f>
              <c:numCache>
                <c:formatCode>_(* #,##0_);_(* \(#,##0\);_(* "-"??_);_(@_)</c:formatCode>
                <c:ptCount val="9"/>
                <c:pt idx="0">
                  <c:v>62717</c:v>
                </c:pt>
                <c:pt idx="1">
                  <c:v>529020</c:v>
                </c:pt>
                <c:pt idx="2">
                  <c:v>51484</c:v>
                </c:pt>
                <c:pt idx="3">
                  <c:v>24890</c:v>
                </c:pt>
                <c:pt idx="4">
                  <c:v>221839</c:v>
                </c:pt>
                <c:pt idx="5">
                  <c:v>75297</c:v>
                </c:pt>
                <c:pt idx="6">
                  <c:v>13062</c:v>
                </c:pt>
                <c:pt idx="7">
                  <c:v>38156</c:v>
                </c:pt>
                <c:pt idx="8" formatCode="_-* #,##0_-;\-* #,##0_-;_-* &quot;-&quot;??_-;_-@_-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328697840"/>
        <c:axId val="251602304"/>
      </c:barChart>
      <c:catAx>
        <c:axId val="32869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CLASSES OF FUNDS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602304"/>
        <c:crosses val="autoZero"/>
        <c:auto val="1"/>
        <c:lblAlgn val="ctr"/>
        <c:lblOffset val="100"/>
        <c:noMultiLvlLbl val="0"/>
      </c:catAx>
      <c:valAx>
        <c:axId val="2516023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2869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137160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39"/>
  <sheetViews>
    <sheetView tabSelected="1" view="pageBreakPreview" zoomScale="108" zoomScaleNormal="70" zoomScaleSheetLayoutView="108" workbookViewId="0">
      <pane ySplit="2" topLeftCell="A3" activePane="bottomLeft" state="frozen"/>
      <selection pane="bottomLeft" activeCell="A3" sqref="A3:V3"/>
    </sheetView>
  </sheetViews>
  <sheetFormatPr defaultColWidth="9" defaultRowHeight="13.8"/>
  <cols>
    <col min="1" max="1" width="6.77734375" style="5" customWidth="1"/>
    <col min="2" max="2" width="44.77734375" style="15" customWidth="1"/>
    <col min="3" max="3" width="43.77734375" style="15" customWidth="1"/>
    <col min="4" max="4" width="21.5546875" style="4" customWidth="1"/>
    <col min="5" max="6" width="19.21875" style="4" customWidth="1"/>
    <col min="7" max="7" width="19.7773437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21875" style="4" customWidth="1"/>
    <col min="15" max="15" width="12.5546875" style="4" customWidth="1"/>
    <col min="16" max="17" width="12.21875" style="4" customWidth="1"/>
    <col min="18" max="18" width="14.44140625" style="4" customWidth="1"/>
    <col min="19" max="19" width="13.21875" style="4" customWidth="1"/>
    <col min="20" max="20" width="16.44140625" style="4" customWidth="1"/>
    <col min="21" max="22" width="20.21875" style="4" customWidth="1"/>
    <col min="23" max="16384" width="9" style="4"/>
  </cols>
  <sheetData>
    <row r="1" spans="1:23" ht="40.049999999999997" customHeight="1">
      <c r="A1" s="109" t="s">
        <v>323</v>
      </c>
      <c r="B1" s="109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5"/>
    </row>
    <row r="2" spans="1:23" ht="48" customHeight="1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3" t="s">
        <v>7</v>
      </c>
      <c r="I2" s="30" t="s">
        <v>320</v>
      </c>
      <c r="J2" s="30" t="s">
        <v>8</v>
      </c>
      <c r="K2" s="30" t="s">
        <v>9</v>
      </c>
      <c r="L2" s="30" t="s">
        <v>8</v>
      </c>
      <c r="M2" s="30" t="s">
        <v>10</v>
      </c>
      <c r="N2" s="30" t="s">
        <v>11</v>
      </c>
      <c r="O2" s="30" t="s">
        <v>12</v>
      </c>
      <c r="P2" s="30" t="s">
        <v>13</v>
      </c>
      <c r="Q2" s="30" t="s">
        <v>14</v>
      </c>
      <c r="R2" s="30" t="s">
        <v>15</v>
      </c>
      <c r="S2" s="30" t="s">
        <v>16</v>
      </c>
      <c r="T2" s="30" t="s">
        <v>17</v>
      </c>
      <c r="U2" s="30" t="s">
        <v>18</v>
      </c>
      <c r="V2" s="30" t="s">
        <v>19</v>
      </c>
    </row>
    <row r="3" spans="1:23" ht="6" customHeight="1">
      <c r="A3" s="111" t="s">
        <v>318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</row>
    <row r="4" spans="1:23" ht="16.5" customHeight="1">
      <c r="A4" s="111" t="s">
        <v>20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</row>
    <row r="5" spans="1:23" ht="15" customHeight="1">
      <c r="A5" s="66">
        <v>1</v>
      </c>
      <c r="B5" s="19" t="s">
        <v>21</v>
      </c>
      <c r="C5" s="19" t="s">
        <v>22</v>
      </c>
      <c r="D5" s="10">
        <v>4021673283.1500001</v>
      </c>
      <c r="E5" s="10">
        <v>23923942.120000001</v>
      </c>
      <c r="F5" s="10">
        <v>1023041102.76</v>
      </c>
      <c r="G5" s="10">
        <v>7148450.2199999997</v>
      </c>
      <c r="H5" s="12">
        <f>(E5+F5)-G5</f>
        <v>1039816594.66</v>
      </c>
      <c r="I5" s="29">
        <v>4462040556.3699999</v>
      </c>
      <c r="J5" s="13">
        <f t="shared" ref="J5:J23" si="0">(I5/$I$24)</f>
        <v>5.5756727560667831E-2</v>
      </c>
      <c r="K5" s="29">
        <v>4022042139.1199999</v>
      </c>
      <c r="L5" s="13">
        <f>(K5/$K$24)</f>
        <v>5.2447128201555872E-2</v>
      </c>
      <c r="M5" s="13">
        <f t="shared" ref="M5:M24" si="1">((K5-I5)/I5)</f>
        <v>-9.8609237565503341E-2</v>
      </c>
      <c r="N5" s="20">
        <f t="shared" ref="N5" si="2">(G5/K5)</f>
        <v>1.7773185791544292E-3</v>
      </c>
      <c r="O5" s="21">
        <f t="shared" ref="O5" si="3">H5/K5</f>
        <v>0.25852951279309716</v>
      </c>
      <c r="P5" s="22">
        <f t="shared" ref="P5" si="4">K5/V5</f>
        <v>580.75234588279318</v>
      </c>
      <c r="Q5" s="22">
        <f t="shared" ref="Q5" si="5">H5/V5</f>
        <v>150.14162103452676</v>
      </c>
      <c r="R5" s="10">
        <v>580.75</v>
      </c>
      <c r="S5" s="10">
        <v>586.04</v>
      </c>
      <c r="T5" s="10">
        <v>1695</v>
      </c>
      <c r="U5" s="10">
        <v>7305531.4400000004</v>
      </c>
      <c r="V5" s="10">
        <v>6925571.9199999999</v>
      </c>
    </row>
    <row r="6" spans="1:23">
      <c r="A6" s="66">
        <v>2</v>
      </c>
      <c r="B6" s="19" t="s">
        <v>23</v>
      </c>
      <c r="C6" s="19" t="s">
        <v>24</v>
      </c>
      <c r="D6" s="10">
        <v>984641794.32000005</v>
      </c>
      <c r="E6" s="10">
        <v>3006539.3</v>
      </c>
      <c r="F6" s="10">
        <v>0</v>
      </c>
      <c r="G6" s="10">
        <v>1501554.47</v>
      </c>
      <c r="H6" s="12">
        <f t="shared" ref="H6:H23" si="6">(E6+F6)-G6</f>
        <v>1504984.8299999998</v>
      </c>
      <c r="I6" s="29">
        <v>1181763568.8099999</v>
      </c>
      <c r="J6" s="13">
        <f t="shared" si="0"/>
        <v>1.4767070920768628E-2</v>
      </c>
      <c r="K6" s="29">
        <v>1124323181.1800001</v>
      </c>
      <c r="L6" s="13">
        <f t="shared" ref="L6:L23" si="7">(K6/$K$24)</f>
        <v>1.4661090059148498E-2</v>
      </c>
      <c r="M6" s="13">
        <f t="shared" ref="M6:M23" si="8">((K6-I6)/I6)</f>
        <v>-4.8605651033768627E-2</v>
      </c>
      <c r="N6" s="20">
        <f t="shared" ref="N6:N23" si="9">(G6/K6)</f>
        <v>1.3355185547487226E-3</v>
      </c>
      <c r="O6" s="21">
        <f t="shared" ref="O6:O23" si="10">H6/K6</f>
        <v>1.3385695991969921E-3</v>
      </c>
      <c r="P6" s="22">
        <f t="shared" ref="P6:P23" si="11">K6/V6</f>
        <v>37.873532401698078</v>
      </c>
      <c r="Q6" s="22">
        <f t="shared" ref="Q6:Q23" si="12">H6/V6</f>
        <v>5.0696359087115291E-2</v>
      </c>
      <c r="R6" s="10">
        <v>385.5</v>
      </c>
      <c r="S6" s="10">
        <v>390.03</v>
      </c>
      <c r="T6" s="10">
        <v>463</v>
      </c>
      <c r="U6" s="10">
        <v>29686009.120000001</v>
      </c>
      <c r="V6" s="10">
        <v>29686250.789999999</v>
      </c>
    </row>
    <row r="7" spans="1:23">
      <c r="A7" s="66">
        <v>3</v>
      </c>
      <c r="B7" s="19" t="s">
        <v>25</v>
      </c>
      <c r="C7" s="88" t="s">
        <v>26</v>
      </c>
      <c r="D7" s="10">
        <v>6141591360.25</v>
      </c>
      <c r="E7" s="10">
        <v>101741418.09</v>
      </c>
      <c r="F7" s="10">
        <v>396324515.76999998</v>
      </c>
      <c r="G7" s="10">
        <v>53082709.229999997</v>
      </c>
      <c r="H7" s="12">
        <f t="shared" si="6"/>
        <v>444983224.63</v>
      </c>
      <c r="I7" s="29">
        <v>6960222307</v>
      </c>
      <c r="J7" s="13">
        <f t="shared" si="0"/>
        <v>8.6973485343843596E-2</v>
      </c>
      <c r="K7" s="29">
        <v>6775281105</v>
      </c>
      <c r="L7" s="13">
        <f t="shared" si="7"/>
        <v>8.8349158070547065E-2</v>
      </c>
      <c r="M7" s="13">
        <f t="shared" si="8"/>
        <v>-2.6571163081098984E-2</v>
      </c>
      <c r="N7" s="20">
        <f t="shared" si="9"/>
        <v>7.8347611571165949E-3</v>
      </c>
      <c r="O7" s="21">
        <f t="shared" si="10"/>
        <v>6.5677455700194148E-2</v>
      </c>
      <c r="P7" s="22">
        <f t="shared" si="11"/>
        <v>50.023823678971034</v>
      </c>
      <c r="Q7" s="22">
        <f t="shared" si="12"/>
        <v>3.2854374636299437</v>
      </c>
      <c r="R7" s="10">
        <v>49.773699999999998</v>
      </c>
      <c r="S7" s="10">
        <v>51.2744</v>
      </c>
      <c r="T7" s="10">
        <v>8265</v>
      </c>
      <c r="U7" s="10">
        <v>132477987</v>
      </c>
      <c r="V7" s="10">
        <v>135441088</v>
      </c>
    </row>
    <row r="8" spans="1:23">
      <c r="A8" s="66">
        <v>4</v>
      </c>
      <c r="B8" s="92" t="s">
        <v>27</v>
      </c>
      <c r="C8" s="92" t="s">
        <v>28</v>
      </c>
      <c r="D8" s="10">
        <v>709632487.84000003</v>
      </c>
      <c r="E8" s="10">
        <v>13045197.359999999</v>
      </c>
      <c r="F8" s="10">
        <v>0</v>
      </c>
      <c r="G8" s="10">
        <v>1691755.64</v>
      </c>
      <c r="H8" s="12">
        <f t="shared" si="6"/>
        <v>11353441.719999999</v>
      </c>
      <c r="I8" s="29">
        <v>1250738458.72</v>
      </c>
      <c r="J8" s="13">
        <f t="shared" si="0"/>
        <v>1.5628966749964682E-2</v>
      </c>
      <c r="K8" s="29">
        <v>1105341311.6900001</v>
      </c>
      <c r="L8" s="13">
        <f t="shared" si="7"/>
        <v>1.4413567902937312E-2</v>
      </c>
      <c r="M8" s="13">
        <f t="shared" si="8"/>
        <v>-0.11624904152927283</v>
      </c>
      <c r="N8" s="20">
        <f t="shared" si="9"/>
        <v>1.5305278307325796E-3</v>
      </c>
      <c r="O8" s="21">
        <f t="shared" si="10"/>
        <v>1.0271435257080252E-2</v>
      </c>
      <c r="P8" s="22">
        <f t="shared" si="11"/>
        <v>237.9732514950951</v>
      </c>
      <c r="Q8" s="22">
        <f t="shared" si="12"/>
        <v>2.4443268456487455</v>
      </c>
      <c r="R8" s="10">
        <v>237.97329999999999</v>
      </c>
      <c r="S8" s="10">
        <v>237.97329999999999</v>
      </c>
      <c r="T8" s="10">
        <v>2264</v>
      </c>
      <c r="U8" s="10">
        <v>4870004.92</v>
      </c>
      <c r="V8" s="10">
        <v>4644813.25</v>
      </c>
    </row>
    <row r="9" spans="1:23">
      <c r="A9" s="66">
        <v>5</v>
      </c>
      <c r="B9" s="19" t="s">
        <v>207</v>
      </c>
      <c r="C9" s="88" t="s">
        <v>103</v>
      </c>
      <c r="D9" s="10">
        <v>2138491271.03</v>
      </c>
      <c r="E9" s="10">
        <v>43766203.93</v>
      </c>
      <c r="F9" s="10">
        <v>-58192359.329999998</v>
      </c>
      <c r="G9" s="10">
        <v>-2870127.85</v>
      </c>
      <c r="H9" s="12">
        <f t="shared" si="6"/>
        <v>-11556027.549999999</v>
      </c>
      <c r="I9" s="29">
        <v>1986982737.6600001</v>
      </c>
      <c r="J9" s="13">
        <f t="shared" si="0"/>
        <v>2.4828921604779751E-2</v>
      </c>
      <c r="K9" s="29">
        <v>2236035348.46</v>
      </c>
      <c r="L9" s="13">
        <f t="shared" si="7"/>
        <v>2.9157733441736413E-2</v>
      </c>
      <c r="M9" s="13">
        <f t="shared" si="8"/>
        <v>0.12534211097037534</v>
      </c>
      <c r="N9" s="20">
        <f t="shared" si="9"/>
        <v>-1.2835789255195413E-3</v>
      </c>
      <c r="O9" s="21">
        <f t="shared" si="10"/>
        <v>-5.1680880438490628E-3</v>
      </c>
      <c r="P9" s="22">
        <f t="shared" si="11"/>
        <v>1.6624925828897752</v>
      </c>
      <c r="Q9" s="22">
        <f t="shared" si="12"/>
        <v>-8.591908040620393E-3</v>
      </c>
      <c r="R9" s="10">
        <v>1.6498999999999999</v>
      </c>
      <c r="S9" s="10">
        <v>1.6696</v>
      </c>
      <c r="T9" s="10">
        <v>963</v>
      </c>
      <c r="U9" s="10">
        <v>1179778289.72</v>
      </c>
      <c r="V9" s="10">
        <v>1344989668.8099999</v>
      </c>
    </row>
    <row r="10" spans="1:23">
      <c r="A10" s="66">
        <v>6</v>
      </c>
      <c r="B10" s="83" t="s">
        <v>206</v>
      </c>
      <c r="C10" s="84" t="s">
        <v>48</v>
      </c>
      <c r="D10" s="10">
        <v>250275319.86000001</v>
      </c>
      <c r="E10" s="10">
        <v>179058.3</v>
      </c>
      <c r="F10" s="17">
        <v>0</v>
      </c>
      <c r="G10" s="10">
        <v>536467.82999999996</v>
      </c>
      <c r="H10" s="12">
        <f t="shared" si="6"/>
        <v>-357409.52999999997</v>
      </c>
      <c r="I10" s="17">
        <v>212565409.81999999</v>
      </c>
      <c r="J10" s="13">
        <f t="shared" si="0"/>
        <v>2.6561729985254447E-3</v>
      </c>
      <c r="K10" s="17">
        <v>247400580.91999999</v>
      </c>
      <c r="L10" s="13">
        <f t="shared" si="7"/>
        <v>3.2260850423336419E-3</v>
      </c>
      <c r="M10" s="13">
        <f t="shared" si="8"/>
        <v>0.16387977295787851</v>
      </c>
      <c r="N10" s="20">
        <f t="shared" si="9"/>
        <v>2.1684178266884241E-3</v>
      </c>
      <c r="O10" s="21">
        <f t="shared" si="10"/>
        <v>-1.4446592189513601E-3</v>
      </c>
      <c r="P10" s="22">
        <f t="shared" si="11"/>
        <v>209.06659078091172</v>
      </c>
      <c r="Q10" s="22">
        <f t="shared" si="12"/>
        <v>-0.30202997774637558</v>
      </c>
      <c r="R10" s="10">
        <v>209.06659999999999</v>
      </c>
      <c r="S10" s="10">
        <v>219.66210000000001</v>
      </c>
      <c r="T10" s="10">
        <v>88</v>
      </c>
      <c r="U10" s="10">
        <v>967692.79</v>
      </c>
      <c r="V10" s="10">
        <v>1183357.8</v>
      </c>
    </row>
    <row r="11" spans="1:23">
      <c r="A11" s="66">
        <v>7</v>
      </c>
      <c r="B11" s="19" t="s">
        <v>29</v>
      </c>
      <c r="C11" s="19" t="s">
        <v>30</v>
      </c>
      <c r="D11" s="10">
        <v>2669110690.6199999</v>
      </c>
      <c r="E11" s="10">
        <v>6941303.0499999998</v>
      </c>
      <c r="F11" s="10">
        <v>93182506.25</v>
      </c>
      <c r="G11" s="10">
        <v>4559936.51</v>
      </c>
      <c r="H11" s="12">
        <f t="shared" si="6"/>
        <v>95563872.789999992</v>
      </c>
      <c r="I11" s="29">
        <v>2774924549.3099999</v>
      </c>
      <c r="J11" s="13">
        <f t="shared" si="0"/>
        <v>3.4674878039019093E-2</v>
      </c>
      <c r="K11" s="29">
        <v>2601065879.46</v>
      </c>
      <c r="L11" s="13">
        <f t="shared" si="7"/>
        <v>3.3917704221412971E-2</v>
      </c>
      <c r="M11" s="13">
        <f t="shared" si="8"/>
        <v>-6.2653476431721644E-2</v>
      </c>
      <c r="N11" s="20">
        <f t="shared" si="9"/>
        <v>1.7531030436440445E-3</v>
      </c>
      <c r="O11" s="21">
        <f t="shared" si="10"/>
        <v>3.6740273879506555E-2</v>
      </c>
      <c r="P11" s="22">
        <f t="shared" si="11"/>
        <v>429.70911774799663</v>
      </c>
      <c r="Q11" s="22">
        <f t="shared" si="12"/>
        <v>15.787630674582529</v>
      </c>
      <c r="R11" s="10">
        <v>429.71</v>
      </c>
      <c r="S11" s="10">
        <v>435.92</v>
      </c>
      <c r="T11" s="10">
        <v>1850</v>
      </c>
      <c r="U11" s="10">
        <v>5558726.0700000003</v>
      </c>
      <c r="V11" s="10">
        <v>6053085.1500000004</v>
      </c>
    </row>
    <row r="12" spans="1:23">
      <c r="A12" s="66">
        <v>8</v>
      </c>
      <c r="B12" s="19" t="s">
        <v>31</v>
      </c>
      <c r="C12" s="88" t="s">
        <v>32</v>
      </c>
      <c r="D12" s="10">
        <v>504781623.88999999</v>
      </c>
      <c r="E12" s="10">
        <v>3355890.04</v>
      </c>
      <c r="F12" s="10">
        <v>0</v>
      </c>
      <c r="G12" s="10">
        <v>1620126.45</v>
      </c>
      <c r="H12" s="12">
        <f t="shared" si="6"/>
        <v>1735763.59</v>
      </c>
      <c r="I12" s="29">
        <v>473716779.17000002</v>
      </c>
      <c r="J12" s="13">
        <f t="shared" si="0"/>
        <v>5.9194660074059031E-3</v>
      </c>
      <c r="K12" s="29">
        <v>488451872.72000003</v>
      </c>
      <c r="L12" s="13">
        <f t="shared" si="7"/>
        <v>6.3693758301699302E-3</v>
      </c>
      <c r="M12" s="13">
        <f t="shared" si="8"/>
        <v>3.1105281041168512E-2</v>
      </c>
      <c r="N12" s="20">
        <f t="shared" si="9"/>
        <v>3.3168599415499028E-3</v>
      </c>
      <c r="O12" s="21">
        <f t="shared" si="10"/>
        <v>3.5536020782031244E-3</v>
      </c>
      <c r="P12" s="22">
        <f t="shared" si="11"/>
        <v>243.06783963804455</v>
      </c>
      <c r="Q12" s="22">
        <f t="shared" si="12"/>
        <v>0.86376638008209883</v>
      </c>
      <c r="R12" s="10">
        <v>243.07</v>
      </c>
      <c r="S12" s="10">
        <v>253.32</v>
      </c>
      <c r="T12" s="10">
        <v>2475</v>
      </c>
      <c r="U12" s="10">
        <v>2009529</v>
      </c>
      <c r="V12" s="10">
        <v>2009529</v>
      </c>
    </row>
    <row r="13" spans="1:23">
      <c r="A13" s="66">
        <v>9</v>
      </c>
      <c r="B13" s="19" t="s">
        <v>33</v>
      </c>
      <c r="C13" s="19" t="s">
        <v>34</v>
      </c>
      <c r="D13" s="10">
        <v>71460068.180000007</v>
      </c>
      <c r="E13" s="10">
        <v>2257926.21</v>
      </c>
      <c r="F13" s="10">
        <v>1798998.09</v>
      </c>
      <c r="G13" s="10">
        <v>1746125.67</v>
      </c>
      <c r="H13" s="12">
        <f t="shared" si="6"/>
        <v>2310798.63</v>
      </c>
      <c r="I13" s="29">
        <v>92729546.049999997</v>
      </c>
      <c r="J13" s="13">
        <f t="shared" si="0"/>
        <v>1.158729054704164E-3</v>
      </c>
      <c r="K13" s="29">
        <v>86956728.799999997</v>
      </c>
      <c r="L13" s="13">
        <f t="shared" si="7"/>
        <v>1.1339092295933443E-3</v>
      </c>
      <c r="M13" s="13">
        <f t="shared" si="8"/>
        <v>-6.2254346062335764E-2</v>
      </c>
      <c r="N13" s="20">
        <f t="shared" si="9"/>
        <v>2.0080397389557737E-2</v>
      </c>
      <c r="O13" s="21">
        <f t="shared" si="10"/>
        <v>2.6574120966703155E-2</v>
      </c>
      <c r="P13" s="22">
        <f t="shared" si="11"/>
        <v>313.74667235973288</v>
      </c>
      <c r="Q13" s="22">
        <f t="shared" si="12"/>
        <v>8.3375420241881226</v>
      </c>
      <c r="R13" s="10">
        <v>309.44</v>
      </c>
      <c r="S13" s="10">
        <v>317.42</v>
      </c>
      <c r="T13" s="10">
        <v>23</v>
      </c>
      <c r="U13" s="10">
        <v>276403.03000000003</v>
      </c>
      <c r="V13" s="10">
        <v>277155.86</v>
      </c>
      <c r="W13" s="6"/>
    </row>
    <row r="14" spans="1:23">
      <c r="A14" s="66">
        <v>10</v>
      </c>
      <c r="B14" s="88" t="s">
        <v>35</v>
      </c>
      <c r="C14" s="88" t="s">
        <v>36</v>
      </c>
      <c r="D14" s="10">
        <v>2734039070.2199998</v>
      </c>
      <c r="E14" s="10">
        <v>8726486.6699999999</v>
      </c>
      <c r="F14" s="10">
        <v>132168070.33</v>
      </c>
      <c r="G14" s="10">
        <v>4785346.76</v>
      </c>
      <c r="H14" s="12">
        <f t="shared" si="6"/>
        <v>136109210.24000001</v>
      </c>
      <c r="I14" s="29">
        <v>2788484852.52</v>
      </c>
      <c r="J14" s="13">
        <f t="shared" si="0"/>
        <v>3.4844324757884217E-2</v>
      </c>
      <c r="K14" s="29">
        <v>2650773412.9200001</v>
      </c>
      <c r="L14" s="13">
        <f t="shared" si="7"/>
        <v>3.4565886734122836E-2</v>
      </c>
      <c r="M14" s="13">
        <f t="shared" si="8"/>
        <v>-4.938575853318615E-2</v>
      </c>
      <c r="N14" s="20">
        <f t="shared" si="9"/>
        <v>1.805264356687744E-3</v>
      </c>
      <c r="O14" s="21">
        <f t="shared" si="10"/>
        <v>5.1346980310198159E-2</v>
      </c>
      <c r="P14" s="22">
        <f t="shared" si="11"/>
        <v>3.7367328645498534</v>
      </c>
      <c r="Q14" s="22">
        <f t="shared" si="12"/>
        <v>0.19186994882051167</v>
      </c>
      <c r="R14" s="10">
        <v>3.78</v>
      </c>
      <c r="S14" s="10">
        <v>3.81</v>
      </c>
      <c r="T14" s="10">
        <v>2639</v>
      </c>
      <c r="U14" s="10">
        <v>690037574.25</v>
      </c>
      <c r="V14" s="10">
        <v>709382636.91999996</v>
      </c>
    </row>
    <row r="15" spans="1:23">
      <c r="A15" s="66">
        <v>11</v>
      </c>
      <c r="B15" s="83" t="s">
        <v>251</v>
      </c>
      <c r="C15" s="84" t="s">
        <v>274</v>
      </c>
      <c r="D15" s="17">
        <v>9048901.9199999999</v>
      </c>
      <c r="E15" s="10">
        <v>13380062.35</v>
      </c>
      <c r="F15" s="10">
        <v>791878.54</v>
      </c>
      <c r="G15" s="10">
        <v>246234.02</v>
      </c>
      <c r="H15" s="12">
        <f t="shared" si="6"/>
        <v>13925706.870000001</v>
      </c>
      <c r="I15" s="17">
        <v>114532116.03</v>
      </c>
      <c r="J15" s="13">
        <f t="shared" si="0"/>
        <v>1.4311694189589913E-3</v>
      </c>
      <c r="K15" s="17">
        <v>116590786.59999999</v>
      </c>
      <c r="L15" s="13">
        <f t="shared" si="7"/>
        <v>1.5203351234078161E-3</v>
      </c>
      <c r="M15" s="13">
        <f t="shared" si="8"/>
        <v>1.7974613945495904E-2</v>
      </c>
      <c r="N15" s="20">
        <f t="shared" si="9"/>
        <v>2.1119509283763593E-3</v>
      </c>
      <c r="O15" s="21">
        <f t="shared" si="10"/>
        <v>0.11944088616346982</v>
      </c>
      <c r="P15" s="22">
        <f t="shared" si="11"/>
        <v>25.755918994547308</v>
      </c>
      <c r="Q15" s="22">
        <f t="shared" si="12"/>
        <v>3.0763097886632749</v>
      </c>
      <c r="R15" s="10">
        <v>25.755913</v>
      </c>
      <c r="S15" s="10">
        <v>26.184792999999999</v>
      </c>
      <c r="T15" s="10">
        <v>79</v>
      </c>
      <c r="U15" s="17">
        <v>4419783</v>
      </c>
      <c r="V15" s="17">
        <v>4526757</v>
      </c>
    </row>
    <row r="16" spans="1:23">
      <c r="A16" s="66">
        <v>12</v>
      </c>
      <c r="B16" s="19" t="s">
        <v>37</v>
      </c>
      <c r="C16" s="88" t="s">
        <v>38</v>
      </c>
      <c r="D16" s="10">
        <v>2551361235.1399999</v>
      </c>
      <c r="E16" s="10">
        <v>18284213.620000001</v>
      </c>
      <c r="F16" s="10">
        <v>0</v>
      </c>
      <c r="G16" s="10">
        <v>4441396.24</v>
      </c>
      <c r="H16" s="12">
        <f t="shared" si="6"/>
        <v>13842817.380000001</v>
      </c>
      <c r="I16" s="29">
        <v>2632487190.3800001</v>
      </c>
      <c r="J16" s="13">
        <f t="shared" si="0"/>
        <v>3.289501052863008E-2</v>
      </c>
      <c r="K16" s="29">
        <v>2533634033.3800001</v>
      </c>
      <c r="L16" s="13">
        <f t="shared" si="7"/>
        <v>3.303839799987271E-2</v>
      </c>
      <c r="M16" s="13">
        <f t="shared" si="8"/>
        <v>-3.7551239512671863E-2</v>
      </c>
      <c r="N16" s="20">
        <f t="shared" si="9"/>
        <v>1.7529746528053009E-3</v>
      </c>
      <c r="O16" s="21">
        <f t="shared" si="10"/>
        <v>5.4636215008262105E-3</v>
      </c>
      <c r="P16" s="22">
        <f t="shared" si="11"/>
        <v>5.2627865006304484</v>
      </c>
      <c r="Q16" s="22">
        <f t="shared" si="12"/>
        <v>2.8753873479102448E-2</v>
      </c>
      <c r="R16" s="10">
        <v>5.19</v>
      </c>
      <c r="S16" s="10">
        <v>5.29</v>
      </c>
      <c r="T16" s="10">
        <v>3701</v>
      </c>
      <c r="U16" s="10">
        <v>480324997</v>
      </c>
      <c r="V16" s="10">
        <v>481424438</v>
      </c>
    </row>
    <row r="17" spans="1:23">
      <c r="A17" s="66">
        <v>13</v>
      </c>
      <c r="B17" s="19" t="s">
        <v>39</v>
      </c>
      <c r="C17" s="19" t="s">
        <v>40</v>
      </c>
      <c r="D17" s="10">
        <v>3792513054.8200002</v>
      </c>
      <c r="E17" s="10">
        <v>24895957.789999999</v>
      </c>
      <c r="F17" s="10">
        <v>203060879.15000001</v>
      </c>
      <c r="G17" s="10">
        <v>5404487.3499999996</v>
      </c>
      <c r="H17" s="12">
        <f t="shared" si="6"/>
        <v>222552349.59</v>
      </c>
      <c r="I17" s="29">
        <v>4076837942.8800001</v>
      </c>
      <c r="J17" s="13">
        <f t="shared" si="0"/>
        <v>5.0943316094616109E-2</v>
      </c>
      <c r="K17" s="29">
        <v>3935180292.7800002</v>
      </c>
      <c r="L17" s="13">
        <f t="shared" si="7"/>
        <v>5.1314456232133251E-2</v>
      </c>
      <c r="M17" s="13">
        <f t="shared" si="8"/>
        <v>-3.4746941645644298E-2</v>
      </c>
      <c r="N17" s="20">
        <f t="shared" si="9"/>
        <v>1.3733773163877099E-3</v>
      </c>
      <c r="O17" s="21">
        <f t="shared" si="10"/>
        <v>5.6554549736469215E-2</v>
      </c>
      <c r="P17" s="22">
        <f t="shared" si="11"/>
        <v>32.337806252280252</v>
      </c>
      <c r="Q17" s="22">
        <f t="shared" si="12"/>
        <v>1.8288500720628884</v>
      </c>
      <c r="R17" s="10">
        <v>31.75</v>
      </c>
      <c r="S17" s="10">
        <v>31.84</v>
      </c>
      <c r="T17" s="10">
        <v>1028</v>
      </c>
      <c r="U17" s="10">
        <v>121058764.29000001</v>
      </c>
      <c r="V17" s="10">
        <v>121689772.70999999</v>
      </c>
    </row>
    <row r="18" spans="1:23">
      <c r="A18" s="66">
        <v>14</v>
      </c>
      <c r="B18" s="92" t="s">
        <v>41</v>
      </c>
      <c r="C18" s="92" t="s">
        <v>42</v>
      </c>
      <c r="D18" s="10">
        <v>168981549.56</v>
      </c>
      <c r="E18" s="10">
        <v>3068054.71</v>
      </c>
      <c r="F18" s="10">
        <v>99399206.519999996</v>
      </c>
      <c r="G18" s="10">
        <v>306336.46000000002</v>
      </c>
      <c r="H18" s="12">
        <f>(E18+F18)-G18</f>
        <v>102160924.77</v>
      </c>
      <c r="I18" s="29">
        <v>193266839.91</v>
      </c>
      <c r="J18" s="13">
        <f t="shared" si="0"/>
        <v>2.4150220965583522E-3</v>
      </c>
      <c r="K18" s="29">
        <v>175244295.50999999</v>
      </c>
      <c r="L18" s="13">
        <f t="shared" si="7"/>
        <v>2.2851724858395598E-3</v>
      </c>
      <c r="M18" s="13">
        <f t="shared" si="8"/>
        <v>-9.3252129586186117E-2</v>
      </c>
      <c r="N18" s="20">
        <f t="shared" si="9"/>
        <v>1.7480538188617929E-3</v>
      </c>
      <c r="O18" s="21">
        <f t="shared" si="10"/>
        <v>0.58296291170385273</v>
      </c>
      <c r="P18" s="22">
        <f t="shared" si="11"/>
        <v>1.8831029259411127</v>
      </c>
      <c r="Q18" s="22">
        <f t="shared" si="12"/>
        <v>1.0977791647446755</v>
      </c>
      <c r="R18" s="10">
        <v>1.83</v>
      </c>
      <c r="S18" s="10">
        <v>1.91</v>
      </c>
      <c r="T18" s="10">
        <v>26</v>
      </c>
      <c r="U18" s="10">
        <v>93061453.569999993</v>
      </c>
      <c r="V18" s="10">
        <v>93061453.569999993</v>
      </c>
    </row>
    <row r="19" spans="1:23">
      <c r="A19" s="66">
        <v>15</v>
      </c>
      <c r="B19" s="19" t="s">
        <v>43</v>
      </c>
      <c r="C19" s="19" t="s">
        <v>44</v>
      </c>
      <c r="D19" s="10">
        <v>7530657482.6400003</v>
      </c>
      <c r="E19" s="10">
        <v>154382420.91</v>
      </c>
      <c r="F19" s="10">
        <v>474904903.80000001</v>
      </c>
      <c r="G19" s="10">
        <v>13493977.9</v>
      </c>
      <c r="H19" s="12">
        <f t="shared" si="6"/>
        <v>615793346.81000006</v>
      </c>
      <c r="I19" s="29">
        <v>8414105882.8999996</v>
      </c>
      <c r="J19" s="13">
        <f t="shared" si="0"/>
        <v>0.10514091108152752</v>
      </c>
      <c r="K19" s="29">
        <v>7500456244.96</v>
      </c>
      <c r="L19" s="13">
        <f t="shared" si="7"/>
        <v>9.7805387572504704E-2</v>
      </c>
      <c r="M19" s="13">
        <f t="shared" si="8"/>
        <v>-0.10858546952645452</v>
      </c>
      <c r="N19" s="20">
        <f t="shared" si="9"/>
        <v>1.7990876100460425E-3</v>
      </c>
      <c r="O19" s="21">
        <f t="shared" si="10"/>
        <v>8.2100785165407503E-2</v>
      </c>
      <c r="P19" s="22">
        <f t="shared" si="11"/>
        <v>48.085097630402828</v>
      </c>
      <c r="Q19" s="22">
        <f t="shared" si="12"/>
        <v>3.9478242702113482</v>
      </c>
      <c r="R19" s="10">
        <v>48.085099999999997</v>
      </c>
      <c r="S19" s="10">
        <v>48.268900000000002</v>
      </c>
      <c r="T19" s="10">
        <v>13750</v>
      </c>
      <c r="U19" s="10">
        <v>165935947</v>
      </c>
      <c r="V19" s="10">
        <v>155982968</v>
      </c>
    </row>
    <row r="20" spans="1:23">
      <c r="A20" s="66">
        <v>16</v>
      </c>
      <c r="B20" s="88" t="s">
        <v>45</v>
      </c>
      <c r="C20" s="19" t="s">
        <v>46</v>
      </c>
      <c r="D20" s="10">
        <v>1398913424.7</v>
      </c>
      <c r="E20" s="10">
        <v>5336023.1399999997</v>
      </c>
      <c r="F20" s="10">
        <v>47762309.399999999</v>
      </c>
      <c r="G20" s="10">
        <v>1678071.37</v>
      </c>
      <c r="H20" s="12">
        <f>(E20+F20)-G20</f>
        <v>51420261.170000002</v>
      </c>
      <c r="I20" s="29">
        <v>1550792209.8099999</v>
      </c>
      <c r="J20" s="13">
        <f t="shared" si="0"/>
        <v>1.9378375802107387E-2</v>
      </c>
      <c r="K20" s="29">
        <v>1496960518.6400001</v>
      </c>
      <c r="L20" s="13">
        <f t="shared" si="7"/>
        <v>1.9520253025234954E-2</v>
      </c>
      <c r="M20" s="13">
        <f t="shared" si="8"/>
        <v>-3.4712381729461478E-2</v>
      </c>
      <c r="N20" s="20">
        <f t="shared" si="9"/>
        <v>1.1209857234742173E-3</v>
      </c>
      <c r="O20" s="21">
        <f t="shared" si="10"/>
        <v>3.4349777786200866E-2</v>
      </c>
      <c r="P20" s="22">
        <f t="shared" si="11"/>
        <v>12245.592686284346</v>
      </c>
      <c r="Q20" s="22">
        <f t="shared" si="12"/>
        <v>420.63338763419381</v>
      </c>
      <c r="R20" s="10">
        <v>12147.91</v>
      </c>
      <c r="S20" s="10">
        <v>12312.54</v>
      </c>
      <c r="T20" s="10">
        <v>29</v>
      </c>
      <c r="U20" s="10">
        <v>123110.37</v>
      </c>
      <c r="V20" s="10">
        <v>122244.84</v>
      </c>
    </row>
    <row r="21" spans="1:23">
      <c r="A21" s="105">
        <v>17</v>
      </c>
      <c r="B21" s="19" t="s">
        <v>47</v>
      </c>
      <c r="C21" s="19" t="s">
        <v>46</v>
      </c>
      <c r="D21" s="10">
        <v>23749762591.459999</v>
      </c>
      <c r="E21" s="10">
        <v>108765714.16</v>
      </c>
      <c r="F21" s="10">
        <v>538147996.5</v>
      </c>
      <c r="G21" s="10">
        <v>65988534.840000004</v>
      </c>
      <c r="H21" s="12">
        <f t="shared" si="6"/>
        <v>580925175.81999993</v>
      </c>
      <c r="I21" s="29">
        <v>24781239957.529999</v>
      </c>
      <c r="J21" s="13">
        <f t="shared" si="0"/>
        <v>0.30966120264303604</v>
      </c>
      <c r="K21" s="29">
        <v>24399199651.23</v>
      </c>
      <c r="L21" s="13">
        <f t="shared" si="7"/>
        <v>0.3181637356995472</v>
      </c>
      <c r="M21" s="13">
        <f t="shared" si="8"/>
        <v>-1.5416512932958098E-2</v>
      </c>
      <c r="N21" s="20">
        <f t="shared" si="9"/>
        <v>2.7045368611782897E-3</v>
      </c>
      <c r="O21" s="21">
        <f t="shared" si="10"/>
        <v>2.3809189814581262E-2</v>
      </c>
      <c r="P21" s="22">
        <f t="shared" si="11"/>
        <v>41403.466156044495</v>
      </c>
      <c r="Q21" s="22">
        <f t="shared" si="12"/>
        <v>985.78298469085451</v>
      </c>
      <c r="R21" s="10">
        <v>41073.879999999997</v>
      </c>
      <c r="S21" s="10">
        <v>41629.35</v>
      </c>
      <c r="T21" s="10">
        <v>19782</v>
      </c>
      <c r="U21" s="10">
        <v>587036.64</v>
      </c>
      <c r="V21" s="10">
        <v>589303.31000000006</v>
      </c>
    </row>
    <row r="22" spans="1:23">
      <c r="A22" s="66">
        <v>18</v>
      </c>
      <c r="B22" s="19" t="s">
        <v>49</v>
      </c>
      <c r="C22" s="19" t="s">
        <v>50</v>
      </c>
      <c r="D22" s="10">
        <v>5095899235</v>
      </c>
      <c r="E22" s="10">
        <v>22791546</v>
      </c>
      <c r="F22" s="10">
        <v>291212947.1699996</v>
      </c>
      <c r="G22" s="10">
        <v>10007626</v>
      </c>
      <c r="H22" s="12">
        <f t="shared" ref="H22" si="13">(E22+F22)-G22</f>
        <v>303996867.1699996</v>
      </c>
      <c r="I22" s="29">
        <v>6424464866.4513702</v>
      </c>
      <c r="J22" s="13">
        <f t="shared" si="0"/>
        <v>8.0278772179790139E-2</v>
      </c>
      <c r="K22" s="29">
        <v>6136504845</v>
      </c>
      <c r="L22" s="13">
        <f t="shared" si="7"/>
        <v>8.0019563491097817E-2</v>
      </c>
      <c r="M22" s="13">
        <f t="shared" si="8"/>
        <v>-4.4822413607567661E-2</v>
      </c>
      <c r="N22" s="20">
        <f t="shared" si="9"/>
        <v>1.6308348567758688E-3</v>
      </c>
      <c r="O22" s="21">
        <f t="shared" si="10"/>
        <v>4.9539090222945892E-2</v>
      </c>
      <c r="P22" s="22">
        <f t="shared" si="11"/>
        <v>1.8826938076093693</v>
      </c>
      <c r="Q22" s="22">
        <f t="shared" si="12"/>
        <v>9.3266938397342083E-2</v>
      </c>
      <c r="R22" s="10">
        <v>1.88</v>
      </c>
      <c r="S22" s="10">
        <v>1.9</v>
      </c>
      <c r="T22" s="10">
        <v>3520</v>
      </c>
      <c r="U22" s="10">
        <v>3298214955</v>
      </c>
      <c r="V22" s="10">
        <v>3259427964.4400001</v>
      </c>
    </row>
    <row r="23" spans="1:23">
      <c r="A23" s="66">
        <v>19</v>
      </c>
      <c r="B23" s="84" t="s">
        <v>252</v>
      </c>
      <c r="C23" s="84" t="s">
        <v>253</v>
      </c>
      <c r="D23" s="10">
        <v>9223047269.25</v>
      </c>
      <c r="E23" s="10">
        <v>46478311.960000001</v>
      </c>
      <c r="F23" s="10">
        <v>447516647.51999998</v>
      </c>
      <c r="G23" s="10">
        <v>18677331.559999999</v>
      </c>
      <c r="H23" s="12">
        <f t="shared" si="6"/>
        <v>475317627.91999996</v>
      </c>
      <c r="I23" s="29">
        <v>9655048986.4200001</v>
      </c>
      <c r="J23" s="13">
        <f t="shared" si="0"/>
        <v>0.12064747711721213</v>
      </c>
      <c r="K23" s="29">
        <v>9056114879.8700008</v>
      </c>
      <c r="L23" s="13">
        <f t="shared" si="7"/>
        <v>0.11809105963680426</v>
      </c>
      <c r="M23" s="13">
        <f t="shared" si="8"/>
        <v>-6.2033254040700446E-2</v>
      </c>
      <c r="N23" s="20">
        <f t="shared" si="9"/>
        <v>2.0624000255911185E-3</v>
      </c>
      <c r="O23" s="21">
        <f t="shared" si="10"/>
        <v>5.248582137319608E-2</v>
      </c>
      <c r="P23" s="22">
        <f t="shared" si="11"/>
        <v>203.89197464418422</v>
      </c>
      <c r="Q23" s="22">
        <f t="shared" si="12"/>
        <v>10.701437760602877</v>
      </c>
      <c r="R23" s="10">
        <v>201.87</v>
      </c>
      <c r="S23" s="10">
        <v>205.29</v>
      </c>
      <c r="T23" s="10">
        <v>77</v>
      </c>
      <c r="U23" s="10">
        <v>45205181</v>
      </c>
      <c r="V23" s="10">
        <v>44416240</v>
      </c>
    </row>
    <row r="24" spans="1:23">
      <c r="A24" s="112" t="s">
        <v>51</v>
      </c>
      <c r="B24" s="112"/>
      <c r="C24" s="112"/>
      <c r="D24" s="112"/>
      <c r="E24" s="112"/>
      <c r="F24" s="112"/>
      <c r="G24" s="112"/>
      <c r="H24" s="112"/>
      <c r="I24" s="34">
        <f>SUM(I5:I23)</f>
        <v>80026944757.741364</v>
      </c>
      <c r="J24" s="35">
        <f>(I24/$I$237)</f>
        <v>1.1066126991416212E-2</v>
      </c>
      <c r="K24" s="55">
        <f>SUM(K5:K23)</f>
        <v>76687557108.23999</v>
      </c>
      <c r="L24" s="35">
        <f>(K24/$K$237)</f>
        <v>1.0402253084624953E-2</v>
      </c>
      <c r="M24" s="35">
        <f t="shared" si="1"/>
        <v>-4.1728291135072218E-2</v>
      </c>
      <c r="N24" s="20"/>
      <c r="O24" s="20"/>
      <c r="P24" s="36"/>
      <c r="Q24" s="36"/>
      <c r="R24" s="37"/>
      <c r="S24" s="37"/>
      <c r="T24" s="37">
        <f>SUM(T5:T23)</f>
        <v>62717</v>
      </c>
      <c r="U24" s="37"/>
      <c r="V24" s="37"/>
    </row>
    <row r="25" spans="1:23" ht="6" customHeight="1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5"/>
    </row>
    <row r="26" spans="1:23">
      <c r="A26" s="111" t="s">
        <v>52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</row>
    <row r="27" spans="1:23" ht="13.05" customHeight="1">
      <c r="A27" s="66">
        <v>20</v>
      </c>
      <c r="B27" s="19" t="s">
        <v>53</v>
      </c>
      <c r="C27" s="19" t="s">
        <v>22</v>
      </c>
      <c r="D27" s="10">
        <v>5680345568.8699999</v>
      </c>
      <c r="E27" s="10">
        <v>80688527.900000006</v>
      </c>
      <c r="F27" s="10">
        <v>0</v>
      </c>
      <c r="G27" s="10">
        <v>9929459.7200000007</v>
      </c>
      <c r="H27" s="12">
        <f>(E27+F27)-G27</f>
        <v>70759068.180000007</v>
      </c>
      <c r="I27" s="45">
        <v>5080689941.8299999</v>
      </c>
      <c r="J27" s="13">
        <f t="shared" ref="J27:J68" si="14">(I27/$I$69)</f>
        <v>1.1657209119737186E-3</v>
      </c>
      <c r="K27" s="45">
        <v>5528171850.7200003</v>
      </c>
      <c r="L27" s="13">
        <f t="shared" ref="L27" si="15">(K27/$K$69)</f>
        <v>1.2323589833657615E-3</v>
      </c>
      <c r="M27" s="13">
        <f t="shared" ref="M27:M69" si="16">((K27-I27)/I27)</f>
        <v>8.807502800078823E-2</v>
      </c>
      <c r="N27" s="20">
        <f t="shared" ref="N27" si="17">(G27/K27)</f>
        <v>1.796156123241134E-3</v>
      </c>
      <c r="O27" s="21">
        <f t="shared" ref="O27" si="18">H27/K27</f>
        <v>1.2799722962806266E-2</v>
      </c>
      <c r="P27" s="24">
        <f t="shared" ref="P27" si="19">K27/V27</f>
        <v>100.21636037277514</v>
      </c>
      <c r="Q27" s="24">
        <f t="shared" ref="Q27" si="20">H27/V27</f>
        <v>1.2827416491122781</v>
      </c>
      <c r="R27" s="10">
        <v>100</v>
      </c>
      <c r="S27" s="10">
        <v>100</v>
      </c>
      <c r="T27" s="10">
        <v>892</v>
      </c>
      <c r="U27" s="18">
        <v>50688314</v>
      </c>
      <c r="V27" s="18">
        <v>55162369</v>
      </c>
    </row>
    <row r="28" spans="1:23" ht="15" customHeight="1">
      <c r="A28" s="105">
        <v>21</v>
      </c>
      <c r="B28" s="19" t="s">
        <v>54</v>
      </c>
      <c r="C28" s="19" t="s">
        <v>55</v>
      </c>
      <c r="D28" s="10">
        <v>31178856618.18</v>
      </c>
      <c r="E28" s="10">
        <v>521086497.16000003</v>
      </c>
      <c r="F28" s="10">
        <v>0</v>
      </c>
      <c r="G28" s="10">
        <v>48305390.630000003</v>
      </c>
      <c r="H28" s="12">
        <f t="shared" ref="H28:H68" si="21">(E28+F28)-G28</f>
        <v>472781106.53000003</v>
      </c>
      <c r="I28" s="45">
        <v>29240331630.490002</v>
      </c>
      <c r="J28" s="13">
        <f t="shared" si="14"/>
        <v>6.7089443451515572E-3</v>
      </c>
      <c r="K28" s="45">
        <v>31700757833.400002</v>
      </c>
      <c r="L28" s="13">
        <f t="shared" ref="L28:L68" si="22">(K28/$K$69)</f>
        <v>7.0668413990069611E-3</v>
      </c>
      <c r="M28" s="13">
        <f t="shared" ref="M28:M68" si="23">((K28-I28)/I28)</f>
        <v>8.414494862788835E-2</v>
      </c>
      <c r="N28" s="20">
        <f t="shared" ref="N28:N68" si="24">(G28/K28)</f>
        <v>1.5237929289849757E-3</v>
      </c>
      <c r="O28" s="21">
        <f t="shared" ref="O28:O68" si="25">H28/K28</f>
        <v>1.4913873952624458E-2</v>
      </c>
      <c r="P28" s="24">
        <f t="shared" ref="P28:P68" si="26">K28/V28</f>
        <v>103.4785131432126</v>
      </c>
      <c r="Q28" s="24">
        <f t="shared" ref="Q28:Q68" si="27">H28/V28</f>
        <v>1.5432655018228658</v>
      </c>
      <c r="R28" s="10">
        <v>100</v>
      </c>
      <c r="S28" s="10">
        <v>100</v>
      </c>
      <c r="T28" s="10">
        <v>3698</v>
      </c>
      <c r="U28" s="18">
        <v>287676294.97000003</v>
      </c>
      <c r="V28" s="18">
        <v>306351114.55000001</v>
      </c>
    </row>
    <row r="29" spans="1:23">
      <c r="A29" s="66">
        <v>22</v>
      </c>
      <c r="B29" s="19" t="s">
        <v>56</v>
      </c>
      <c r="C29" s="19" t="s">
        <v>24</v>
      </c>
      <c r="D29" s="10">
        <v>2504993257.6500001</v>
      </c>
      <c r="E29" s="10">
        <v>39491292.310000002</v>
      </c>
      <c r="F29" s="10">
        <v>0</v>
      </c>
      <c r="G29" s="10">
        <v>3217879.32</v>
      </c>
      <c r="H29" s="12">
        <f t="shared" si="21"/>
        <v>36273412.990000002</v>
      </c>
      <c r="I29" s="45">
        <v>2536936192.9699998</v>
      </c>
      <c r="J29" s="13">
        <f t="shared" si="14"/>
        <v>5.8207834100242658E-4</v>
      </c>
      <c r="K29" s="45">
        <v>2498293481.1199999</v>
      </c>
      <c r="L29" s="13">
        <f t="shared" si="22"/>
        <v>5.5692813061543377E-4</v>
      </c>
      <c r="M29" s="13">
        <f t="shared" si="23"/>
        <v>-1.5232039322502925E-2</v>
      </c>
      <c r="N29" s="20">
        <f t="shared" si="24"/>
        <v>1.2880309476520769E-3</v>
      </c>
      <c r="O29" s="21">
        <f t="shared" si="25"/>
        <v>1.451927616355882E-2</v>
      </c>
      <c r="P29" s="24">
        <f t="shared" si="26"/>
        <v>139.35458080842929</v>
      </c>
      <c r="Q29" s="24">
        <f t="shared" si="27"/>
        <v>2.0233276434145586</v>
      </c>
      <c r="R29" s="10">
        <v>100</v>
      </c>
      <c r="S29" s="10">
        <v>100</v>
      </c>
      <c r="T29" s="10">
        <v>1792</v>
      </c>
      <c r="U29" s="18">
        <v>18282523.050000001</v>
      </c>
      <c r="V29" s="18">
        <v>17927602.140000001</v>
      </c>
    </row>
    <row r="30" spans="1:23">
      <c r="A30" s="105">
        <v>23</v>
      </c>
      <c r="B30" s="19" t="s">
        <v>57</v>
      </c>
      <c r="C30" s="88" t="s">
        <v>58</v>
      </c>
      <c r="D30" s="10">
        <v>126706844830.09</v>
      </c>
      <c r="E30" s="10">
        <v>4919897235.1899996</v>
      </c>
      <c r="F30" s="10">
        <v>0</v>
      </c>
      <c r="G30" s="10">
        <v>632645685.62</v>
      </c>
      <c r="H30" s="12">
        <f t="shared" si="21"/>
        <v>4287251549.5699997</v>
      </c>
      <c r="I30" s="45">
        <v>295292376904</v>
      </c>
      <c r="J30" s="13">
        <f t="shared" si="14"/>
        <v>6.7752313729940228E-2</v>
      </c>
      <c r="K30" s="45">
        <v>307255413597</v>
      </c>
      <c r="L30" s="13">
        <f t="shared" si="22"/>
        <v>6.8494428060283524E-2</v>
      </c>
      <c r="M30" s="13">
        <f t="shared" si="23"/>
        <v>4.0512514472695653E-2</v>
      </c>
      <c r="N30" s="20">
        <f t="shared" si="24"/>
        <v>2.0590220957010896E-3</v>
      </c>
      <c r="O30" s="21">
        <f t="shared" si="25"/>
        <v>1.3953380021460621E-2</v>
      </c>
      <c r="P30" s="24">
        <f t="shared" si="26"/>
        <v>1</v>
      </c>
      <c r="Q30" s="24">
        <f t="shared" si="27"/>
        <v>1.3953380021460621E-2</v>
      </c>
      <c r="R30" s="10">
        <v>1</v>
      </c>
      <c r="S30" s="10">
        <v>1</v>
      </c>
      <c r="T30" s="10">
        <v>77261</v>
      </c>
      <c r="U30" s="18">
        <v>295292376904</v>
      </c>
      <c r="V30" s="18">
        <v>307255413597</v>
      </c>
    </row>
    <row r="31" spans="1:23">
      <c r="A31" s="105">
        <v>24</v>
      </c>
      <c r="B31" s="19" t="s">
        <v>269</v>
      </c>
      <c r="C31" s="88" t="s">
        <v>101</v>
      </c>
      <c r="D31" s="10">
        <v>703414530.90999997</v>
      </c>
      <c r="E31" s="10">
        <v>29104575.359999999</v>
      </c>
      <c r="F31" s="10">
        <v>0</v>
      </c>
      <c r="G31" s="10">
        <v>3312813.7</v>
      </c>
      <c r="H31" s="12">
        <f t="shared" si="21"/>
        <v>25791761.66</v>
      </c>
      <c r="I31" s="45">
        <v>1374873709.8</v>
      </c>
      <c r="J31" s="13">
        <f t="shared" si="14"/>
        <v>3.1545302964491997E-4</v>
      </c>
      <c r="K31" s="45">
        <v>1544063635.1199999</v>
      </c>
      <c r="L31" s="13">
        <f t="shared" si="22"/>
        <v>3.4420794848855784E-4</v>
      </c>
      <c r="M31" s="13">
        <f t="shared" si="23"/>
        <v>0.12305852102198656</v>
      </c>
      <c r="N31" s="20">
        <f t="shared" si="24"/>
        <v>2.1455163016921505E-3</v>
      </c>
      <c r="O31" s="21">
        <f t="shared" si="25"/>
        <v>1.6703820408279703E-2</v>
      </c>
      <c r="P31" s="24">
        <f t="shared" si="26"/>
        <v>0.92561105003938504</v>
      </c>
      <c r="Q31" s="24">
        <f t="shared" si="27"/>
        <v>1.5461240747777086E-2</v>
      </c>
      <c r="R31" s="10">
        <v>1</v>
      </c>
      <c r="S31" s="10">
        <v>1</v>
      </c>
      <c r="T31" s="10">
        <v>362</v>
      </c>
      <c r="U31" s="18">
        <v>1484895183</v>
      </c>
      <c r="V31" s="18">
        <v>1668156009</v>
      </c>
    </row>
    <row r="32" spans="1:23" ht="15" customHeight="1">
      <c r="A32" s="105">
        <v>25</v>
      </c>
      <c r="B32" s="19" t="s">
        <v>59</v>
      </c>
      <c r="C32" s="19" t="s">
        <v>28</v>
      </c>
      <c r="D32" s="10">
        <v>64776377385.860001</v>
      </c>
      <c r="E32" s="10">
        <v>2465270896.79</v>
      </c>
      <c r="F32" s="10">
        <v>0</v>
      </c>
      <c r="G32" s="10">
        <v>231626198.63</v>
      </c>
      <c r="H32" s="12">
        <f t="shared" si="21"/>
        <v>2233644698.1599998</v>
      </c>
      <c r="I32" s="45">
        <v>166300573472.78</v>
      </c>
      <c r="J32" s="13">
        <f t="shared" si="14"/>
        <v>3.8156246177190566E-2</v>
      </c>
      <c r="K32" s="45">
        <v>165143742357.59</v>
      </c>
      <c r="L32" s="13">
        <f t="shared" si="22"/>
        <v>3.6814408078596629E-2</v>
      </c>
      <c r="M32" s="13">
        <f t="shared" si="23"/>
        <v>-6.9562665421556832E-3</v>
      </c>
      <c r="N32" s="20">
        <f t="shared" si="24"/>
        <v>1.4025732693428604E-3</v>
      </c>
      <c r="O32" s="21">
        <f t="shared" si="25"/>
        <v>1.3525457678701695E-2</v>
      </c>
      <c r="P32" s="24">
        <f t="shared" si="26"/>
        <v>1.027981205372432</v>
      </c>
      <c r="Q32" s="24">
        <f t="shared" si="27"/>
        <v>1.3903916287765584E-2</v>
      </c>
      <c r="R32" s="10">
        <v>1</v>
      </c>
      <c r="S32" s="10">
        <v>1</v>
      </c>
      <c r="T32" s="10">
        <v>37094</v>
      </c>
      <c r="U32" s="18">
        <v>163840589081.78</v>
      </c>
      <c r="V32" s="18">
        <v>160648600864.01999</v>
      </c>
    </row>
    <row r="33" spans="1:22" ht="15" customHeight="1">
      <c r="A33" s="105">
        <v>26</v>
      </c>
      <c r="B33" s="19" t="s">
        <v>264</v>
      </c>
      <c r="C33" s="19" t="s">
        <v>103</v>
      </c>
      <c r="D33" s="10">
        <v>14947301086.629999</v>
      </c>
      <c r="E33" s="10">
        <v>208083956.94</v>
      </c>
      <c r="F33" s="10">
        <v>0</v>
      </c>
      <c r="G33" s="10">
        <v>-18985350.140000001</v>
      </c>
      <c r="H33" s="12">
        <f t="shared" si="21"/>
        <v>227069307.07999998</v>
      </c>
      <c r="I33" s="45">
        <v>14448446697.360001</v>
      </c>
      <c r="J33" s="13">
        <f t="shared" si="14"/>
        <v>3.3150726876640651E-3</v>
      </c>
      <c r="K33" s="45">
        <v>15084381459.360001</v>
      </c>
      <c r="L33" s="13">
        <f t="shared" si="22"/>
        <v>3.3626619254857491E-3</v>
      </c>
      <c r="M33" s="13">
        <f t="shared" si="23"/>
        <v>4.4014057380728486E-2</v>
      </c>
      <c r="N33" s="20">
        <f t="shared" si="24"/>
        <v>-1.2586097872922335E-3</v>
      </c>
      <c r="O33" s="21">
        <f t="shared" si="25"/>
        <v>1.5053272664296178E-2</v>
      </c>
      <c r="P33" s="24">
        <f t="shared" si="26"/>
        <v>1</v>
      </c>
      <c r="Q33" s="24">
        <f t="shared" si="27"/>
        <v>1.5053272664296178E-2</v>
      </c>
      <c r="R33" s="10">
        <v>1</v>
      </c>
      <c r="S33" s="10">
        <v>1</v>
      </c>
      <c r="T33" s="10">
        <v>1322</v>
      </c>
      <c r="U33" s="18">
        <v>14448446697.360001</v>
      </c>
      <c r="V33" s="18">
        <v>15084381459.360001</v>
      </c>
    </row>
    <row r="34" spans="1:22">
      <c r="A34" s="105">
        <v>27</v>
      </c>
      <c r="B34" s="88" t="s">
        <v>259</v>
      </c>
      <c r="C34" s="88" t="s">
        <v>44</v>
      </c>
      <c r="D34" s="10">
        <v>37677848184.099998</v>
      </c>
      <c r="E34" s="10">
        <v>560251530.74000001</v>
      </c>
      <c r="F34" s="10">
        <v>0</v>
      </c>
      <c r="G34" s="10">
        <v>60665361.969999999</v>
      </c>
      <c r="H34" s="12">
        <f t="shared" si="21"/>
        <v>499586168.76999998</v>
      </c>
      <c r="I34" s="45">
        <v>36305059154.260002</v>
      </c>
      <c r="J34" s="13">
        <f t="shared" si="14"/>
        <v>8.3298857342434234E-3</v>
      </c>
      <c r="K34" s="45">
        <v>36561784202.25</v>
      </c>
      <c r="L34" s="13">
        <f t="shared" si="22"/>
        <v>8.1504780289445647E-3</v>
      </c>
      <c r="M34" s="13">
        <f t="shared" si="23"/>
        <v>7.0713298358549568E-3</v>
      </c>
      <c r="N34" s="20">
        <f t="shared" si="24"/>
        <v>1.6592560591248901E-3</v>
      </c>
      <c r="O34" s="21">
        <f t="shared" si="25"/>
        <v>1.3664162722651144E-2</v>
      </c>
      <c r="P34" s="24">
        <f t="shared" si="26"/>
        <v>100.00039799980314</v>
      </c>
      <c r="Q34" s="24">
        <f t="shared" si="27"/>
        <v>1.3664217105991883</v>
      </c>
      <c r="R34" s="10">
        <v>100</v>
      </c>
      <c r="S34" s="10">
        <v>100</v>
      </c>
      <c r="T34" s="10">
        <v>7011</v>
      </c>
      <c r="U34" s="18">
        <v>357096166.04000002</v>
      </c>
      <c r="V34" s="18">
        <v>365616386.87</v>
      </c>
    </row>
    <row r="35" spans="1:22">
      <c r="A35" s="105">
        <v>28</v>
      </c>
      <c r="B35" s="25" t="s">
        <v>213</v>
      </c>
      <c r="C35" s="25" t="s">
        <v>214</v>
      </c>
      <c r="D35" s="10">
        <v>2265622784.77</v>
      </c>
      <c r="E35" s="10">
        <v>88095762.420000002</v>
      </c>
      <c r="F35" s="10">
        <v>0</v>
      </c>
      <c r="G35" s="10">
        <v>2400287.2400000002</v>
      </c>
      <c r="H35" s="12">
        <f t="shared" si="21"/>
        <v>85695475.180000007</v>
      </c>
      <c r="I35" s="45">
        <v>1937731658.46</v>
      </c>
      <c r="J35" s="13">
        <f t="shared" si="14"/>
        <v>4.4459597848372671E-4</v>
      </c>
      <c r="K35" s="45">
        <v>2188850042.1199999</v>
      </c>
      <c r="L35" s="13">
        <f t="shared" si="22"/>
        <v>4.8794594044607826E-4</v>
      </c>
      <c r="M35" s="13">
        <f t="shared" si="23"/>
        <v>0.12959399334971622</v>
      </c>
      <c r="N35" s="20">
        <f t="shared" si="24"/>
        <v>1.0965973884968447E-3</v>
      </c>
      <c r="O35" s="21">
        <f t="shared" si="25"/>
        <v>3.9150911908519818E-2</v>
      </c>
      <c r="P35" s="24">
        <f t="shared" si="26"/>
        <v>1.0099053973021352</v>
      </c>
      <c r="Q35" s="24">
        <f t="shared" si="27"/>
        <v>3.9538717245714602E-2</v>
      </c>
      <c r="R35" s="10">
        <v>1</v>
      </c>
      <c r="S35" s="10">
        <v>1</v>
      </c>
      <c r="T35" s="10">
        <v>564</v>
      </c>
      <c r="U35" s="18">
        <v>1912688806.6700001</v>
      </c>
      <c r="V35" s="18">
        <v>2167381269.54</v>
      </c>
    </row>
    <row r="36" spans="1:22">
      <c r="A36" s="105">
        <v>29</v>
      </c>
      <c r="B36" s="19" t="s">
        <v>229</v>
      </c>
      <c r="C36" s="19" t="s">
        <v>60</v>
      </c>
      <c r="D36" s="10">
        <v>80357116542.940002</v>
      </c>
      <c r="E36" s="10">
        <v>1257450852.99</v>
      </c>
      <c r="F36" s="10">
        <v>0</v>
      </c>
      <c r="G36" s="10">
        <v>122790497.01000001</v>
      </c>
      <c r="H36" s="12">
        <f t="shared" si="21"/>
        <v>1134660355.98</v>
      </c>
      <c r="I36" s="45">
        <v>75909262921.350006</v>
      </c>
      <c r="J36" s="13">
        <f t="shared" si="14"/>
        <v>1.7416732021253059E-2</v>
      </c>
      <c r="K36" s="45">
        <v>77740987537.869995</v>
      </c>
      <c r="L36" s="13">
        <f t="shared" si="22"/>
        <v>1.7330286929401806E-2</v>
      </c>
      <c r="M36" s="13">
        <f t="shared" si="23"/>
        <v>2.413044924988731E-2</v>
      </c>
      <c r="N36" s="20">
        <f t="shared" si="24"/>
        <v>1.5794820840188714E-3</v>
      </c>
      <c r="O36" s="21">
        <f t="shared" si="25"/>
        <v>1.4595394166137554E-2</v>
      </c>
      <c r="P36" s="24">
        <f t="shared" si="26"/>
        <v>99.999999999832767</v>
      </c>
      <c r="Q36" s="24">
        <f t="shared" si="27"/>
        <v>1.4595394166113147</v>
      </c>
      <c r="R36" s="10">
        <v>100</v>
      </c>
      <c r="S36" s="10">
        <v>100</v>
      </c>
      <c r="T36" s="10">
        <v>5458</v>
      </c>
      <c r="U36" s="18">
        <v>759092629.21000004</v>
      </c>
      <c r="V36" s="18">
        <v>777409875.38</v>
      </c>
    </row>
    <row r="37" spans="1:22">
      <c r="A37" s="105">
        <v>30</v>
      </c>
      <c r="B37" s="19" t="s">
        <v>61</v>
      </c>
      <c r="C37" s="19" t="s">
        <v>62</v>
      </c>
      <c r="D37" s="10">
        <v>13605002725.26</v>
      </c>
      <c r="E37" s="10">
        <v>519909154.62</v>
      </c>
      <c r="F37" s="10">
        <v>0</v>
      </c>
      <c r="G37" s="10">
        <v>36820079.700000003</v>
      </c>
      <c r="H37" s="12">
        <f t="shared" si="21"/>
        <v>483089074.92000002</v>
      </c>
      <c r="I37" s="45">
        <v>35081977800</v>
      </c>
      <c r="J37" s="13">
        <f t="shared" si="14"/>
        <v>8.0492601640885803E-3</v>
      </c>
      <c r="K37" s="45">
        <v>32924792500</v>
      </c>
      <c r="L37" s="13">
        <f t="shared" si="22"/>
        <v>7.339707394867629E-3</v>
      </c>
      <c r="M37" s="13">
        <f t="shared" si="23"/>
        <v>-6.1489842798999779E-2</v>
      </c>
      <c r="N37" s="20">
        <f t="shared" si="24"/>
        <v>1.1183086332282885E-3</v>
      </c>
      <c r="O37" s="21">
        <f t="shared" si="25"/>
        <v>1.4672501730117206E-2</v>
      </c>
      <c r="P37" s="24">
        <f t="shared" si="26"/>
        <v>100</v>
      </c>
      <c r="Q37" s="24">
        <f t="shared" si="27"/>
        <v>1.4672501730117207</v>
      </c>
      <c r="R37" s="10">
        <v>100</v>
      </c>
      <c r="S37" s="10">
        <v>100</v>
      </c>
      <c r="T37" s="10">
        <v>5464</v>
      </c>
      <c r="U37" s="18">
        <v>350819778</v>
      </c>
      <c r="V37" s="18">
        <v>329247925</v>
      </c>
    </row>
    <row r="38" spans="1:22">
      <c r="A38" s="105">
        <v>31</v>
      </c>
      <c r="B38" s="19" t="s">
        <v>63</v>
      </c>
      <c r="C38" s="19" t="s">
        <v>64</v>
      </c>
      <c r="D38" s="10">
        <v>61606176089.089996</v>
      </c>
      <c r="E38" s="10">
        <v>940627022.20000005</v>
      </c>
      <c r="F38" s="10">
        <v>28665498</v>
      </c>
      <c r="G38" s="10">
        <v>104347959.54000001</v>
      </c>
      <c r="H38" s="12">
        <f t="shared" si="21"/>
        <v>864944560.66000009</v>
      </c>
      <c r="I38" s="45">
        <v>64805423984.169998</v>
      </c>
      <c r="J38" s="13">
        <f t="shared" si="14"/>
        <v>1.4869051017204916E-2</v>
      </c>
      <c r="K38" s="45">
        <v>62115550804.75</v>
      </c>
      <c r="L38" s="13">
        <f t="shared" si="22"/>
        <v>1.3847011111092027E-2</v>
      </c>
      <c r="M38" s="13">
        <f t="shared" si="23"/>
        <v>-4.1506914298979861E-2</v>
      </c>
      <c r="N38" s="20">
        <f t="shared" si="24"/>
        <v>1.6799007364194617E-3</v>
      </c>
      <c r="O38" s="21">
        <f t="shared" si="25"/>
        <v>1.3924766816908874E-2</v>
      </c>
      <c r="P38" s="24">
        <f t="shared" si="26"/>
        <v>1</v>
      </c>
      <c r="Q38" s="24">
        <f t="shared" si="27"/>
        <v>1.3924766816908874E-2</v>
      </c>
      <c r="R38" s="10">
        <v>1</v>
      </c>
      <c r="S38" s="10">
        <v>1</v>
      </c>
      <c r="T38" s="10">
        <v>12650</v>
      </c>
      <c r="U38" s="18">
        <v>64805423984.169998</v>
      </c>
      <c r="V38" s="18">
        <v>62115550804.75</v>
      </c>
    </row>
    <row r="39" spans="1:22">
      <c r="A39" s="66">
        <v>32</v>
      </c>
      <c r="B39" s="83" t="s">
        <v>305</v>
      </c>
      <c r="C39" s="84" t="s">
        <v>110</v>
      </c>
      <c r="D39" s="10">
        <v>1054296266.34</v>
      </c>
      <c r="E39" s="10">
        <v>15589641.49</v>
      </c>
      <c r="F39" s="10">
        <v>0</v>
      </c>
      <c r="G39" s="10">
        <v>1551082.91</v>
      </c>
      <c r="H39" s="12">
        <f t="shared" ref="H39" si="28">(E39+F39)-G39</f>
        <v>14038558.58</v>
      </c>
      <c r="I39" s="45">
        <v>932371128.29999995</v>
      </c>
      <c r="J39" s="13">
        <f t="shared" si="14"/>
        <v>2.1392459182194434E-4</v>
      </c>
      <c r="K39" s="45">
        <v>1024646574.7</v>
      </c>
      <c r="L39" s="13">
        <f t="shared" si="22"/>
        <v>2.284177202165018E-4</v>
      </c>
      <c r="M39" s="13">
        <f t="shared" si="23"/>
        <v>9.8968579784582872E-2</v>
      </c>
      <c r="N39" s="20">
        <f t="shared" si="24"/>
        <v>1.5137735764686785E-3</v>
      </c>
      <c r="O39" s="21">
        <f t="shared" si="25"/>
        <v>1.3700878846064813E-2</v>
      </c>
      <c r="P39" s="24">
        <f t="shared" si="26"/>
        <v>1000.0000045869476</v>
      </c>
      <c r="Q39" s="24">
        <f t="shared" si="27"/>
        <v>13.700878908910026</v>
      </c>
      <c r="R39" s="10">
        <v>1000</v>
      </c>
      <c r="S39" s="10">
        <v>1000</v>
      </c>
      <c r="T39" s="10">
        <v>47</v>
      </c>
      <c r="U39" s="18">
        <v>949636.87</v>
      </c>
      <c r="V39" s="18">
        <v>1024646.57</v>
      </c>
    </row>
    <row r="40" spans="1:22">
      <c r="A40" s="66">
        <v>33</v>
      </c>
      <c r="B40" s="19" t="s">
        <v>65</v>
      </c>
      <c r="C40" s="19" t="s">
        <v>66</v>
      </c>
      <c r="D40" s="10">
        <v>33535759998.509998</v>
      </c>
      <c r="E40" s="10">
        <v>1237656672.1800001</v>
      </c>
      <c r="F40" s="10"/>
      <c r="G40" s="10">
        <v>121451015.59999999</v>
      </c>
      <c r="H40" s="12">
        <f t="shared" si="21"/>
        <v>1116205656.5800002</v>
      </c>
      <c r="I40" s="45">
        <v>79650315952.350006</v>
      </c>
      <c r="J40" s="13">
        <f t="shared" si="14"/>
        <v>1.8275084686141044E-2</v>
      </c>
      <c r="K40" s="45">
        <v>81139327371.600006</v>
      </c>
      <c r="L40" s="13">
        <f t="shared" si="22"/>
        <v>1.8087856472411117E-2</v>
      </c>
      <c r="M40" s="13">
        <f t="shared" si="23"/>
        <v>1.8694356719699465E-2</v>
      </c>
      <c r="N40" s="20">
        <f t="shared" si="24"/>
        <v>1.4968205866901195E-3</v>
      </c>
      <c r="O40" s="21">
        <f t="shared" si="25"/>
        <v>1.3756654050976137E-2</v>
      </c>
      <c r="P40" s="24">
        <f t="shared" si="26"/>
        <v>102.95610448064483</v>
      </c>
      <c r="Q40" s="24">
        <f t="shared" si="27"/>
        <v>1.4163315117763848</v>
      </c>
      <c r="R40" s="10">
        <v>100</v>
      </c>
      <c r="S40" s="10">
        <v>100</v>
      </c>
      <c r="T40" s="10">
        <v>8019</v>
      </c>
      <c r="U40" s="18">
        <v>780062745</v>
      </c>
      <c r="V40" s="18">
        <v>788096323</v>
      </c>
    </row>
    <row r="41" spans="1:22">
      <c r="A41" s="66">
        <v>34</v>
      </c>
      <c r="B41" s="19" t="s">
        <v>67</v>
      </c>
      <c r="C41" s="19" t="s">
        <v>66</v>
      </c>
      <c r="D41" s="10">
        <v>4772280056.2299995</v>
      </c>
      <c r="E41" s="10">
        <v>181249109.65000001</v>
      </c>
      <c r="F41" s="10">
        <v>0</v>
      </c>
      <c r="G41" s="10">
        <v>14518590.92</v>
      </c>
      <c r="H41" s="12">
        <f t="shared" si="21"/>
        <v>166730518.73000002</v>
      </c>
      <c r="I41" s="45">
        <v>11373722775.42</v>
      </c>
      <c r="J41" s="13">
        <f t="shared" si="14"/>
        <v>2.60960354560099E-3</v>
      </c>
      <c r="K41" s="45">
        <v>11047185106.17</v>
      </c>
      <c r="L41" s="13">
        <f t="shared" si="22"/>
        <v>2.4626763013381931E-3</v>
      </c>
      <c r="M41" s="13">
        <f t="shared" si="23"/>
        <v>-2.8709831925540479E-2</v>
      </c>
      <c r="N41" s="20">
        <f t="shared" si="24"/>
        <v>1.3142344208472774E-3</v>
      </c>
      <c r="O41" s="21">
        <f t="shared" si="25"/>
        <v>1.509257943336885E-2</v>
      </c>
      <c r="P41" s="24">
        <f t="shared" si="26"/>
        <v>1031483.2031904762</v>
      </c>
      <c r="Q41" s="24">
        <f t="shared" si="27"/>
        <v>15567.742178338003</v>
      </c>
      <c r="R41" s="10">
        <v>1000000</v>
      </c>
      <c r="S41" s="10">
        <v>1000000</v>
      </c>
      <c r="T41" s="10">
        <v>78</v>
      </c>
      <c r="U41" s="18">
        <v>11185</v>
      </c>
      <c r="V41" s="18">
        <v>10710</v>
      </c>
    </row>
    <row r="42" spans="1:22">
      <c r="A42" s="66">
        <v>35</v>
      </c>
      <c r="B42" s="88" t="s">
        <v>68</v>
      </c>
      <c r="C42" s="88" t="s">
        <v>69</v>
      </c>
      <c r="D42" s="10">
        <v>6810653539.3500004</v>
      </c>
      <c r="E42" s="10">
        <v>131317913.63</v>
      </c>
      <c r="F42" s="10">
        <v>0</v>
      </c>
      <c r="G42" s="10">
        <v>12771913.949999999</v>
      </c>
      <c r="H42" s="12">
        <f t="shared" si="21"/>
        <v>118545999.67999999</v>
      </c>
      <c r="I42" s="45">
        <v>6978114931.9399996</v>
      </c>
      <c r="J42" s="13">
        <f t="shared" si="14"/>
        <v>1.601068869671776E-3</v>
      </c>
      <c r="K42" s="45">
        <v>6876125880.4200001</v>
      </c>
      <c r="L42" s="13">
        <f t="shared" si="22"/>
        <v>1.5328495076334758E-3</v>
      </c>
      <c r="M42" s="13">
        <f t="shared" si="23"/>
        <v>-1.4615559146665607E-2</v>
      </c>
      <c r="N42" s="20">
        <f t="shared" si="24"/>
        <v>1.8574287574298857E-3</v>
      </c>
      <c r="O42" s="21">
        <f t="shared" si="25"/>
        <v>1.7240231162370619E-2</v>
      </c>
      <c r="P42" s="24">
        <f t="shared" si="26"/>
        <v>0.94908930769313726</v>
      </c>
      <c r="Q42" s="24">
        <f t="shared" si="27"/>
        <v>1.6362519058363983E-2</v>
      </c>
      <c r="R42" s="10">
        <v>1</v>
      </c>
      <c r="S42" s="10">
        <v>1</v>
      </c>
      <c r="T42" s="10">
        <v>1073</v>
      </c>
      <c r="U42" s="18">
        <v>7533778217.7700005</v>
      </c>
      <c r="V42" s="18">
        <v>7244972443.25</v>
      </c>
    </row>
    <row r="43" spans="1:22">
      <c r="A43" s="66">
        <v>36</v>
      </c>
      <c r="B43" s="19" t="s">
        <v>70</v>
      </c>
      <c r="C43" s="19" t="s">
        <v>71</v>
      </c>
      <c r="D43" s="10">
        <v>2004305314.9400001</v>
      </c>
      <c r="E43" s="10">
        <v>59295363.219999999</v>
      </c>
      <c r="F43" s="10">
        <v>0</v>
      </c>
      <c r="G43" s="10">
        <v>3874274.28</v>
      </c>
      <c r="H43" s="12">
        <f>(E43+F43)-G43</f>
        <v>55421088.939999998</v>
      </c>
      <c r="I43" s="45">
        <v>3229194146.3600001</v>
      </c>
      <c r="J43" s="13">
        <f t="shared" si="14"/>
        <v>7.4091101569546004E-4</v>
      </c>
      <c r="K43" s="45">
        <v>3540404290.6300001</v>
      </c>
      <c r="L43" s="13">
        <f t="shared" si="22"/>
        <v>7.8923903780891232E-4</v>
      </c>
      <c r="M43" s="13">
        <f t="shared" si="23"/>
        <v>9.637393422777045E-2</v>
      </c>
      <c r="N43" s="20">
        <f t="shared" si="24"/>
        <v>1.094302786338164E-3</v>
      </c>
      <c r="O43" s="21">
        <f t="shared" si="25"/>
        <v>1.5653887067834858E-2</v>
      </c>
      <c r="P43" s="24">
        <f t="shared" si="26"/>
        <v>0.98736057968864843</v>
      </c>
      <c r="Q43" s="24">
        <f t="shared" si="27"/>
        <v>1.5456031009678061E-2</v>
      </c>
      <c r="R43" s="10">
        <v>1</v>
      </c>
      <c r="S43" s="10">
        <v>1</v>
      </c>
      <c r="T43" s="10">
        <v>1751</v>
      </c>
      <c r="U43" s="18">
        <v>3317709515.02</v>
      </c>
      <c r="V43" s="18">
        <v>3585725785.96</v>
      </c>
    </row>
    <row r="44" spans="1:22">
      <c r="A44" s="105">
        <v>37</v>
      </c>
      <c r="B44" s="19" t="s">
        <v>72</v>
      </c>
      <c r="C44" s="19" t="s">
        <v>73</v>
      </c>
      <c r="D44" s="10">
        <v>701821216970.43994</v>
      </c>
      <c r="E44" s="10">
        <v>10982245103.620001</v>
      </c>
      <c r="F44" s="10">
        <v>0</v>
      </c>
      <c r="G44" s="10">
        <f>887053451.64+47309517.42+14784224.19+110022133.54</f>
        <v>1059169326.79</v>
      </c>
      <c r="H44" s="12">
        <f t="shared" ref="H44" si="29">(E44+F44)-G44</f>
        <v>9923075776.8300018</v>
      </c>
      <c r="I44" s="45">
        <v>655129103702.23999</v>
      </c>
      <c r="J44" s="13">
        <f t="shared" si="14"/>
        <v>0.15031377725703643</v>
      </c>
      <c r="K44" s="45">
        <v>680590489607.54004</v>
      </c>
      <c r="L44" s="13">
        <f t="shared" si="22"/>
        <v>0.15171956055452868</v>
      </c>
      <c r="M44" s="13">
        <f t="shared" si="23"/>
        <v>3.8864684474271806E-2</v>
      </c>
      <c r="N44" s="20">
        <f t="shared" si="24"/>
        <v>1.5562505544277675E-3</v>
      </c>
      <c r="O44" s="21">
        <f t="shared" si="25"/>
        <v>1.4580097618690068E-2</v>
      </c>
      <c r="P44" s="24">
        <f t="shared" si="26"/>
        <v>100.04671432578402</v>
      </c>
      <c r="Q44" s="24">
        <f t="shared" si="27"/>
        <v>1.4586908612991292</v>
      </c>
      <c r="R44" s="10">
        <v>100</v>
      </c>
      <c r="S44" s="10">
        <v>100</v>
      </c>
      <c r="T44" s="10">
        <v>33188</v>
      </c>
      <c r="U44" s="18">
        <v>6548063135</v>
      </c>
      <c r="V44" s="18">
        <v>6802727048</v>
      </c>
    </row>
    <row r="45" spans="1:22">
      <c r="A45" s="66">
        <v>38</v>
      </c>
      <c r="B45" s="19" t="s">
        <v>265</v>
      </c>
      <c r="C45" s="19" t="s">
        <v>266</v>
      </c>
      <c r="D45" s="10">
        <v>3023975483.1100001</v>
      </c>
      <c r="E45" s="10">
        <v>48602161.509999998</v>
      </c>
      <c r="F45" s="10">
        <v>0</v>
      </c>
      <c r="G45" s="10">
        <v>42159415.280000001</v>
      </c>
      <c r="H45" s="12">
        <f>(E45+F45)-G45</f>
        <v>6442746.2299999967</v>
      </c>
      <c r="I45" s="45">
        <v>2757089883.2600002</v>
      </c>
      <c r="J45" s="13">
        <f t="shared" si="14"/>
        <v>6.3259072486319045E-4</v>
      </c>
      <c r="K45" s="45">
        <v>3118940574.5</v>
      </c>
      <c r="L45" s="13">
        <f t="shared" si="22"/>
        <v>6.9528490418915595E-4</v>
      </c>
      <c r="M45" s="13">
        <f t="shared" si="23"/>
        <v>0.13124370497930421</v>
      </c>
      <c r="N45" s="20">
        <f t="shared" si="24"/>
        <v>1.3517223003441999E-2</v>
      </c>
      <c r="O45" s="21">
        <f t="shared" si="25"/>
        <v>2.065684188623196E-3</v>
      </c>
      <c r="P45" s="24">
        <f t="shared" si="26"/>
        <v>0.99961455599402671</v>
      </c>
      <c r="Q45" s="24">
        <f t="shared" si="27"/>
        <v>2.0648879830344573E-3</v>
      </c>
      <c r="R45" s="10">
        <v>1</v>
      </c>
      <c r="S45" s="10">
        <v>1</v>
      </c>
      <c r="T45" s="10">
        <v>471</v>
      </c>
      <c r="U45" s="18">
        <v>2758442870</v>
      </c>
      <c r="V45" s="18">
        <v>3120143215</v>
      </c>
    </row>
    <row r="46" spans="1:22" ht="15.6" customHeight="1">
      <c r="A46" s="66">
        <v>39</v>
      </c>
      <c r="B46" s="19" t="s">
        <v>74</v>
      </c>
      <c r="C46" s="19" t="s">
        <v>75</v>
      </c>
      <c r="D46" s="10">
        <v>1811336728.4000001</v>
      </c>
      <c r="E46" s="10">
        <v>25412297.530000001</v>
      </c>
      <c r="F46" s="10">
        <v>0</v>
      </c>
      <c r="G46" s="10">
        <v>1977559.76</v>
      </c>
      <c r="H46" s="12">
        <f t="shared" si="21"/>
        <v>23434737.77</v>
      </c>
      <c r="I46" s="45">
        <v>1660260389.98</v>
      </c>
      <c r="J46" s="13">
        <f t="shared" si="14"/>
        <v>3.8093256586805625E-4</v>
      </c>
      <c r="K46" s="45">
        <v>1758141338.6900001</v>
      </c>
      <c r="L46" s="13">
        <f t="shared" si="22"/>
        <v>3.9193088262607777E-4</v>
      </c>
      <c r="M46" s="13">
        <f t="shared" si="23"/>
        <v>5.8955179139808994E-2</v>
      </c>
      <c r="N46" s="20">
        <f t="shared" si="24"/>
        <v>1.1248013549772339E-3</v>
      </c>
      <c r="O46" s="21">
        <f t="shared" si="25"/>
        <v>1.3329268389458006E-2</v>
      </c>
      <c r="P46" s="24">
        <f t="shared" si="26"/>
        <v>10.035049866364201</v>
      </c>
      <c r="Q46" s="24">
        <f t="shared" si="27"/>
        <v>0.13375987297036313</v>
      </c>
      <c r="R46" s="10">
        <v>10</v>
      </c>
      <c r="S46" s="10">
        <v>10</v>
      </c>
      <c r="T46" s="10">
        <v>513</v>
      </c>
      <c r="U46" s="18">
        <v>166492037</v>
      </c>
      <c r="V46" s="18">
        <v>175200060</v>
      </c>
    </row>
    <row r="47" spans="1:22">
      <c r="A47" s="66">
        <v>40</v>
      </c>
      <c r="B47" s="19" t="s">
        <v>76</v>
      </c>
      <c r="C47" s="19" t="s">
        <v>77</v>
      </c>
      <c r="D47" s="10">
        <v>4883551676.71</v>
      </c>
      <c r="E47" s="10">
        <v>186590665.40000001</v>
      </c>
      <c r="F47" s="10">
        <v>0</v>
      </c>
      <c r="G47" s="10">
        <v>15268001.34</v>
      </c>
      <c r="H47" s="12">
        <f t="shared" si="21"/>
        <v>171322664.06</v>
      </c>
      <c r="I47" s="45">
        <v>9249190821.6900005</v>
      </c>
      <c r="J47" s="13">
        <f t="shared" si="14"/>
        <v>2.1221478348658852E-3</v>
      </c>
      <c r="K47" s="45">
        <v>9545549376.1299992</v>
      </c>
      <c r="L47" s="13">
        <f t="shared" si="22"/>
        <v>2.1279265266153291E-3</v>
      </c>
      <c r="M47" s="13">
        <f t="shared" si="23"/>
        <v>3.20415655978269E-2</v>
      </c>
      <c r="N47" s="20">
        <f t="shared" si="24"/>
        <v>1.5994890119346932E-3</v>
      </c>
      <c r="O47" s="21">
        <f t="shared" si="25"/>
        <v>1.7947910309742531E-2</v>
      </c>
      <c r="P47" s="24">
        <f t="shared" si="26"/>
        <v>99.028373094092331</v>
      </c>
      <c r="Q47" s="24">
        <f t="shared" si="27"/>
        <v>1.7773523584124897</v>
      </c>
      <c r="R47" s="10">
        <v>100</v>
      </c>
      <c r="S47" s="10">
        <v>100</v>
      </c>
      <c r="T47" s="10">
        <v>1812</v>
      </c>
      <c r="U47" s="18">
        <v>92808283</v>
      </c>
      <c r="V47" s="18">
        <v>96392065</v>
      </c>
    </row>
    <row r="48" spans="1:22">
      <c r="A48" s="66">
        <v>41</v>
      </c>
      <c r="B48" s="83" t="s">
        <v>249</v>
      </c>
      <c r="C48" s="83" t="s">
        <v>225</v>
      </c>
      <c r="D48" s="10">
        <v>129139414.95</v>
      </c>
      <c r="E48" s="10">
        <v>6784599.3600000003</v>
      </c>
      <c r="F48" s="10">
        <v>0</v>
      </c>
      <c r="G48" s="10">
        <v>183627.49</v>
      </c>
      <c r="H48" s="12">
        <f t="shared" si="21"/>
        <v>6600971.8700000001</v>
      </c>
      <c r="I48" s="45">
        <v>122575202.45</v>
      </c>
      <c r="J48" s="13">
        <f t="shared" si="14"/>
        <v>2.8123833263068711E-5</v>
      </c>
      <c r="K48" s="45">
        <v>129058290.19</v>
      </c>
      <c r="L48" s="13">
        <f t="shared" si="22"/>
        <v>2.8770115616568132E-5</v>
      </c>
      <c r="M48" s="13">
        <f t="shared" si="23"/>
        <v>5.289069575589344E-2</v>
      </c>
      <c r="N48" s="20">
        <f t="shared" si="24"/>
        <v>1.4228259938177008E-3</v>
      </c>
      <c r="O48" s="21">
        <f t="shared" si="25"/>
        <v>5.1147213094811884E-2</v>
      </c>
      <c r="P48" s="24">
        <f t="shared" si="26"/>
        <v>1.0612018745110054</v>
      </c>
      <c r="Q48" s="24">
        <f t="shared" si="27"/>
        <v>5.4277518412228214E-2</v>
      </c>
      <c r="R48" s="10">
        <v>1</v>
      </c>
      <c r="S48" s="10">
        <v>1</v>
      </c>
      <c r="T48" s="10">
        <v>164</v>
      </c>
      <c r="U48" s="18">
        <v>122885541.31</v>
      </c>
      <c r="V48" s="18">
        <v>121615211.29000001</v>
      </c>
    </row>
    <row r="49" spans="1:22">
      <c r="A49" s="105">
        <v>42</v>
      </c>
      <c r="B49" s="88" t="s">
        <v>267</v>
      </c>
      <c r="C49" s="88" t="s">
        <v>36</v>
      </c>
      <c r="D49" s="10">
        <v>844777257.95000005</v>
      </c>
      <c r="E49" s="10">
        <v>11470149.029999999</v>
      </c>
      <c r="F49" s="10">
        <v>0</v>
      </c>
      <c r="G49" s="10">
        <v>1477326.44</v>
      </c>
      <c r="H49" s="12">
        <f t="shared" si="21"/>
        <v>9992822.5899999999</v>
      </c>
      <c r="I49" s="45">
        <v>694889909.89999998</v>
      </c>
      <c r="J49" s="13">
        <f t="shared" si="14"/>
        <v>1.5943655463419092E-4</v>
      </c>
      <c r="K49" s="45">
        <v>832454031.25999999</v>
      </c>
      <c r="L49" s="13">
        <f t="shared" si="22"/>
        <v>1.8557350085429971E-4</v>
      </c>
      <c r="M49" s="13">
        <f t="shared" si="23"/>
        <v>0.197965345877301</v>
      </c>
      <c r="N49" s="20">
        <f t="shared" si="24"/>
        <v>1.7746642871846305E-3</v>
      </c>
      <c r="O49" s="21">
        <f t="shared" si="25"/>
        <v>1.2004053334782813E-2</v>
      </c>
      <c r="P49" s="24">
        <f t="shared" si="26"/>
        <v>100.00000003123296</v>
      </c>
      <c r="Q49" s="24">
        <f t="shared" si="27"/>
        <v>1.2004053338532035</v>
      </c>
      <c r="R49" s="10">
        <v>100</v>
      </c>
      <c r="S49" s="10">
        <v>100</v>
      </c>
      <c r="T49" s="10">
        <v>4649</v>
      </c>
      <c r="U49" s="18">
        <v>6948899.0999999996</v>
      </c>
      <c r="V49" s="18">
        <v>8324540.3099999996</v>
      </c>
    </row>
    <row r="50" spans="1:22">
      <c r="A50" s="105">
        <v>43</v>
      </c>
      <c r="B50" s="88" t="s">
        <v>78</v>
      </c>
      <c r="C50" s="88" t="s">
        <v>36</v>
      </c>
      <c r="D50" s="10">
        <v>249416237106.60001</v>
      </c>
      <c r="E50" s="10">
        <v>3643127378.1999998</v>
      </c>
      <c r="F50" s="10">
        <v>0</v>
      </c>
      <c r="G50" s="10">
        <v>257394550.59</v>
      </c>
      <c r="H50" s="12">
        <f t="shared" si="21"/>
        <v>3385732827.6099997</v>
      </c>
      <c r="I50" s="45">
        <v>210963916172.72</v>
      </c>
      <c r="J50" s="13">
        <f t="shared" si="14"/>
        <v>4.8403868681234891E-2</v>
      </c>
      <c r="K50" s="45">
        <v>244021593953.54001</v>
      </c>
      <c r="L50" s="13">
        <f t="shared" si="22"/>
        <v>5.4398128633557322E-2</v>
      </c>
      <c r="M50" s="13">
        <f t="shared" si="23"/>
        <v>0.1566982561783461</v>
      </c>
      <c r="N50" s="20">
        <f t="shared" si="24"/>
        <v>1.054802349332273E-3</v>
      </c>
      <c r="O50" s="21">
        <f t="shared" si="25"/>
        <v>1.3874726300880647E-2</v>
      </c>
      <c r="P50" s="24">
        <f t="shared" si="26"/>
        <v>99.999999999811493</v>
      </c>
      <c r="Q50" s="24">
        <f t="shared" si="27"/>
        <v>1.3874726300854494</v>
      </c>
      <c r="R50" s="10">
        <v>100</v>
      </c>
      <c r="S50" s="10">
        <v>100</v>
      </c>
      <c r="T50" s="10">
        <v>22853</v>
      </c>
      <c r="U50" s="18">
        <v>2109639161.73</v>
      </c>
      <c r="V50" s="18">
        <v>2440215939.54</v>
      </c>
    </row>
    <row r="51" spans="1:22">
      <c r="A51" s="105">
        <v>44</v>
      </c>
      <c r="B51" s="19" t="s">
        <v>79</v>
      </c>
      <c r="C51" s="19" t="s">
        <v>38</v>
      </c>
      <c r="D51" s="10">
        <v>42776009403.559998</v>
      </c>
      <c r="E51" s="10">
        <v>658653796.63</v>
      </c>
      <c r="F51" s="10">
        <v>0</v>
      </c>
      <c r="G51" s="10">
        <v>47647263.719999999</v>
      </c>
      <c r="H51" s="12">
        <f t="shared" si="21"/>
        <v>611006532.90999997</v>
      </c>
      <c r="I51" s="45">
        <v>40758865175.900002</v>
      </c>
      <c r="J51" s="13">
        <f t="shared" si="14"/>
        <v>9.3517734850692823E-3</v>
      </c>
      <c r="K51" s="45">
        <v>42620818050.830002</v>
      </c>
      <c r="L51" s="13">
        <f t="shared" si="22"/>
        <v>9.5011785851948707E-3</v>
      </c>
      <c r="M51" s="13">
        <f t="shared" si="23"/>
        <v>4.5682156922046503E-2</v>
      </c>
      <c r="N51" s="20">
        <f t="shared" si="24"/>
        <v>1.1179340495805455E-3</v>
      </c>
      <c r="O51" s="21">
        <f t="shared" si="25"/>
        <v>1.4335870610960767E-2</v>
      </c>
      <c r="P51" s="24">
        <f t="shared" si="26"/>
        <v>1.0015988846352786</v>
      </c>
      <c r="Q51" s="24">
        <f t="shared" si="27"/>
        <v>1.4358792014213972E-2</v>
      </c>
      <c r="R51" s="10">
        <v>1</v>
      </c>
      <c r="S51" s="10">
        <v>1</v>
      </c>
      <c r="T51" s="10">
        <v>2769</v>
      </c>
      <c r="U51" s="18">
        <v>40739885511</v>
      </c>
      <c r="V51" s="18">
        <v>42552781063</v>
      </c>
    </row>
    <row r="52" spans="1:22">
      <c r="A52" s="105">
        <v>45</v>
      </c>
      <c r="B52" s="19" t="s">
        <v>275</v>
      </c>
      <c r="C52" s="88" t="s">
        <v>276</v>
      </c>
      <c r="D52" s="10">
        <v>2080953426.02</v>
      </c>
      <c r="E52" s="10">
        <v>77005687.719999999</v>
      </c>
      <c r="F52" s="10"/>
      <c r="G52" s="10">
        <v>76450718.099999994</v>
      </c>
      <c r="H52" s="12">
        <f t="shared" si="21"/>
        <v>554969.62000000477</v>
      </c>
      <c r="I52" s="45">
        <v>4683034134.2299995</v>
      </c>
      <c r="J52" s="13">
        <f t="shared" si="14"/>
        <v>1.0744821833769188E-3</v>
      </c>
      <c r="K52" s="45">
        <v>4788545230.8400002</v>
      </c>
      <c r="L52" s="13">
        <f t="shared" si="22"/>
        <v>1.0674788866613045E-3</v>
      </c>
      <c r="M52" s="13">
        <f t="shared" si="23"/>
        <v>2.2530499156258894E-2</v>
      </c>
      <c r="N52" s="20">
        <f t="shared" si="24"/>
        <v>1.5965332771136657E-2</v>
      </c>
      <c r="O52" s="21">
        <f t="shared" si="25"/>
        <v>1.1589524443160637E-4</v>
      </c>
      <c r="P52" s="24">
        <f t="shared" si="26"/>
        <v>99.999999996658687</v>
      </c>
      <c r="Q52" s="24">
        <f t="shared" si="27"/>
        <v>1.1589524442773395E-2</v>
      </c>
      <c r="R52" s="10">
        <v>100</v>
      </c>
      <c r="S52" s="10">
        <v>100</v>
      </c>
      <c r="T52" s="10">
        <v>577</v>
      </c>
      <c r="U52" s="18">
        <v>46827050.579999998</v>
      </c>
      <c r="V52" s="18">
        <v>47885452.310000002</v>
      </c>
    </row>
    <row r="53" spans="1:22">
      <c r="A53" s="105">
        <v>46</v>
      </c>
      <c r="B53" s="19" t="s">
        <v>80</v>
      </c>
      <c r="C53" s="19" t="s">
        <v>40</v>
      </c>
      <c r="D53" s="10">
        <v>685008010.09000003</v>
      </c>
      <c r="E53" s="10">
        <v>9206608.2699999996</v>
      </c>
      <c r="F53" s="10">
        <v>0</v>
      </c>
      <c r="G53" s="10">
        <v>1387095.68</v>
      </c>
      <c r="H53" s="12">
        <f t="shared" si="21"/>
        <v>7819512.5899999999</v>
      </c>
      <c r="I53" s="45">
        <v>66976115617.57</v>
      </c>
      <c r="J53" s="13">
        <f t="shared" si="14"/>
        <v>1.5367097672181335E-2</v>
      </c>
      <c r="K53" s="45">
        <v>704655648.20000005</v>
      </c>
      <c r="L53" s="13">
        <f t="shared" si="22"/>
        <v>1.5708424804586948E-4</v>
      </c>
      <c r="M53" s="13">
        <f t="shared" si="23"/>
        <v>-0.98947900095873664</v>
      </c>
      <c r="N53" s="20">
        <f t="shared" si="24"/>
        <v>1.9684730882995848E-3</v>
      </c>
      <c r="O53" s="21">
        <f t="shared" si="25"/>
        <v>1.1096927428275739E-2</v>
      </c>
      <c r="P53" s="24">
        <f t="shared" si="26"/>
        <v>112.42507416281983</v>
      </c>
      <c r="Q53" s="24">
        <f t="shared" si="27"/>
        <v>1.2475728891033293</v>
      </c>
      <c r="R53" s="10">
        <v>112.3</v>
      </c>
      <c r="S53" s="10">
        <v>112.3</v>
      </c>
      <c r="T53" s="10">
        <v>264</v>
      </c>
      <c r="U53" s="18">
        <v>6197756.9299999997</v>
      </c>
      <c r="V53" s="18">
        <v>6267780.1500000004</v>
      </c>
    </row>
    <row r="54" spans="1:22" ht="14.1" customHeight="1">
      <c r="A54" s="105">
        <v>47</v>
      </c>
      <c r="B54" s="19" t="s">
        <v>81</v>
      </c>
      <c r="C54" s="19" t="s">
        <v>260</v>
      </c>
      <c r="D54" s="10">
        <v>13604172915.549999</v>
      </c>
      <c r="E54" s="10">
        <v>518238864.38999999</v>
      </c>
      <c r="F54" s="10">
        <v>378849.31</v>
      </c>
      <c r="G54" s="10">
        <v>39439681.039999999</v>
      </c>
      <c r="H54" s="12">
        <f t="shared" si="21"/>
        <v>479178032.65999997</v>
      </c>
      <c r="I54" s="45">
        <v>31120651097</v>
      </c>
      <c r="J54" s="13">
        <f t="shared" si="14"/>
        <v>7.1403675865612595E-3</v>
      </c>
      <c r="K54" s="45">
        <v>31665552326.98</v>
      </c>
      <c r="L54" s="13">
        <f t="shared" si="22"/>
        <v>7.0589932670616813E-3</v>
      </c>
      <c r="M54" s="13">
        <f t="shared" si="23"/>
        <v>1.7509313294300822E-2</v>
      </c>
      <c r="N54" s="20">
        <f t="shared" si="24"/>
        <v>1.2455074407906729E-3</v>
      </c>
      <c r="O54" s="21">
        <f t="shared" si="25"/>
        <v>1.5132470380177955E-2</v>
      </c>
      <c r="P54" s="24">
        <f t="shared" si="26"/>
        <v>100.00043798884674</v>
      </c>
      <c r="Q54" s="24">
        <f t="shared" si="27"/>
        <v>1.5132536658710456</v>
      </c>
      <c r="R54" s="10">
        <v>100</v>
      </c>
      <c r="S54" s="10">
        <v>100</v>
      </c>
      <c r="T54" s="10">
        <v>5273</v>
      </c>
      <c r="U54" s="18">
        <v>311206511</v>
      </c>
      <c r="V54" s="18">
        <v>316654136.36000001</v>
      </c>
    </row>
    <row r="55" spans="1:22">
      <c r="A55" s="105">
        <v>48</v>
      </c>
      <c r="B55" s="19" t="s">
        <v>82</v>
      </c>
      <c r="C55" s="88" t="s">
        <v>83</v>
      </c>
      <c r="D55" s="10">
        <v>164130227.97</v>
      </c>
      <c r="E55" s="10">
        <v>3014339.92</v>
      </c>
      <c r="F55" s="10">
        <v>0</v>
      </c>
      <c r="G55" s="10">
        <v>2796631.28</v>
      </c>
      <c r="H55" s="12">
        <f t="shared" si="21"/>
        <v>217708.64000000013</v>
      </c>
      <c r="I55" s="45">
        <v>201665906.28</v>
      </c>
      <c r="J55" s="13">
        <f t="shared" si="14"/>
        <v>4.627051972749453E-5</v>
      </c>
      <c r="K55" s="45">
        <v>176226028.66</v>
      </c>
      <c r="L55" s="13">
        <f t="shared" si="22"/>
        <v>3.9284909258697887E-5</v>
      </c>
      <c r="M55" s="13">
        <f t="shared" si="23"/>
        <v>-0.1261486291325733</v>
      </c>
      <c r="N55" s="20">
        <f t="shared" si="24"/>
        <v>1.5869569899890631E-2</v>
      </c>
      <c r="O55" s="21">
        <f t="shared" si="25"/>
        <v>1.2353943492651373E-3</v>
      </c>
      <c r="P55" s="24">
        <f t="shared" si="26"/>
        <v>1.0022281818629657</v>
      </c>
      <c r="Q55" s="24">
        <f t="shared" si="27"/>
        <v>1.2381470325477802E-3</v>
      </c>
      <c r="R55" s="10">
        <v>1</v>
      </c>
      <c r="S55" s="10">
        <v>1</v>
      </c>
      <c r="T55" s="10">
        <v>94</v>
      </c>
      <c r="U55" s="18">
        <v>201491538</v>
      </c>
      <c r="V55" s="18">
        <v>175834238</v>
      </c>
    </row>
    <row r="56" spans="1:22" ht="15" customHeight="1">
      <c r="A56" s="105">
        <v>49</v>
      </c>
      <c r="B56" s="88" t="s">
        <v>84</v>
      </c>
      <c r="C56" s="88" t="s">
        <v>42</v>
      </c>
      <c r="D56" s="10">
        <v>2425722455.5300002</v>
      </c>
      <c r="E56" s="10">
        <v>79693558.519999996</v>
      </c>
      <c r="F56" s="10">
        <v>0</v>
      </c>
      <c r="G56" s="10">
        <v>2770776.14</v>
      </c>
      <c r="H56" s="12">
        <f t="shared" si="21"/>
        <v>76922782.379999995</v>
      </c>
      <c r="I56" s="45">
        <v>1986831754.9400001</v>
      </c>
      <c r="J56" s="13">
        <f t="shared" si="14"/>
        <v>4.5586157624741291E-4</v>
      </c>
      <c r="K56" s="45">
        <v>2438540891.5500002</v>
      </c>
      <c r="L56" s="13">
        <f t="shared" si="22"/>
        <v>5.4360787890756293E-4</v>
      </c>
      <c r="M56" s="13">
        <f t="shared" si="23"/>
        <v>0.22735147829547409</v>
      </c>
      <c r="N56" s="20">
        <f t="shared" si="24"/>
        <v>1.1362434600138375E-3</v>
      </c>
      <c r="O56" s="21">
        <f t="shared" si="25"/>
        <v>3.1544594001499754E-2</v>
      </c>
      <c r="P56" s="24">
        <f t="shared" si="26"/>
        <v>10.665222485035908</v>
      </c>
      <c r="Q56" s="24">
        <f t="shared" si="27"/>
        <v>0.33643011322612398</v>
      </c>
      <c r="R56" s="10">
        <v>10</v>
      </c>
      <c r="S56" s="10">
        <v>10</v>
      </c>
      <c r="T56" s="10">
        <v>921</v>
      </c>
      <c r="U56" s="18">
        <v>193051504.83000001</v>
      </c>
      <c r="V56" s="18">
        <v>228644165.18000001</v>
      </c>
    </row>
    <row r="57" spans="1:22" ht="15" customHeight="1">
      <c r="A57" s="105">
        <v>50</v>
      </c>
      <c r="B57" s="10" t="s">
        <v>208</v>
      </c>
      <c r="C57" s="10" t="s">
        <v>209</v>
      </c>
      <c r="D57" s="10">
        <v>619508514.59000003</v>
      </c>
      <c r="E57" s="10">
        <v>21510320.02</v>
      </c>
      <c r="F57" s="10">
        <v>0</v>
      </c>
      <c r="G57" s="10">
        <v>1749359.96</v>
      </c>
      <c r="H57" s="12">
        <f t="shared" si="21"/>
        <v>19760960.059999999</v>
      </c>
      <c r="I57" s="45">
        <v>1088392419</v>
      </c>
      <c r="J57" s="13">
        <f t="shared" si="14"/>
        <v>2.4972234436431085E-4</v>
      </c>
      <c r="K57" s="45">
        <v>1079521525</v>
      </c>
      <c r="L57" s="13">
        <f t="shared" si="22"/>
        <v>2.4065063188967036E-4</v>
      </c>
      <c r="M57" s="13">
        <f t="shared" si="23"/>
        <v>-8.150455520583702E-3</v>
      </c>
      <c r="N57" s="20">
        <f t="shared" si="24"/>
        <v>1.6204956728398722E-3</v>
      </c>
      <c r="O57" s="21">
        <f t="shared" si="25"/>
        <v>1.8305295079688196E-2</v>
      </c>
      <c r="P57" s="24">
        <f t="shared" si="26"/>
        <v>1</v>
      </c>
      <c r="Q57" s="24">
        <f t="shared" si="27"/>
        <v>1.8305295079688196E-2</v>
      </c>
      <c r="R57" s="10">
        <v>1</v>
      </c>
      <c r="S57" s="10">
        <v>1</v>
      </c>
      <c r="T57" s="10">
        <v>172</v>
      </c>
      <c r="U57" s="18">
        <v>1088392419</v>
      </c>
      <c r="V57" s="18">
        <v>1079521525</v>
      </c>
    </row>
    <row r="58" spans="1:22" ht="15" customHeight="1">
      <c r="A58" s="105">
        <v>51</v>
      </c>
      <c r="B58" s="10" t="s">
        <v>295</v>
      </c>
      <c r="C58" s="10" t="s">
        <v>296</v>
      </c>
      <c r="D58" s="10">
        <v>1579577296.99</v>
      </c>
      <c r="E58" s="10">
        <v>22330041.120000001</v>
      </c>
      <c r="F58" s="10">
        <v>0</v>
      </c>
      <c r="G58" s="10">
        <v>0</v>
      </c>
      <c r="H58" s="12">
        <f t="shared" si="21"/>
        <v>22330041.120000001</v>
      </c>
      <c r="I58" s="45">
        <v>1577607500.4400001</v>
      </c>
      <c r="J58" s="13">
        <f t="shared" si="14"/>
        <v>3.6196856631780466E-4</v>
      </c>
      <c r="K58" s="45">
        <v>1852163418.8900001</v>
      </c>
      <c r="L58" s="13">
        <f t="shared" si="22"/>
        <v>4.1289060643678296E-4</v>
      </c>
      <c r="M58" s="13">
        <f t="shared" si="23"/>
        <v>0.17403309655502111</v>
      </c>
      <c r="N58" s="20">
        <f t="shared" si="24"/>
        <v>0</v>
      </c>
      <c r="O58" s="21">
        <f t="shared" si="25"/>
        <v>1.2056193796000125E-2</v>
      </c>
      <c r="P58" s="24">
        <f t="shared" si="26"/>
        <v>1</v>
      </c>
      <c r="Q58" s="24">
        <f t="shared" si="27"/>
        <v>1.2056193796000125E-2</v>
      </c>
      <c r="R58" s="10">
        <v>1</v>
      </c>
      <c r="S58" s="10">
        <v>1</v>
      </c>
      <c r="T58" s="10">
        <v>1638</v>
      </c>
      <c r="U58" s="18">
        <v>1577607500.4400001</v>
      </c>
      <c r="V58" s="18">
        <v>1852163418.8900001</v>
      </c>
    </row>
    <row r="59" spans="1:22" ht="15" customHeight="1">
      <c r="A59" s="105">
        <v>52</v>
      </c>
      <c r="B59" s="83" t="s">
        <v>210</v>
      </c>
      <c r="C59" s="84" t="s">
        <v>211</v>
      </c>
      <c r="D59" s="10">
        <v>15897013457.1</v>
      </c>
      <c r="E59" s="10">
        <v>707552018.44000006</v>
      </c>
      <c r="F59" s="10">
        <v>0</v>
      </c>
      <c r="G59" s="10">
        <v>23989967.91</v>
      </c>
      <c r="H59" s="12">
        <f t="shared" si="21"/>
        <v>683562050.53000009</v>
      </c>
      <c r="I59" s="45">
        <v>14627287175.51</v>
      </c>
      <c r="J59" s="13">
        <f t="shared" si="14"/>
        <v>3.356106107863634E-3</v>
      </c>
      <c r="K59" s="45">
        <v>16130872216.040001</v>
      </c>
      <c r="L59" s="13">
        <f t="shared" si="22"/>
        <v>3.5959492254881657E-3</v>
      </c>
      <c r="M59" s="13">
        <f t="shared" si="23"/>
        <v>0.10279315791703365</v>
      </c>
      <c r="N59" s="20">
        <f t="shared" si="24"/>
        <v>1.4872083535659763E-3</v>
      </c>
      <c r="O59" s="21">
        <f t="shared" si="25"/>
        <v>4.2376012987709911E-2</v>
      </c>
      <c r="P59" s="24">
        <f t="shared" si="26"/>
        <v>100.04596748299311</v>
      </c>
      <c r="Q59" s="24">
        <f t="shared" si="27"/>
        <v>4.239549217427319</v>
      </c>
      <c r="R59" s="10">
        <v>100</v>
      </c>
      <c r="S59" s="10">
        <v>100</v>
      </c>
      <c r="T59" s="10">
        <v>153</v>
      </c>
      <c r="U59" s="18">
        <v>146232844.53999999</v>
      </c>
      <c r="V59" s="18">
        <v>161234606.66999999</v>
      </c>
    </row>
    <row r="60" spans="1:22" ht="15" customHeight="1">
      <c r="A60" s="105">
        <v>53</v>
      </c>
      <c r="B60" s="83" t="s">
        <v>212</v>
      </c>
      <c r="C60" s="84" t="s">
        <v>110</v>
      </c>
      <c r="D60" s="10">
        <v>71071621.920000002</v>
      </c>
      <c r="E60" s="10">
        <v>1231068</v>
      </c>
      <c r="F60" s="10">
        <v>0</v>
      </c>
      <c r="G60" s="10">
        <v>78447</v>
      </c>
      <c r="H60" s="12">
        <f t="shared" si="21"/>
        <v>1152621</v>
      </c>
      <c r="I60" s="45">
        <v>69951036.489999995</v>
      </c>
      <c r="J60" s="13">
        <f t="shared" si="14"/>
        <v>1.6049667856971953E-5</v>
      </c>
      <c r="K60" s="45">
        <v>70681027.469999999</v>
      </c>
      <c r="L60" s="13">
        <f t="shared" si="22"/>
        <v>1.5756456475721174E-5</v>
      </c>
      <c r="M60" s="13">
        <f t="shared" si="23"/>
        <v>1.0435742150930983E-2</v>
      </c>
      <c r="N60" s="20">
        <f t="shared" si="24"/>
        <v>1.1098735093133191E-3</v>
      </c>
      <c r="O60" s="21">
        <f t="shared" si="25"/>
        <v>1.6307360564179984E-2</v>
      </c>
      <c r="P60" s="24">
        <f t="shared" si="26"/>
        <v>1205.9550839447193</v>
      </c>
      <c r="Q60" s="24">
        <f t="shared" si="27"/>
        <v>19.665944378092476</v>
      </c>
      <c r="R60" s="10">
        <v>1000</v>
      </c>
      <c r="S60" s="10">
        <v>1000</v>
      </c>
      <c r="T60" s="10">
        <v>19</v>
      </c>
      <c r="U60" s="18">
        <v>58610</v>
      </c>
      <c r="V60" s="18">
        <v>58610</v>
      </c>
    </row>
    <row r="61" spans="1:22">
      <c r="A61" s="105">
        <v>54</v>
      </c>
      <c r="B61" s="19" t="s">
        <v>85</v>
      </c>
      <c r="C61" s="19" t="s">
        <v>46</v>
      </c>
      <c r="D61" s="10">
        <v>2241010974673.0298</v>
      </c>
      <c r="E61" s="10">
        <v>33386856987.75</v>
      </c>
      <c r="F61" s="10">
        <v>0</v>
      </c>
      <c r="G61" s="10">
        <v>3469080894.9699998</v>
      </c>
      <c r="H61" s="12">
        <f t="shared" si="21"/>
        <v>29917776092.779999</v>
      </c>
      <c r="I61" s="45">
        <v>2128369889592.8101</v>
      </c>
      <c r="J61" s="13">
        <f t="shared" si="14"/>
        <v>0.48833629233825626</v>
      </c>
      <c r="K61" s="45">
        <v>2233745973984.7598</v>
      </c>
      <c r="L61" s="13">
        <f t="shared" si="22"/>
        <v>0.49795429518687884</v>
      </c>
      <c r="M61" s="13">
        <f t="shared" si="23"/>
        <v>4.9510230767317316E-2</v>
      </c>
      <c r="N61" s="20">
        <f t="shared" si="24"/>
        <v>1.5530328584237073E-3</v>
      </c>
      <c r="O61" s="21">
        <f t="shared" si="25"/>
        <v>1.3393544494860327E-2</v>
      </c>
      <c r="P61" s="24">
        <f t="shared" si="26"/>
        <v>1</v>
      </c>
      <c r="Q61" s="24">
        <f t="shared" si="27"/>
        <v>1.3393544494860327E-2</v>
      </c>
      <c r="R61" s="10">
        <v>100</v>
      </c>
      <c r="S61" s="10">
        <v>100</v>
      </c>
      <c r="T61" s="10">
        <v>257138</v>
      </c>
      <c r="U61" s="18">
        <v>2128369889592.8101</v>
      </c>
      <c r="V61" s="18">
        <v>2233745973984.7598</v>
      </c>
    </row>
    <row r="62" spans="1:22">
      <c r="A62" s="66">
        <v>55</v>
      </c>
      <c r="B62" s="19" t="s">
        <v>297</v>
      </c>
      <c r="C62" s="19" t="s">
        <v>298</v>
      </c>
      <c r="D62" s="10">
        <v>3320786430.8299999</v>
      </c>
      <c r="E62" s="10">
        <v>447647311.05000001</v>
      </c>
      <c r="F62" s="10">
        <v>0</v>
      </c>
      <c r="G62" s="10">
        <v>44939017.079999998</v>
      </c>
      <c r="H62" s="12">
        <f t="shared" si="21"/>
        <v>402708293.97000003</v>
      </c>
      <c r="I62" s="45">
        <v>6683464366.783</v>
      </c>
      <c r="J62" s="13">
        <f t="shared" si="14"/>
        <v>1.5334638141653438E-3</v>
      </c>
      <c r="K62" s="45">
        <v>6980231554.0679998</v>
      </c>
      <c r="L62" s="13">
        <f t="shared" si="22"/>
        <v>1.5560571005961924E-3</v>
      </c>
      <c r="M62" s="13">
        <f t="shared" si="23"/>
        <v>4.4403197353746787E-2</v>
      </c>
      <c r="N62" s="20">
        <f t="shared" si="24"/>
        <v>6.438041020832618E-3</v>
      </c>
      <c r="O62" s="21">
        <f t="shared" si="25"/>
        <v>5.7692684096605107E-2</v>
      </c>
      <c r="P62" s="24">
        <f t="shared" si="26"/>
        <v>99.999999999971337</v>
      </c>
      <c r="Q62" s="24">
        <f t="shared" si="27"/>
        <v>5.7692684096588573</v>
      </c>
      <c r="R62" s="10">
        <v>100</v>
      </c>
      <c r="S62" s="10">
        <v>100</v>
      </c>
      <c r="T62" s="10">
        <v>844</v>
      </c>
      <c r="U62" s="18">
        <v>66834643.670000002</v>
      </c>
      <c r="V62" s="18">
        <v>69802315.540700004</v>
      </c>
    </row>
    <row r="63" spans="1:22">
      <c r="A63" s="66">
        <v>56</v>
      </c>
      <c r="B63" s="19" t="s">
        <v>86</v>
      </c>
      <c r="C63" s="19" t="s">
        <v>87</v>
      </c>
      <c r="D63" s="10">
        <v>9462338019.4200001</v>
      </c>
      <c r="E63" s="10">
        <v>149528604.18000001</v>
      </c>
      <c r="F63" s="10">
        <v>0</v>
      </c>
      <c r="G63" s="10">
        <v>11952157.109999999</v>
      </c>
      <c r="H63" s="12">
        <f t="shared" si="21"/>
        <v>137576447.06999999</v>
      </c>
      <c r="I63" s="45">
        <v>7419674329.8100004</v>
      </c>
      <c r="J63" s="13">
        <f t="shared" si="14"/>
        <v>1.7023809020667664E-3</v>
      </c>
      <c r="K63" s="45">
        <v>9441518394.0799999</v>
      </c>
      <c r="L63" s="13">
        <f t="shared" si="22"/>
        <v>2.1047355841591927E-3</v>
      </c>
      <c r="M63" s="13">
        <f t="shared" si="23"/>
        <v>0.27249768310542194</v>
      </c>
      <c r="N63" s="20">
        <f t="shared" si="24"/>
        <v>1.2659147195533947E-3</v>
      </c>
      <c r="O63" s="21">
        <f t="shared" si="25"/>
        <v>1.4571432403951347E-2</v>
      </c>
      <c r="P63" s="24">
        <f t="shared" si="26"/>
        <v>1.0265587872780417</v>
      </c>
      <c r="Q63" s="24">
        <f t="shared" si="27"/>
        <v>1.4958431977504256E-2</v>
      </c>
      <c r="R63" s="10">
        <v>1</v>
      </c>
      <c r="S63" s="10">
        <v>1</v>
      </c>
      <c r="T63" s="10">
        <v>605</v>
      </c>
      <c r="U63" s="18">
        <v>7302195101.4499998</v>
      </c>
      <c r="V63" s="18">
        <v>9197250572.5799999</v>
      </c>
    </row>
    <row r="64" spans="1:22">
      <c r="A64" s="105">
        <v>57</v>
      </c>
      <c r="B64" s="19" t="s">
        <v>88</v>
      </c>
      <c r="C64" s="19" t="s">
        <v>50</v>
      </c>
      <c r="D64" s="10">
        <v>73013280934</v>
      </c>
      <c r="E64" s="10">
        <v>2957925348</v>
      </c>
      <c r="F64" s="10">
        <v>0</v>
      </c>
      <c r="G64" s="10">
        <v>288363260</v>
      </c>
      <c r="H64" s="12">
        <f t="shared" si="21"/>
        <v>2669562088</v>
      </c>
      <c r="I64" s="45">
        <v>188494685437.43997</v>
      </c>
      <c r="J64" s="13">
        <f t="shared" si="14"/>
        <v>4.3248495603175299E-2</v>
      </c>
      <c r="K64" s="45">
        <v>208803251177</v>
      </c>
      <c r="L64" s="13">
        <f t="shared" si="22"/>
        <v>4.6547135163759343E-2</v>
      </c>
      <c r="M64" s="13">
        <f t="shared" si="23"/>
        <v>0.10774078692155113</v>
      </c>
      <c r="N64" s="20">
        <f t="shared" si="24"/>
        <v>1.381028592105388E-3</v>
      </c>
      <c r="O64" s="21">
        <f t="shared" si="25"/>
        <v>1.2785059968903665E-2</v>
      </c>
      <c r="P64" s="24">
        <f t="shared" si="26"/>
        <v>1.0212919292964748</v>
      </c>
      <c r="Q64" s="24">
        <f t="shared" si="27"/>
        <v>1.3057278561812753E-2</v>
      </c>
      <c r="R64" s="10">
        <v>1</v>
      </c>
      <c r="S64" s="10">
        <v>1</v>
      </c>
      <c r="T64" s="10">
        <v>17676</v>
      </c>
      <c r="U64" s="18">
        <v>187081000615.26001</v>
      </c>
      <c r="V64" s="18">
        <v>204450113809.12</v>
      </c>
    </row>
    <row r="65" spans="1:23">
      <c r="A65" s="105">
        <v>58</v>
      </c>
      <c r="B65" s="101" t="s">
        <v>89</v>
      </c>
      <c r="C65" s="19" t="s">
        <v>90</v>
      </c>
      <c r="D65" s="10">
        <v>1203121174.9000001</v>
      </c>
      <c r="E65" s="10">
        <v>34100436.469999999</v>
      </c>
      <c r="F65" s="10">
        <v>0</v>
      </c>
      <c r="G65" s="10">
        <v>4850411.8499999996</v>
      </c>
      <c r="H65" s="12">
        <f t="shared" si="21"/>
        <v>29250024.619999997</v>
      </c>
      <c r="I65" s="45">
        <v>2254944700.3800001</v>
      </c>
      <c r="J65" s="13">
        <f t="shared" si="14"/>
        <v>5.1737780157284615E-4</v>
      </c>
      <c r="K65" s="45">
        <v>2434376774.1100001</v>
      </c>
      <c r="L65" s="13">
        <f t="shared" si="22"/>
        <v>5.4267959960048863E-4</v>
      </c>
      <c r="M65" s="13">
        <f t="shared" si="23"/>
        <v>7.9572715774254857E-2</v>
      </c>
      <c r="N65" s="20">
        <f t="shared" si="24"/>
        <v>1.9924655466585666E-3</v>
      </c>
      <c r="O65" s="21">
        <f t="shared" si="25"/>
        <v>1.2015405721529572E-2</v>
      </c>
      <c r="P65" s="24">
        <f t="shared" si="26"/>
        <v>1.0259827409557376</v>
      </c>
      <c r="Q65" s="24">
        <f t="shared" si="27"/>
        <v>1.2327598895870161E-2</v>
      </c>
      <c r="R65" s="10">
        <v>1</v>
      </c>
      <c r="S65" s="10">
        <v>1</v>
      </c>
      <c r="T65" s="10">
        <v>153</v>
      </c>
      <c r="U65" s="18">
        <v>2222544778.48</v>
      </c>
      <c r="V65" s="18">
        <v>2372726827.5900002</v>
      </c>
    </row>
    <row r="66" spans="1:23">
      <c r="A66" s="105">
        <v>59</v>
      </c>
      <c r="B66" s="19" t="s">
        <v>91</v>
      </c>
      <c r="C66" s="19" t="s">
        <v>92</v>
      </c>
      <c r="D66" s="10">
        <v>8041993972.7700005</v>
      </c>
      <c r="E66" s="10">
        <v>111004095.05</v>
      </c>
      <c r="F66" s="10">
        <v>0</v>
      </c>
      <c r="G66" s="10">
        <v>11421742.92</v>
      </c>
      <c r="H66" s="12">
        <f t="shared" si="21"/>
        <v>99582352.129999995</v>
      </c>
      <c r="I66" s="45">
        <v>7394688751.5200005</v>
      </c>
      <c r="J66" s="13">
        <f t="shared" si="14"/>
        <v>1.6966481745348994E-3</v>
      </c>
      <c r="K66" s="45">
        <v>8057236096.1800003</v>
      </c>
      <c r="L66" s="13">
        <f t="shared" si="22"/>
        <v>1.7961466380487206E-3</v>
      </c>
      <c r="M66" s="13">
        <f t="shared" si="23"/>
        <v>8.9597732497369992E-2</v>
      </c>
      <c r="N66" s="20">
        <f t="shared" si="24"/>
        <v>1.4175758018826255E-3</v>
      </c>
      <c r="O66" s="21">
        <f t="shared" si="25"/>
        <v>1.2359368763838604E-2</v>
      </c>
      <c r="P66" s="24">
        <f t="shared" si="26"/>
        <v>1.024755846311626</v>
      </c>
      <c r="Q66" s="24">
        <f t="shared" si="27"/>
        <v>1.2665335397464903E-2</v>
      </c>
      <c r="R66" s="10">
        <v>1</v>
      </c>
      <c r="S66" s="10">
        <v>1</v>
      </c>
      <c r="T66" s="10">
        <v>536</v>
      </c>
      <c r="U66" s="18">
        <v>7297661557.4899998</v>
      </c>
      <c r="V66" s="18">
        <v>7862591001.7299995</v>
      </c>
    </row>
    <row r="67" spans="1:23">
      <c r="A67" s="105">
        <v>60</v>
      </c>
      <c r="B67" s="83" t="s">
        <v>293</v>
      </c>
      <c r="C67" s="83" t="s">
        <v>291</v>
      </c>
      <c r="D67" s="10">
        <v>36881338196.980003</v>
      </c>
      <c r="E67" s="10">
        <v>160108361.94999999</v>
      </c>
      <c r="F67" s="10">
        <v>0</v>
      </c>
      <c r="G67" s="10">
        <v>19539037.210000001</v>
      </c>
      <c r="H67" s="12">
        <f t="shared" si="21"/>
        <v>140569324.73999998</v>
      </c>
      <c r="I67" s="45">
        <v>8960557973.7900009</v>
      </c>
      <c r="J67" s="13">
        <f t="shared" si="14"/>
        <v>2.0559234931855565E-3</v>
      </c>
      <c r="K67" s="45">
        <v>8748163117.8500004</v>
      </c>
      <c r="L67" s="13">
        <f t="shared" si="22"/>
        <v>1.9501704536966148E-3</v>
      </c>
      <c r="M67" s="13">
        <f t="shared" si="23"/>
        <v>-2.3703306932588816E-2</v>
      </c>
      <c r="N67" s="20">
        <f t="shared" si="24"/>
        <v>2.2335017016465999E-3</v>
      </c>
      <c r="O67" s="21">
        <f t="shared" si="25"/>
        <v>1.6068438922129644E-2</v>
      </c>
      <c r="P67" s="24">
        <f t="shared" si="26"/>
        <v>1.0008859553140304</v>
      </c>
      <c r="Q67" s="24">
        <f t="shared" si="27"/>
        <v>1.608267484098088E-2</v>
      </c>
      <c r="R67" s="10">
        <v>1</v>
      </c>
      <c r="S67" s="10">
        <v>1</v>
      </c>
      <c r="T67" s="10">
        <v>5178</v>
      </c>
      <c r="U67" s="18">
        <v>8946863283.0599995</v>
      </c>
      <c r="V67" s="18">
        <v>8740419496.75</v>
      </c>
    </row>
    <row r="68" spans="1:23">
      <c r="A68" s="105">
        <v>61</v>
      </c>
      <c r="B68" s="19" t="s">
        <v>93</v>
      </c>
      <c r="C68" s="19" t="s">
        <v>94</v>
      </c>
      <c r="D68" s="10">
        <v>121780851303.23</v>
      </c>
      <c r="E68" s="10">
        <v>1939335222.5899999</v>
      </c>
      <c r="F68" s="10">
        <v>0</v>
      </c>
      <c r="G68" s="10">
        <v>145394799.97999999</v>
      </c>
      <c r="H68" s="12">
        <f t="shared" si="21"/>
        <v>1793940422.6099999</v>
      </c>
      <c r="I68" s="45">
        <v>134687488592.10001</v>
      </c>
      <c r="J68" s="13">
        <f t="shared" si="14"/>
        <v>3.0902893864938417E-2</v>
      </c>
      <c r="K68" s="45">
        <v>122196345775.55</v>
      </c>
      <c r="L68" s="13">
        <f t="shared" si="22"/>
        <v>2.7240427489849971E-2</v>
      </c>
      <c r="M68" s="13">
        <f t="shared" si="23"/>
        <v>-9.2741671458284672E-2</v>
      </c>
      <c r="N68" s="20">
        <f t="shared" si="24"/>
        <v>1.1898457278506581E-3</v>
      </c>
      <c r="O68" s="21">
        <f t="shared" si="25"/>
        <v>1.4680802533204274E-2</v>
      </c>
      <c r="P68" s="24">
        <f t="shared" si="26"/>
        <v>1.0296101164583733</v>
      </c>
      <c r="Q68" s="24">
        <f t="shared" si="27"/>
        <v>1.5115502805914833E-2</v>
      </c>
      <c r="R68" s="10">
        <v>1</v>
      </c>
      <c r="S68" s="10">
        <v>1</v>
      </c>
      <c r="T68" s="10">
        <v>6824</v>
      </c>
      <c r="U68" s="18">
        <v>132926589036.83</v>
      </c>
      <c r="V68" s="18">
        <v>118682153392.08</v>
      </c>
    </row>
    <row r="69" spans="1:23" ht="15" customHeight="1">
      <c r="A69" s="112" t="s">
        <v>51</v>
      </c>
      <c r="B69" s="112"/>
      <c r="C69" s="112"/>
      <c r="D69" s="112"/>
      <c r="E69" s="112"/>
      <c r="F69" s="112"/>
      <c r="G69" s="112"/>
      <c r="H69" s="112"/>
      <c r="I69" s="26">
        <f>SUM(I27:I68)</f>
        <v>4358410224646.0732</v>
      </c>
      <c r="J69" s="35">
        <f>(I69/$I$237)</f>
        <v>0.60268102415536406</v>
      </c>
      <c r="K69" s="37">
        <f>SUM(K27:K68)</f>
        <v>4485845378934.7275</v>
      </c>
      <c r="L69" s="35">
        <f>(K69/$K$237)</f>
        <v>0.60848070651556174</v>
      </c>
      <c r="M69" s="35">
        <f t="shared" si="16"/>
        <v>2.9238907702636624E-2</v>
      </c>
      <c r="N69" s="20"/>
      <c r="O69" s="20"/>
      <c r="P69" s="38"/>
      <c r="Q69" s="38"/>
      <c r="R69" s="37"/>
      <c r="S69" s="37"/>
      <c r="T69" s="37">
        <f>SUM(T27:T68)</f>
        <v>529020</v>
      </c>
      <c r="U69" s="37"/>
      <c r="V69" s="37"/>
    </row>
    <row r="70" spans="1:23" ht="6" customHeight="1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5"/>
    </row>
    <row r="71" spans="1:23" ht="12.75" customHeight="1">
      <c r="A71" s="115" t="s">
        <v>95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7"/>
    </row>
    <row r="72" spans="1:23">
      <c r="A72" s="66">
        <v>62</v>
      </c>
      <c r="B72" s="19" t="s">
        <v>96</v>
      </c>
      <c r="C72" s="19" t="s">
        <v>24</v>
      </c>
      <c r="D72" s="10">
        <v>738972099.69000006</v>
      </c>
      <c r="E72" s="10">
        <v>9209249.0600000005</v>
      </c>
      <c r="F72" s="10">
        <v>0</v>
      </c>
      <c r="G72" s="10">
        <v>929485.34</v>
      </c>
      <c r="H72" s="12">
        <f t="shared" ref="H72:H110" si="30">(E72+F72)-G72</f>
        <v>8279763.7200000007</v>
      </c>
      <c r="I72" s="10">
        <v>675523579.67999995</v>
      </c>
      <c r="J72" s="13">
        <f t="shared" ref="J72:J110" si="31">(I72/$I$111)</f>
        <v>2.799290675729536E-3</v>
      </c>
      <c r="K72" s="10">
        <v>747800881.59000003</v>
      </c>
      <c r="L72" s="13">
        <f t="shared" ref="L72" si="32">(K72/$K$111)</f>
        <v>3.0981148118759227E-3</v>
      </c>
      <c r="M72" s="13">
        <f t="shared" ref="M72:M111" si="33">((K72-I72)/I72)</f>
        <v>0.10699449150870252</v>
      </c>
      <c r="N72" s="20">
        <f t="shared" ref="N72" si="34">(G72/K72)</f>
        <v>1.2429583367482746E-3</v>
      </c>
      <c r="O72" s="21">
        <f t="shared" ref="O72" si="35">H72/K72</f>
        <v>1.107215025261174E-2</v>
      </c>
      <c r="P72" s="24">
        <f t="shared" ref="P72" si="36">K72/V72</f>
        <v>1.7763685984477069</v>
      </c>
      <c r="Q72" s="24">
        <f t="shared" ref="Q72" si="37">H72/V72</f>
        <v>1.9668220026034338E-2</v>
      </c>
      <c r="R72" s="10">
        <v>1.69</v>
      </c>
      <c r="S72" s="10">
        <v>1.69</v>
      </c>
      <c r="T72" s="17">
        <v>410</v>
      </c>
      <c r="U72" s="10">
        <v>386471725.72000003</v>
      </c>
      <c r="V72" s="10">
        <v>420971684.73000002</v>
      </c>
    </row>
    <row r="73" spans="1:23" ht="13.05" customHeight="1">
      <c r="A73" s="66">
        <v>63</v>
      </c>
      <c r="B73" s="19" t="s">
        <v>97</v>
      </c>
      <c r="C73" s="88" t="s">
        <v>26</v>
      </c>
      <c r="D73" s="10">
        <v>1101908793.05</v>
      </c>
      <c r="E73" s="10">
        <v>16611591.25</v>
      </c>
      <c r="F73" s="10">
        <v>683200.37</v>
      </c>
      <c r="G73" s="10">
        <v>2351666.31</v>
      </c>
      <c r="H73" s="12">
        <f t="shared" si="30"/>
        <v>14943125.310000001</v>
      </c>
      <c r="I73" s="10">
        <v>1357171806</v>
      </c>
      <c r="J73" s="13">
        <f t="shared" si="31"/>
        <v>5.6239611705315795E-3</v>
      </c>
      <c r="K73" s="10">
        <v>1355032225</v>
      </c>
      <c r="L73" s="13">
        <f t="shared" ref="L73:L110" si="38">(K73/$K$111)</f>
        <v>5.613854583743816E-3</v>
      </c>
      <c r="M73" s="13">
        <f t="shared" ref="M73:M110" si="39">((K73-I73)/I73)</f>
        <v>-1.576499740519956E-3</v>
      </c>
      <c r="N73" s="20">
        <f t="shared" ref="N73:N110" si="40">(G73/K73)</f>
        <v>1.7355058179520416E-3</v>
      </c>
      <c r="O73" s="21">
        <f t="shared" ref="O73:O110" si="41">H73/K73</f>
        <v>1.1027874492062358E-2</v>
      </c>
      <c r="P73" s="24">
        <f t="shared" ref="P73:P110" si="42">K73/V73</f>
        <v>1.3224460436302734</v>
      </c>
      <c r="Q73" s="24">
        <f t="shared" ref="Q73:Q110" si="43">H73/V73</f>
        <v>1.4583768991679074E-2</v>
      </c>
      <c r="R73" s="10">
        <v>1.3714999999999999</v>
      </c>
      <c r="S73" s="10">
        <v>1.3714999999999999</v>
      </c>
      <c r="T73" s="17">
        <v>1400</v>
      </c>
      <c r="U73" s="10">
        <v>999993478</v>
      </c>
      <c r="V73" s="10">
        <v>1024640840</v>
      </c>
    </row>
    <row r="74" spans="1:23" ht="15" customHeight="1">
      <c r="A74" s="66">
        <v>64</v>
      </c>
      <c r="B74" s="19" t="s">
        <v>98</v>
      </c>
      <c r="C74" s="19" t="s">
        <v>99</v>
      </c>
      <c r="D74" s="10">
        <v>662441274.91999996</v>
      </c>
      <c r="E74" s="10">
        <v>9605143.2100000009</v>
      </c>
      <c r="F74" s="10">
        <v>0</v>
      </c>
      <c r="G74" s="10">
        <v>1396212.53</v>
      </c>
      <c r="H74" s="12">
        <f t="shared" si="30"/>
        <v>8208930.6800000006</v>
      </c>
      <c r="I74" s="10">
        <v>813921156</v>
      </c>
      <c r="J74" s="13">
        <f t="shared" si="31"/>
        <v>3.3727940390313239E-3</v>
      </c>
      <c r="K74" s="10">
        <v>824259572</v>
      </c>
      <c r="L74" s="13">
        <f t="shared" si="38"/>
        <v>3.4148806877762009E-3</v>
      </c>
      <c r="M74" s="13">
        <f t="shared" si="39"/>
        <v>1.2701987070600239E-2</v>
      </c>
      <c r="N74" s="20">
        <f t="shared" si="40"/>
        <v>1.6938990791604662E-3</v>
      </c>
      <c r="O74" s="21">
        <f t="shared" si="41"/>
        <v>9.9591572349978126E-3</v>
      </c>
      <c r="P74" s="24">
        <f t="shared" si="42"/>
        <v>1.1999911438260784</v>
      </c>
      <c r="Q74" s="24">
        <f t="shared" si="43"/>
        <v>1.195090048196879E-2</v>
      </c>
      <c r="R74" s="10">
        <v>1.2</v>
      </c>
      <c r="S74" s="10">
        <v>1.2</v>
      </c>
      <c r="T74" s="17">
        <v>542</v>
      </c>
      <c r="U74" s="10">
        <v>685101649</v>
      </c>
      <c r="V74" s="10">
        <v>686888046</v>
      </c>
    </row>
    <row r="75" spans="1:23">
      <c r="A75" s="66">
        <v>65</v>
      </c>
      <c r="B75" s="19" t="s">
        <v>100</v>
      </c>
      <c r="C75" s="88" t="s">
        <v>101</v>
      </c>
      <c r="D75" s="10">
        <v>272025774.49000001</v>
      </c>
      <c r="E75" s="10">
        <v>4215203.59</v>
      </c>
      <c r="F75" s="10">
        <v>1600187.85</v>
      </c>
      <c r="G75" s="10">
        <v>517681.17</v>
      </c>
      <c r="H75" s="12">
        <f t="shared" si="30"/>
        <v>5297710.2699999996</v>
      </c>
      <c r="I75" s="10">
        <v>322660921.37</v>
      </c>
      <c r="J75" s="13">
        <f t="shared" si="31"/>
        <v>1.3370691057760029E-3</v>
      </c>
      <c r="K75" s="10">
        <v>324423747.11000001</v>
      </c>
      <c r="L75" s="13">
        <f t="shared" si="38"/>
        <v>1.3440770678267951E-3</v>
      </c>
      <c r="M75" s="13">
        <f t="shared" si="39"/>
        <v>5.4634001927322071E-3</v>
      </c>
      <c r="N75" s="20">
        <f t="shared" si="40"/>
        <v>1.5956944416417012E-3</v>
      </c>
      <c r="O75" s="21">
        <f t="shared" si="41"/>
        <v>1.6329600768108209E-2</v>
      </c>
      <c r="P75" s="24">
        <f t="shared" si="42"/>
        <v>1260.1623140775152</v>
      </c>
      <c r="Q75" s="24">
        <f t="shared" si="43"/>
        <v>20.577947491901213</v>
      </c>
      <c r="R75" s="10">
        <v>1260.1600000000001</v>
      </c>
      <c r="S75" s="10">
        <v>1260.1600000000001</v>
      </c>
      <c r="T75" s="17">
        <v>99</v>
      </c>
      <c r="U75" s="10">
        <v>257446</v>
      </c>
      <c r="V75" s="10">
        <v>257446</v>
      </c>
    </row>
    <row r="76" spans="1:23">
      <c r="A76" s="66">
        <v>66</v>
      </c>
      <c r="B76" s="19" t="s">
        <v>102</v>
      </c>
      <c r="C76" s="88" t="s">
        <v>103</v>
      </c>
      <c r="D76" s="10">
        <v>1979223961.5899999</v>
      </c>
      <c r="E76" s="10">
        <v>13866573.74</v>
      </c>
      <c r="F76" s="10">
        <v>0</v>
      </c>
      <c r="G76" s="10">
        <v>-27774072.25</v>
      </c>
      <c r="H76" s="12">
        <f t="shared" si="30"/>
        <v>41640645.990000002</v>
      </c>
      <c r="I76" s="10">
        <v>1964153761.3800001</v>
      </c>
      <c r="J76" s="13">
        <f t="shared" si="31"/>
        <v>8.1392233747557448E-3</v>
      </c>
      <c r="K76" s="10">
        <v>1971546180.2</v>
      </c>
      <c r="L76" s="13">
        <f t="shared" si="38"/>
        <v>8.1680519153545447E-3</v>
      </c>
      <c r="M76" s="13">
        <f t="shared" si="39"/>
        <v>3.7636660455778541E-3</v>
      </c>
      <c r="N76" s="20">
        <f t="shared" si="40"/>
        <v>-1.4087457107995567E-2</v>
      </c>
      <c r="O76" s="21">
        <f t="shared" si="41"/>
        <v>2.1120806810508409E-2</v>
      </c>
      <c r="P76" s="24">
        <f t="shared" si="42"/>
        <v>1.0706305331212285</v>
      </c>
      <c r="Q76" s="24">
        <f t="shared" si="43"/>
        <v>2.261258065548509E-2</v>
      </c>
      <c r="R76" s="10">
        <v>1.071</v>
      </c>
      <c r="S76" s="10">
        <v>1.071</v>
      </c>
      <c r="T76" s="17">
        <v>983</v>
      </c>
      <c r="U76" s="10">
        <v>1849166955.99</v>
      </c>
      <c r="V76" s="10">
        <v>1841481369.3499999</v>
      </c>
    </row>
    <row r="77" spans="1:23">
      <c r="A77" s="66">
        <v>67</v>
      </c>
      <c r="B77" s="19" t="s">
        <v>104</v>
      </c>
      <c r="C77" s="19" t="s">
        <v>105</v>
      </c>
      <c r="D77" s="10">
        <v>490116522.80000001</v>
      </c>
      <c r="E77" s="10">
        <v>6464659.8099999996</v>
      </c>
      <c r="F77" s="10">
        <v>0</v>
      </c>
      <c r="G77" s="10">
        <v>1124149.1100000001</v>
      </c>
      <c r="H77" s="12">
        <f t="shared" si="30"/>
        <v>5340510.6999999993</v>
      </c>
      <c r="I77" s="10">
        <v>482960966.38</v>
      </c>
      <c r="J77" s="13">
        <f t="shared" si="31"/>
        <v>2.0013337366688029E-3</v>
      </c>
      <c r="K77" s="10">
        <v>476095540.73000002</v>
      </c>
      <c r="L77" s="13">
        <f t="shared" si="38"/>
        <v>1.9724483922344362E-3</v>
      </c>
      <c r="M77" s="13">
        <f t="shared" si="39"/>
        <v>-1.4215280587703168E-2</v>
      </c>
      <c r="N77" s="20">
        <f t="shared" si="40"/>
        <v>2.3611838671631661E-3</v>
      </c>
      <c r="O77" s="21">
        <f t="shared" si="41"/>
        <v>1.121730880279064E-2</v>
      </c>
      <c r="P77" s="24">
        <f t="shared" si="42"/>
        <v>2.7138091745725528</v>
      </c>
      <c r="Q77" s="24">
        <f t="shared" si="43"/>
        <v>3.0441635543026702E-2</v>
      </c>
      <c r="R77" s="10">
        <v>2.7042999999999999</v>
      </c>
      <c r="S77" s="10">
        <v>2.7042999999999999</v>
      </c>
      <c r="T77" s="17">
        <v>1390</v>
      </c>
      <c r="U77" s="10">
        <v>174140729.81</v>
      </c>
      <c r="V77" s="10">
        <v>175434420.81</v>
      </c>
    </row>
    <row r="78" spans="1:23">
      <c r="A78" s="66">
        <v>68</v>
      </c>
      <c r="B78" s="19" t="s">
        <v>308</v>
      </c>
      <c r="C78" s="19" t="s">
        <v>309</v>
      </c>
      <c r="D78" s="10">
        <v>959142657.41999996</v>
      </c>
      <c r="E78" s="10">
        <v>15393509.99</v>
      </c>
      <c r="F78" s="10">
        <v>0</v>
      </c>
      <c r="G78" s="10">
        <v>4019742.13</v>
      </c>
      <c r="H78" s="12">
        <f t="shared" ref="H78" si="44">(E78+F78)-G78</f>
        <v>11373767.859999999</v>
      </c>
      <c r="I78" s="10">
        <v>974045589.96000004</v>
      </c>
      <c r="J78" s="13">
        <f t="shared" si="31"/>
        <v>4.0363309582799895E-3</v>
      </c>
      <c r="K78" s="10">
        <v>1106275959.0699999</v>
      </c>
      <c r="L78" s="13">
        <f t="shared" si="38"/>
        <v>4.5832654376250755E-3</v>
      </c>
      <c r="M78" s="13">
        <f t="shared" si="39"/>
        <v>0.13575377833744931</v>
      </c>
      <c r="N78" s="20">
        <f t="shared" si="40"/>
        <v>3.6335799373053623E-3</v>
      </c>
      <c r="O78" s="21">
        <f t="shared" si="41"/>
        <v>1.0281130821609332E-2</v>
      </c>
      <c r="P78" s="24">
        <f t="shared" si="42"/>
        <v>1099.3369442777189</v>
      </c>
      <c r="Q78" s="24">
        <f t="shared" si="43"/>
        <v>11.302426941147477</v>
      </c>
      <c r="R78" s="10">
        <v>1099.33</v>
      </c>
      <c r="S78" s="10">
        <v>1099.33</v>
      </c>
      <c r="T78" s="17">
        <v>254</v>
      </c>
      <c r="U78" s="10">
        <v>898847</v>
      </c>
      <c r="V78" s="10">
        <v>1006312</v>
      </c>
    </row>
    <row r="79" spans="1:23">
      <c r="A79" s="66">
        <v>69</v>
      </c>
      <c r="B79" s="83" t="s">
        <v>245</v>
      </c>
      <c r="C79" s="84" t="s">
        <v>214</v>
      </c>
      <c r="D79" s="10">
        <v>237857168.74000001</v>
      </c>
      <c r="E79" s="10">
        <v>13388478.630000001</v>
      </c>
      <c r="F79" s="10">
        <v>0</v>
      </c>
      <c r="G79" s="10">
        <v>482313.17</v>
      </c>
      <c r="H79" s="12">
        <f t="shared" si="30"/>
        <v>12906165.460000001</v>
      </c>
      <c r="I79" s="10">
        <v>229398744.31</v>
      </c>
      <c r="J79" s="13">
        <f t="shared" si="31"/>
        <v>9.506015560185768E-4</v>
      </c>
      <c r="K79" s="10">
        <v>233418855.75</v>
      </c>
      <c r="L79" s="13">
        <f t="shared" si="38"/>
        <v>9.6704675291716692E-4</v>
      </c>
      <c r="M79" s="13">
        <f t="shared" si="39"/>
        <v>1.7524557303449685E-2</v>
      </c>
      <c r="N79" s="20">
        <f t="shared" si="40"/>
        <v>2.0662990933199275E-3</v>
      </c>
      <c r="O79" s="21">
        <f t="shared" si="41"/>
        <v>5.5291871852130782E-2</v>
      </c>
      <c r="P79" s="24">
        <f t="shared" si="42"/>
        <v>12.703245018595355</v>
      </c>
      <c r="Q79" s="24">
        <f t="shared" si="43"/>
        <v>0.70238619567439309</v>
      </c>
      <c r="R79" s="10">
        <v>12.703200000000001</v>
      </c>
      <c r="S79" s="10">
        <v>12.7598</v>
      </c>
      <c r="T79" s="17">
        <v>44</v>
      </c>
      <c r="U79" s="10">
        <v>18281349.030000001</v>
      </c>
      <c r="V79" s="10">
        <v>18374742.469999999</v>
      </c>
    </row>
    <row r="80" spans="1:23">
      <c r="A80" s="66">
        <v>70</v>
      </c>
      <c r="B80" s="88" t="s">
        <v>106</v>
      </c>
      <c r="C80" s="19" t="s">
        <v>60</v>
      </c>
      <c r="D80" s="10">
        <v>1833709825.03</v>
      </c>
      <c r="E80" s="10">
        <v>19412363.030000001</v>
      </c>
      <c r="F80" s="10">
        <v>0</v>
      </c>
      <c r="G80" s="10">
        <v>3770465.68</v>
      </c>
      <c r="H80" s="12">
        <f t="shared" si="30"/>
        <v>15641897.350000001</v>
      </c>
      <c r="I80" s="10">
        <v>2086572043.46</v>
      </c>
      <c r="J80" s="13">
        <f t="shared" si="31"/>
        <v>8.6465104123565704E-3</v>
      </c>
      <c r="K80" s="10">
        <v>2101257182.1199999</v>
      </c>
      <c r="L80" s="13">
        <f t="shared" si="38"/>
        <v>8.7054403916253537E-3</v>
      </c>
      <c r="M80" s="13">
        <f t="shared" si="39"/>
        <v>7.0379255324674169E-3</v>
      </c>
      <c r="N80" s="20">
        <f t="shared" si="40"/>
        <v>1.7943856240367031E-3</v>
      </c>
      <c r="O80" s="21">
        <f t="shared" si="41"/>
        <v>7.4440660967633587E-3</v>
      </c>
      <c r="P80" s="24">
        <f t="shared" si="42"/>
        <v>4706.1041183987018</v>
      </c>
      <c r="Q80" s="24">
        <f t="shared" si="43"/>
        <v>35.032550115610192</v>
      </c>
      <c r="R80" s="10">
        <v>4706.1000000000004</v>
      </c>
      <c r="S80" s="10">
        <v>4706.1000000000004</v>
      </c>
      <c r="T80" s="17">
        <v>1133</v>
      </c>
      <c r="U80" s="10">
        <v>434167.6</v>
      </c>
      <c r="V80" s="10">
        <v>446496.11</v>
      </c>
    </row>
    <row r="81" spans="1:24">
      <c r="A81" s="66">
        <v>71</v>
      </c>
      <c r="B81" s="19" t="s">
        <v>107</v>
      </c>
      <c r="C81" s="19" t="s">
        <v>62</v>
      </c>
      <c r="D81" s="10">
        <v>328387576.64999998</v>
      </c>
      <c r="E81" s="10">
        <v>4041873.7</v>
      </c>
      <c r="F81" s="10">
        <v>0</v>
      </c>
      <c r="G81" s="10">
        <v>694035.75</v>
      </c>
      <c r="H81" s="12">
        <f t="shared" si="30"/>
        <v>3347837.95</v>
      </c>
      <c r="I81" s="10">
        <v>347837057.74000001</v>
      </c>
      <c r="J81" s="13">
        <f t="shared" si="31"/>
        <v>1.4413960692031286E-3</v>
      </c>
      <c r="K81" s="10">
        <v>348966431.35000002</v>
      </c>
      <c r="L81" s="13">
        <f t="shared" si="38"/>
        <v>1.4457566130627773E-3</v>
      </c>
      <c r="M81" s="13">
        <f t="shared" si="39"/>
        <v>3.24684671994953E-3</v>
      </c>
      <c r="N81" s="20">
        <f t="shared" si="40"/>
        <v>1.9888324138086183E-3</v>
      </c>
      <c r="O81" s="21">
        <f t="shared" si="41"/>
        <v>9.593581643508417E-3</v>
      </c>
      <c r="P81" s="24">
        <f t="shared" si="42"/>
        <v>110.86038518635709</v>
      </c>
      <c r="Q81" s="24">
        <f t="shared" si="43"/>
        <v>1.0635481563161078</v>
      </c>
      <c r="R81" s="10">
        <v>111.14</v>
      </c>
      <c r="S81" s="10">
        <v>111.14</v>
      </c>
      <c r="T81" s="17">
        <v>95</v>
      </c>
      <c r="U81" s="10">
        <v>2992520</v>
      </c>
      <c r="V81" s="10">
        <v>3147801</v>
      </c>
      <c r="W81" s="15"/>
      <c r="X81" s="15"/>
    </row>
    <row r="82" spans="1:24">
      <c r="A82" s="66">
        <v>72</v>
      </c>
      <c r="B82" s="88" t="s">
        <v>108</v>
      </c>
      <c r="C82" s="88" t="s">
        <v>64</v>
      </c>
      <c r="D82" s="10">
        <v>583455656.11000001</v>
      </c>
      <c r="E82" s="10">
        <v>8853765.9299999997</v>
      </c>
      <c r="F82" s="10">
        <v>241732.32</v>
      </c>
      <c r="G82" s="10">
        <v>8643932.0700000003</v>
      </c>
      <c r="H82" s="12">
        <f t="shared" si="30"/>
        <v>451566.1799999997</v>
      </c>
      <c r="I82" s="10">
        <v>540771632.97000003</v>
      </c>
      <c r="J82" s="13">
        <f t="shared" si="31"/>
        <v>2.2408943749810221E-3</v>
      </c>
      <c r="K82" s="10">
        <v>607295416.17999995</v>
      </c>
      <c r="L82" s="13">
        <f t="shared" si="38"/>
        <v>2.516005223277034E-3</v>
      </c>
      <c r="M82" s="13">
        <f t="shared" si="39"/>
        <v>0.12301640684190697</v>
      </c>
      <c r="N82" s="20">
        <f t="shared" si="40"/>
        <v>1.4233488084550227E-2</v>
      </c>
      <c r="O82" s="21">
        <f t="shared" si="41"/>
        <v>7.4356922178078365E-4</v>
      </c>
      <c r="P82" s="24">
        <f t="shared" si="42"/>
        <v>1.5001943834419176</v>
      </c>
      <c r="Q82" s="24">
        <f t="shared" si="43"/>
        <v>1.1154983702158093E-3</v>
      </c>
      <c r="R82" s="10">
        <v>1.5002</v>
      </c>
      <c r="S82" s="10">
        <v>1.5002</v>
      </c>
      <c r="T82" s="17">
        <v>1535</v>
      </c>
      <c r="U82" s="10">
        <v>360566147.37</v>
      </c>
      <c r="V82" s="10">
        <v>404811151.73000002</v>
      </c>
    </row>
    <row r="83" spans="1:24">
      <c r="A83" s="66">
        <v>73</v>
      </c>
      <c r="B83" s="83" t="s">
        <v>257</v>
      </c>
      <c r="C83" s="84" t="s">
        <v>64</v>
      </c>
      <c r="D83" s="16">
        <v>40214825.229999997</v>
      </c>
      <c r="E83" s="10">
        <v>374407</v>
      </c>
      <c r="F83" s="10">
        <v>0</v>
      </c>
      <c r="G83" s="10">
        <v>194151.61</v>
      </c>
      <c r="H83" s="12">
        <f t="shared" si="30"/>
        <v>180255.39</v>
      </c>
      <c r="I83" s="10">
        <v>44561927.030000001</v>
      </c>
      <c r="J83" s="13">
        <f t="shared" si="31"/>
        <v>1.8465941172136435E-4</v>
      </c>
      <c r="K83" s="10">
        <v>44561927.030000001</v>
      </c>
      <c r="L83" s="13">
        <f t="shared" si="38"/>
        <v>1.8461861917551292E-4</v>
      </c>
      <c r="M83" s="13">
        <f t="shared" si="39"/>
        <v>0</v>
      </c>
      <c r="N83" s="20">
        <f t="shared" si="40"/>
        <v>4.3568943925897359E-3</v>
      </c>
      <c r="O83" s="21">
        <f t="shared" si="41"/>
        <v>4.0450537491039914E-3</v>
      </c>
      <c r="P83" s="24">
        <f t="shared" si="42"/>
        <v>1.0348073585921511</v>
      </c>
      <c r="Q83" s="24">
        <f t="shared" si="43"/>
        <v>4.1858513854735793E-3</v>
      </c>
      <c r="R83" s="17">
        <v>1.0347999999999999</v>
      </c>
      <c r="S83" s="18">
        <v>1.0347999999999999</v>
      </c>
      <c r="T83" s="17">
        <v>4</v>
      </c>
      <c r="U83" s="10">
        <v>25934256.280000001</v>
      </c>
      <c r="V83" s="10">
        <v>43063017.149999999</v>
      </c>
    </row>
    <row r="84" spans="1:24">
      <c r="A84" s="66">
        <v>74</v>
      </c>
      <c r="B84" s="19" t="s">
        <v>239</v>
      </c>
      <c r="C84" s="19" t="s">
        <v>48</v>
      </c>
      <c r="D84" s="10">
        <v>197262226.03</v>
      </c>
      <c r="E84" s="10">
        <v>960415.85</v>
      </c>
      <c r="F84" s="10">
        <v>0</v>
      </c>
      <c r="G84" s="10">
        <v>422600.54</v>
      </c>
      <c r="H84" s="12">
        <f t="shared" si="30"/>
        <v>537815.31000000006</v>
      </c>
      <c r="I84" s="10">
        <v>168708990.25</v>
      </c>
      <c r="J84" s="13">
        <f t="shared" si="31"/>
        <v>6.9911031609331176E-4</v>
      </c>
      <c r="K84" s="10">
        <v>190466935.09</v>
      </c>
      <c r="L84" s="13">
        <f t="shared" si="38"/>
        <v>7.8909833794294621E-4</v>
      </c>
      <c r="M84" s="13">
        <f t="shared" si="39"/>
        <v>0.12896731115371016</v>
      </c>
      <c r="N84" s="20">
        <f t="shared" si="40"/>
        <v>2.21876064630489E-3</v>
      </c>
      <c r="O84" s="21">
        <f t="shared" si="41"/>
        <v>2.8236675817031967E-3</v>
      </c>
      <c r="P84" s="24">
        <f t="shared" si="42"/>
        <v>135.26269777259296</v>
      </c>
      <c r="Q84" s="24">
        <f t="shared" si="43"/>
        <v>0.3819368947141879</v>
      </c>
      <c r="R84" s="10">
        <v>135.2627</v>
      </c>
      <c r="S84" s="10">
        <v>135.2627</v>
      </c>
      <c r="T84" s="17">
        <v>309</v>
      </c>
      <c r="U84" s="10">
        <v>1259517.1399999999</v>
      </c>
      <c r="V84" s="10">
        <v>1408126.1</v>
      </c>
    </row>
    <row r="85" spans="1:24">
      <c r="A85" s="66">
        <v>75</v>
      </c>
      <c r="B85" s="19" t="s">
        <v>109</v>
      </c>
      <c r="C85" s="19" t="s">
        <v>110</v>
      </c>
      <c r="D85" s="10">
        <v>2673351857.8600001</v>
      </c>
      <c r="E85" s="10">
        <v>41667484.25</v>
      </c>
      <c r="F85" s="10">
        <v>0</v>
      </c>
      <c r="G85" s="10">
        <v>4246143.84</v>
      </c>
      <c r="H85" s="12">
        <f t="shared" si="30"/>
        <v>37421340.409999996</v>
      </c>
      <c r="I85" s="10">
        <v>2803820394.6100001</v>
      </c>
      <c r="J85" s="13">
        <f t="shared" si="31"/>
        <v>1.1618703659123295E-2</v>
      </c>
      <c r="K85" s="10">
        <v>2697507027.8299999</v>
      </c>
      <c r="L85" s="13">
        <f t="shared" si="38"/>
        <v>1.1175684174495999E-2</v>
      </c>
      <c r="M85" s="13">
        <f t="shared" si="39"/>
        <v>-3.7917324156844921E-2</v>
      </c>
      <c r="N85" s="20">
        <f t="shared" si="40"/>
        <v>1.5740992687666121E-3</v>
      </c>
      <c r="O85" s="21">
        <f t="shared" si="41"/>
        <v>1.3872564565699561E-2</v>
      </c>
      <c r="P85" s="24">
        <f t="shared" si="42"/>
        <v>1263.0411363115345</v>
      </c>
      <c r="Q85" s="24">
        <f t="shared" si="43"/>
        <v>17.521619712616303</v>
      </c>
      <c r="R85" s="10">
        <v>1263.04</v>
      </c>
      <c r="S85" s="10">
        <v>1263.04</v>
      </c>
      <c r="T85" s="17">
        <v>317</v>
      </c>
      <c r="U85" s="10">
        <v>2120239.87</v>
      </c>
      <c r="V85" s="10">
        <v>2135723.81</v>
      </c>
    </row>
    <row r="86" spans="1:24">
      <c r="A86" s="66">
        <v>76</v>
      </c>
      <c r="B86" s="19" t="s">
        <v>111</v>
      </c>
      <c r="C86" s="19" t="s">
        <v>66</v>
      </c>
      <c r="D86" s="10">
        <v>157691456.13</v>
      </c>
      <c r="E86" s="10">
        <v>1439487.53</v>
      </c>
      <c r="F86" s="10">
        <v>0</v>
      </c>
      <c r="G86" s="10">
        <v>543747.59</v>
      </c>
      <c r="H86" s="12">
        <f t="shared" si="30"/>
        <v>895739.94000000006</v>
      </c>
      <c r="I86" s="10">
        <v>167238887.28999999</v>
      </c>
      <c r="J86" s="13">
        <f t="shared" si="31"/>
        <v>6.9301838143391787E-4</v>
      </c>
      <c r="K86" s="10">
        <v>160990722.47</v>
      </c>
      <c r="L86" s="13">
        <f t="shared" si="38"/>
        <v>6.6697934455281168E-4</v>
      </c>
      <c r="M86" s="13">
        <f t="shared" si="39"/>
        <v>-3.7360717481726514E-2</v>
      </c>
      <c r="N86" s="20">
        <f t="shared" si="40"/>
        <v>3.3775088505570575E-3</v>
      </c>
      <c r="O86" s="21">
        <f t="shared" si="41"/>
        <v>5.5639227295654738E-3</v>
      </c>
      <c r="P86" s="24">
        <f t="shared" si="42"/>
        <v>1133.1708967347313</v>
      </c>
      <c r="Q86" s="24">
        <f t="shared" si="43"/>
        <v>6.3048753088244611</v>
      </c>
      <c r="R86" s="10">
        <v>1051.42</v>
      </c>
      <c r="S86" s="10">
        <v>1061.33</v>
      </c>
      <c r="T86" s="17">
        <v>284</v>
      </c>
      <c r="U86" s="10">
        <v>141730</v>
      </c>
      <c r="V86" s="10">
        <v>142071</v>
      </c>
    </row>
    <row r="87" spans="1:24">
      <c r="A87" s="66">
        <v>77</v>
      </c>
      <c r="B87" s="19" t="s">
        <v>112</v>
      </c>
      <c r="C87" s="88" t="s">
        <v>69</v>
      </c>
      <c r="D87" s="10">
        <v>713550272.54999995</v>
      </c>
      <c r="E87" s="10">
        <v>6981085.3799999999</v>
      </c>
      <c r="F87" s="10">
        <v>0</v>
      </c>
      <c r="G87" s="10">
        <v>1201680.26</v>
      </c>
      <c r="H87" s="12">
        <f t="shared" si="30"/>
        <v>5779405.1200000001</v>
      </c>
      <c r="I87" s="10">
        <v>691740863.32000005</v>
      </c>
      <c r="J87" s="13">
        <f t="shared" si="31"/>
        <v>2.8664932016585617E-3</v>
      </c>
      <c r="K87" s="10">
        <v>697462671.21000004</v>
      </c>
      <c r="L87" s="13">
        <f t="shared" si="38"/>
        <v>2.8895652380241102E-3</v>
      </c>
      <c r="M87" s="13">
        <f t="shared" si="39"/>
        <v>8.2716060209863176E-3</v>
      </c>
      <c r="N87" s="20">
        <f t="shared" si="40"/>
        <v>1.7229312902370146E-3</v>
      </c>
      <c r="O87" s="21">
        <f t="shared" si="41"/>
        <v>8.2863289442767479E-3</v>
      </c>
      <c r="P87" s="24">
        <f t="shared" si="42"/>
        <v>1.1531084175401212</v>
      </c>
      <c r="Q87" s="24">
        <f t="shared" si="43"/>
        <v>9.5550356561518619E-3</v>
      </c>
      <c r="R87" s="10">
        <v>1.1739999999999999</v>
      </c>
      <c r="S87" s="10">
        <v>1.1739999999999999</v>
      </c>
      <c r="T87" s="17">
        <v>56</v>
      </c>
      <c r="U87" s="10">
        <v>608142976.63</v>
      </c>
      <c r="V87" s="10">
        <v>604854375.00999999</v>
      </c>
    </row>
    <row r="88" spans="1:24">
      <c r="A88" s="66">
        <v>78</v>
      </c>
      <c r="B88" s="19" t="s">
        <v>246</v>
      </c>
      <c r="C88" s="19" t="s">
        <v>30</v>
      </c>
      <c r="D88" s="10">
        <v>11864820487.84</v>
      </c>
      <c r="E88" s="10">
        <v>123975720.81</v>
      </c>
      <c r="F88" s="10">
        <v>0</v>
      </c>
      <c r="G88" s="10">
        <v>13503240.52</v>
      </c>
      <c r="H88" s="12">
        <f t="shared" si="30"/>
        <v>110472480.29000001</v>
      </c>
      <c r="I88" s="10">
        <v>11525279605.26</v>
      </c>
      <c r="J88" s="13">
        <f t="shared" si="31"/>
        <v>4.775941018885399E-2</v>
      </c>
      <c r="K88" s="10">
        <v>11502931267.969999</v>
      </c>
      <c r="L88" s="13">
        <f t="shared" si="38"/>
        <v>4.765627136667059E-2</v>
      </c>
      <c r="M88" s="13">
        <f t="shared" si="39"/>
        <v>-1.9390711596967592E-3</v>
      </c>
      <c r="N88" s="20">
        <f t="shared" si="40"/>
        <v>1.1738956102084932E-3</v>
      </c>
      <c r="O88" s="21">
        <f t="shared" si="41"/>
        <v>9.6038546798598613E-3</v>
      </c>
      <c r="P88" s="24">
        <f t="shared" si="42"/>
        <v>1764.3171968089093</v>
      </c>
      <c r="Q88" s="24">
        <f t="shared" si="43"/>
        <v>16.944245967330474</v>
      </c>
      <c r="R88" s="10">
        <v>1764.31</v>
      </c>
      <c r="S88" s="10">
        <v>1764.31</v>
      </c>
      <c r="T88" s="17">
        <v>2051</v>
      </c>
      <c r="U88" s="10">
        <v>6581267.3499999996</v>
      </c>
      <c r="V88" s="10">
        <v>6519763.7300000004</v>
      </c>
    </row>
    <row r="89" spans="1:24" ht="14.55" customHeight="1">
      <c r="A89" s="66">
        <v>79</v>
      </c>
      <c r="B89" s="19" t="s">
        <v>113</v>
      </c>
      <c r="C89" s="19" t="s">
        <v>75</v>
      </c>
      <c r="D89" s="10">
        <v>22651361.59</v>
      </c>
      <c r="E89" s="10">
        <v>300469.90000000002</v>
      </c>
      <c r="F89" s="10">
        <v>0</v>
      </c>
      <c r="G89" s="10">
        <v>250464.57</v>
      </c>
      <c r="H89" s="12">
        <f>(E89+F89)-G89</f>
        <v>50005.330000000016</v>
      </c>
      <c r="I89" s="10">
        <v>23667934.600000001</v>
      </c>
      <c r="J89" s="13">
        <f t="shared" si="31"/>
        <v>9.8077151756776826E-5</v>
      </c>
      <c r="K89" s="10">
        <v>23629813.809999999</v>
      </c>
      <c r="L89" s="13">
        <f t="shared" si="38"/>
        <v>9.7897552635902373E-5</v>
      </c>
      <c r="M89" s="13">
        <f t="shared" si="39"/>
        <v>-1.610651315556822E-3</v>
      </c>
      <c r="N89" s="20">
        <f t="shared" si="40"/>
        <v>1.0599515172396528E-2</v>
      </c>
      <c r="O89" s="21">
        <f t="shared" si="41"/>
        <v>2.1161965304541696E-3</v>
      </c>
      <c r="P89" s="24">
        <f t="shared" si="42"/>
        <v>0.72193173745813621</v>
      </c>
      <c r="Q89" s="24">
        <f t="shared" si="43"/>
        <v>1.5277494380336581E-3</v>
      </c>
      <c r="R89" s="10">
        <v>0.72189999999999999</v>
      </c>
      <c r="S89" s="10">
        <v>0.72189999999999999</v>
      </c>
      <c r="T89" s="17">
        <v>728</v>
      </c>
      <c r="U89" s="10">
        <v>32731368.609999999</v>
      </c>
      <c r="V89" s="10">
        <v>32731368.609999999</v>
      </c>
    </row>
    <row r="90" spans="1:24" ht="14.55" customHeight="1">
      <c r="A90" s="66">
        <v>80</v>
      </c>
      <c r="B90" s="19" t="s">
        <v>240</v>
      </c>
      <c r="C90" s="88" t="s">
        <v>36</v>
      </c>
      <c r="D90" s="10">
        <v>10986949312.35</v>
      </c>
      <c r="E90" s="10">
        <v>109654919.42</v>
      </c>
      <c r="F90" s="10">
        <v>0</v>
      </c>
      <c r="G90" s="10">
        <v>3140108.77</v>
      </c>
      <c r="H90" s="12">
        <f t="shared" si="30"/>
        <v>106514810.65000001</v>
      </c>
      <c r="I90" s="10">
        <v>10088765159.76</v>
      </c>
      <c r="J90" s="13">
        <f t="shared" si="31"/>
        <v>4.180666240358228E-2</v>
      </c>
      <c r="K90" s="10">
        <v>10157395976.27</v>
      </c>
      <c r="L90" s="13">
        <f t="shared" si="38"/>
        <v>4.208176226973815E-2</v>
      </c>
      <c r="M90" s="13">
        <f t="shared" si="39"/>
        <v>6.8026973988591557E-3</v>
      </c>
      <c r="N90" s="20">
        <f t="shared" si="40"/>
        <v>3.0914505817593524E-4</v>
      </c>
      <c r="O90" s="21">
        <f t="shared" si="41"/>
        <v>1.0486428893669495E-2</v>
      </c>
      <c r="P90" s="24">
        <f t="shared" si="42"/>
        <v>1</v>
      </c>
      <c r="Q90" s="24">
        <f t="shared" si="43"/>
        <v>1.0486428893669495E-2</v>
      </c>
      <c r="R90" s="10">
        <v>1</v>
      </c>
      <c r="S90" s="10">
        <v>1</v>
      </c>
      <c r="T90" s="17">
        <v>4849</v>
      </c>
      <c r="U90" s="10">
        <v>10088765159.76</v>
      </c>
      <c r="V90" s="10">
        <v>10157395976.27</v>
      </c>
    </row>
    <row r="91" spans="1:24">
      <c r="A91" s="66">
        <v>81</v>
      </c>
      <c r="B91" s="88" t="s">
        <v>114</v>
      </c>
      <c r="C91" s="88" t="s">
        <v>115</v>
      </c>
      <c r="D91" s="10">
        <v>650253542.72000003</v>
      </c>
      <c r="E91" s="10">
        <v>39528699.770000003</v>
      </c>
      <c r="F91" s="10">
        <v>0</v>
      </c>
      <c r="G91" s="10">
        <v>3029854.68</v>
      </c>
      <c r="H91" s="12">
        <f t="shared" si="30"/>
        <v>36498845.090000004</v>
      </c>
      <c r="I91" s="10">
        <v>1827575786.8083999</v>
      </c>
      <c r="J91" s="13">
        <f t="shared" si="31"/>
        <v>7.5732602281999815E-3</v>
      </c>
      <c r="K91" s="10">
        <v>1800923936.75</v>
      </c>
      <c r="L91" s="13">
        <f t="shared" si="38"/>
        <v>7.4611694915948917E-3</v>
      </c>
      <c r="M91" s="13">
        <f t="shared" si="39"/>
        <v>-1.4583170914593678E-2</v>
      </c>
      <c r="N91" s="20">
        <f t="shared" si="40"/>
        <v>1.6823890327471377E-3</v>
      </c>
      <c r="O91" s="21">
        <f t="shared" si="41"/>
        <v>2.0266733283509402E-2</v>
      </c>
      <c r="P91" s="24">
        <f t="shared" si="42"/>
        <v>272.8122637782098</v>
      </c>
      <c r="Q91" s="24">
        <f t="shared" si="43"/>
        <v>5.5290133864633901</v>
      </c>
      <c r="R91" s="10">
        <v>272.81229999999999</v>
      </c>
      <c r="S91" s="10">
        <v>272.81229999999999</v>
      </c>
      <c r="T91" s="17">
        <v>565</v>
      </c>
      <c r="U91" s="10">
        <v>6781557.2400000002</v>
      </c>
      <c r="V91" s="10">
        <v>6601330.5700000003</v>
      </c>
    </row>
    <row r="92" spans="1:24">
      <c r="A92" s="66">
        <v>82</v>
      </c>
      <c r="B92" s="19" t="s">
        <v>116</v>
      </c>
      <c r="C92" s="88" t="s">
        <v>38</v>
      </c>
      <c r="D92" s="10">
        <v>1082835686.8599999</v>
      </c>
      <c r="E92" s="10">
        <v>14331873.92</v>
      </c>
      <c r="F92" s="10">
        <v>0</v>
      </c>
      <c r="G92" s="10">
        <v>1557367.91</v>
      </c>
      <c r="H92" s="12">
        <f t="shared" si="30"/>
        <v>12774506.01</v>
      </c>
      <c r="I92" s="10">
        <v>1045248598.53</v>
      </c>
      <c r="J92" s="13">
        <f t="shared" si="31"/>
        <v>4.3313878948095918E-3</v>
      </c>
      <c r="K92" s="10">
        <v>1066672533.3200001</v>
      </c>
      <c r="L92" s="13">
        <f t="shared" si="38"/>
        <v>4.4191897285188993E-3</v>
      </c>
      <c r="M92" s="13">
        <f t="shared" si="39"/>
        <v>2.0496497024851248E-2</v>
      </c>
      <c r="N92" s="20">
        <f t="shared" si="40"/>
        <v>1.4600243855091299E-3</v>
      </c>
      <c r="O92" s="21">
        <f t="shared" si="41"/>
        <v>1.197603351634036E-2</v>
      </c>
      <c r="P92" s="24">
        <f t="shared" si="42"/>
        <v>3.6000963992060862</v>
      </c>
      <c r="Q92" s="24">
        <f t="shared" si="43"/>
        <v>4.3114875138948329E-2</v>
      </c>
      <c r="R92" s="10">
        <v>3.6</v>
      </c>
      <c r="S92" s="10">
        <v>3.61</v>
      </c>
      <c r="T92" s="17">
        <v>786</v>
      </c>
      <c r="U92" s="10">
        <v>294172947</v>
      </c>
      <c r="V92" s="10">
        <v>296289992</v>
      </c>
    </row>
    <row r="93" spans="1:24">
      <c r="A93" s="66">
        <v>83</v>
      </c>
      <c r="B93" s="83" t="s">
        <v>244</v>
      </c>
      <c r="C93" s="84" t="s">
        <v>40</v>
      </c>
      <c r="D93" s="10">
        <v>685008010.09000003</v>
      </c>
      <c r="E93" s="10">
        <v>9206608.2699999996</v>
      </c>
      <c r="F93" s="10">
        <v>0</v>
      </c>
      <c r="G93" s="10">
        <v>1387095.68</v>
      </c>
      <c r="H93" s="12">
        <f t="shared" si="30"/>
        <v>7819512.5899999999</v>
      </c>
      <c r="I93" s="10">
        <v>662362823.13</v>
      </c>
      <c r="J93" s="13">
        <f t="shared" si="31"/>
        <v>2.7447540404378222E-3</v>
      </c>
      <c r="K93" s="10">
        <v>704655648.20000005</v>
      </c>
      <c r="L93" s="13">
        <f t="shared" si="38"/>
        <v>2.9193655085276958E-3</v>
      </c>
      <c r="M93" s="13">
        <f t="shared" si="39"/>
        <v>6.3851447564863356E-2</v>
      </c>
      <c r="N93" s="20">
        <f t="shared" si="40"/>
        <v>1.9684730882995848E-3</v>
      </c>
      <c r="O93" s="21">
        <f t="shared" si="41"/>
        <v>1.1096927428275739E-2</v>
      </c>
      <c r="P93" s="24">
        <f t="shared" si="42"/>
        <v>112.42507416281983</v>
      </c>
      <c r="Q93" s="24">
        <f t="shared" si="43"/>
        <v>1.2475728891033293</v>
      </c>
      <c r="R93" s="10">
        <v>112.3</v>
      </c>
      <c r="S93" s="10">
        <v>112.3</v>
      </c>
      <c r="T93" s="17">
        <v>264</v>
      </c>
      <c r="U93" s="10">
        <v>6197756.9299999997</v>
      </c>
      <c r="V93" s="10">
        <v>6267780.1500000004</v>
      </c>
    </row>
    <row r="94" spans="1:24">
      <c r="A94" s="66">
        <v>84</v>
      </c>
      <c r="B94" s="19" t="s">
        <v>243</v>
      </c>
      <c r="C94" s="19" t="s">
        <v>44</v>
      </c>
      <c r="D94" s="10">
        <v>1079760341.3599999</v>
      </c>
      <c r="E94" s="10">
        <v>13452564.76</v>
      </c>
      <c r="F94" s="10">
        <v>0</v>
      </c>
      <c r="G94" s="10">
        <v>2214182.9500000002</v>
      </c>
      <c r="H94" s="12">
        <f t="shared" si="30"/>
        <v>11238381.809999999</v>
      </c>
      <c r="I94" s="10">
        <v>1039530751.96</v>
      </c>
      <c r="J94" s="13">
        <f t="shared" si="31"/>
        <v>4.3076938076302288E-3</v>
      </c>
      <c r="K94" s="10">
        <v>1074410783.0799999</v>
      </c>
      <c r="L94" s="13">
        <f t="shared" si="38"/>
        <v>4.4512490464331507E-3</v>
      </c>
      <c r="M94" s="13">
        <f t="shared" si="39"/>
        <v>3.3553630861073394E-2</v>
      </c>
      <c r="N94" s="20">
        <f t="shared" si="40"/>
        <v>2.0608346312875133E-3</v>
      </c>
      <c r="O94" s="21">
        <f t="shared" si="41"/>
        <v>1.0460041901090261E-2</v>
      </c>
      <c r="P94" s="24">
        <f t="shared" si="42"/>
        <v>112.91380730312953</v>
      </c>
      <c r="Q94" s="24">
        <f t="shared" si="43"/>
        <v>1.1810831556023664</v>
      </c>
      <c r="R94" s="10">
        <v>112.92</v>
      </c>
      <c r="S94" s="10">
        <v>113.48</v>
      </c>
      <c r="T94" s="17">
        <v>1510</v>
      </c>
      <c r="U94" s="10">
        <v>9303677</v>
      </c>
      <c r="V94" s="10">
        <v>9515318</v>
      </c>
    </row>
    <row r="95" spans="1:24">
      <c r="A95" s="66">
        <v>85</v>
      </c>
      <c r="B95" s="19" t="s">
        <v>119</v>
      </c>
      <c r="C95" s="19" t="s">
        <v>22</v>
      </c>
      <c r="D95" s="10">
        <v>1653739219.99</v>
      </c>
      <c r="E95" s="10">
        <v>20621851.149999999</v>
      </c>
      <c r="F95" s="10">
        <v>75024431.849999994</v>
      </c>
      <c r="G95" s="10">
        <v>2301990.27</v>
      </c>
      <c r="H95" s="12">
        <f t="shared" si="30"/>
        <v>93344292.730000004</v>
      </c>
      <c r="I95" s="10">
        <v>1599755889.3</v>
      </c>
      <c r="J95" s="13">
        <f t="shared" si="31"/>
        <v>6.6292012285970045E-3</v>
      </c>
      <c r="K95" s="10">
        <v>1620136360.9300001</v>
      </c>
      <c r="L95" s="13">
        <f t="shared" si="38"/>
        <v>6.7121724253435414E-3</v>
      </c>
      <c r="M95" s="13">
        <f t="shared" si="39"/>
        <v>1.2739738460295922E-2</v>
      </c>
      <c r="N95" s="20">
        <f t="shared" si="40"/>
        <v>1.4208620493392286E-3</v>
      </c>
      <c r="O95" s="21">
        <f t="shared" si="41"/>
        <v>5.7615084125646046E-2</v>
      </c>
      <c r="P95" s="24">
        <f t="shared" si="42"/>
        <v>388.00585293728966</v>
      </c>
      <c r="Q95" s="24">
        <f t="shared" si="43"/>
        <v>22.354989858224993</v>
      </c>
      <c r="R95" s="10">
        <v>388.01</v>
      </c>
      <c r="S95" s="10">
        <v>388.01</v>
      </c>
      <c r="T95" s="17">
        <v>94</v>
      </c>
      <c r="U95" s="10">
        <v>4169308.39</v>
      </c>
      <c r="V95" s="10">
        <v>4175546.19</v>
      </c>
    </row>
    <row r="96" spans="1:24">
      <c r="A96" s="66">
        <v>86</v>
      </c>
      <c r="B96" s="83" t="s">
        <v>247</v>
      </c>
      <c r="C96" s="84" t="s">
        <v>248</v>
      </c>
      <c r="D96" s="10">
        <v>1438296701.04</v>
      </c>
      <c r="E96" s="10">
        <v>24227587.530000001</v>
      </c>
      <c r="F96" s="10">
        <v>0</v>
      </c>
      <c r="G96" s="10">
        <v>3237514.99</v>
      </c>
      <c r="H96" s="12">
        <f t="shared" si="30"/>
        <v>20990072.539999999</v>
      </c>
      <c r="I96" s="10">
        <v>1784256236.7</v>
      </c>
      <c r="J96" s="13">
        <f t="shared" si="31"/>
        <v>7.3937490810795717E-3</v>
      </c>
      <c r="K96" s="10">
        <v>179115174.41999999</v>
      </c>
      <c r="L96" s="13">
        <f t="shared" si="38"/>
        <v>7.420683614633519E-4</v>
      </c>
      <c r="M96" s="13">
        <f t="shared" si="39"/>
        <v>-0.89961353602928951</v>
      </c>
      <c r="N96" s="20">
        <f t="shared" si="40"/>
        <v>1.8075045849596648E-2</v>
      </c>
      <c r="O96" s="21">
        <f t="shared" si="41"/>
        <v>0.11718757278923347</v>
      </c>
      <c r="P96" s="24">
        <f t="shared" si="42"/>
        <v>10.422936012784385</v>
      </c>
      <c r="Q96" s="24">
        <f t="shared" si="43"/>
        <v>1.2214385726756931</v>
      </c>
      <c r="R96" s="10">
        <v>104.52</v>
      </c>
      <c r="S96" s="10">
        <v>104.52</v>
      </c>
      <c r="T96" s="17">
        <v>408</v>
      </c>
      <c r="U96" s="10">
        <v>17264795</v>
      </c>
      <c r="V96" s="10">
        <v>17184714</v>
      </c>
    </row>
    <row r="97" spans="1:23">
      <c r="A97" s="66">
        <v>87</v>
      </c>
      <c r="B97" s="88" t="s">
        <v>120</v>
      </c>
      <c r="C97" s="88" t="s">
        <v>42</v>
      </c>
      <c r="D97" s="10">
        <v>58123249.380000003</v>
      </c>
      <c r="E97" s="10">
        <v>2969984.85</v>
      </c>
      <c r="F97" s="10">
        <v>0</v>
      </c>
      <c r="G97" s="10">
        <v>154531.41</v>
      </c>
      <c r="H97" s="12">
        <f t="shared" si="30"/>
        <v>2815453.44</v>
      </c>
      <c r="I97" s="10">
        <v>47304475.380000003</v>
      </c>
      <c r="J97" s="13">
        <f t="shared" si="31"/>
        <v>1.9602421119665309E-4</v>
      </c>
      <c r="K97" s="10">
        <v>56859027.350000001</v>
      </c>
      <c r="L97" s="13">
        <f t="shared" si="38"/>
        <v>2.3556510718113178E-4</v>
      </c>
      <c r="M97" s="13">
        <f t="shared" si="39"/>
        <v>0.20197987385437946</v>
      </c>
      <c r="N97" s="20">
        <f t="shared" si="40"/>
        <v>2.7177990409292499E-3</v>
      </c>
      <c r="O97" s="21">
        <f t="shared" si="41"/>
        <v>4.9516384138428279E-2</v>
      </c>
      <c r="P97" s="24">
        <f t="shared" si="42"/>
        <v>11.617457918849356</v>
      </c>
      <c r="Q97" s="24">
        <f t="shared" si="43"/>
        <v>0.57525450902177033</v>
      </c>
      <c r="R97" s="10">
        <v>12.04</v>
      </c>
      <c r="S97" s="10">
        <v>12.71</v>
      </c>
      <c r="T97" s="17">
        <v>57</v>
      </c>
      <c r="U97" s="10">
        <v>4894274.4400000004</v>
      </c>
      <c r="V97" s="10">
        <v>4894274.4400000004</v>
      </c>
    </row>
    <row r="98" spans="1:23">
      <c r="A98" s="66">
        <v>88</v>
      </c>
      <c r="B98" s="83" t="s">
        <v>262</v>
      </c>
      <c r="C98" s="84" t="s">
        <v>263</v>
      </c>
      <c r="D98" s="10">
        <v>876339019.36000001</v>
      </c>
      <c r="E98" s="10">
        <v>12464244.960000001</v>
      </c>
      <c r="F98" s="10">
        <v>0</v>
      </c>
      <c r="G98" s="10">
        <v>1250367.3700000001</v>
      </c>
      <c r="H98" s="12">
        <f t="shared" si="30"/>
        <v>11213877.59</v>
      </c>
      <c r="I98" s="10">
        <v>827672324.85000002</v>
      </c>
      <c r="J98" s="13">
        <f t="shared" si="31"/>
        <v>3.4297772738140714E-3</v>
      </c>
      <c r="K98" s="10">
        <v>855727818.59000003</v>
      </c>
      <c r="L98" s="13">
        <f t="shared" si="38"/>
        <v>3.5452526133307035E-3</v>
      </c>
      <c r="M98" s="13">
        <f t="shared" si="39"/>
        <v>3.3896860989141492E-2</v>
      </c>
      <c r="N98" s="20">
        <f t="shared" si="40"/>
        <v>1.4611741523844061E-3</v>
      </c>
      <c r="O98" s="21">
        <f t="shared" si="41"/>
        <v>1.3104491108489767E-2</v>
      </c>
      <c r="P98" s="24">
        <f t="shared" si="42"/>
        <v>154.02596881790285</v>
      </c>
      <c r="Q98" s="24">
        <f t="shared" si="43"/>
        <v>2.0184319388507297</v>
      </c>
      <c r="R98" s="10">
        <v>154.02000000000001</v>
      </c>
      <c r="S98" s="10">
        <v>154.02000000000001</v>
      </c>
      <c r="T98" s="17">
        <v>173</v>
      </c>
      <c r="U98" s="10">
        <v>5451753.0300000003</v>
      </c>
      <c r="V98" s="10">
        <v>5555737.29</v>
      </c>
    </row>
    <row r="99" spans="1:23">
      <c r="A99" s="66">
        <v>89</v>
      </c>
      <c r="B99" s="19" t="s">
        <v>121</v>
      </c>
      <c r="C99" s="19" t="s">
        <v>122</v>
      </c>
      <c r="D99" s="10">
        <v>10730643058.799999</v>
      </c>
      <c r="E99" s="10">
        <v>162220046.52000001</v>
      </c>
      <c r="F99" s="10">
        <v>0</v>
      </c>
      <c r="G99" s="10">
        <v>17068264.120000001</v>
      </c>
      <c r="H99" s="12">
        <f t="shared" si="30"/>
        <v>145151782.40000001</v>
      </c>
      <c r="I99" s="10">
        <v>10393163366</v>
      </c>
      <c r="J99" s="13">
        <f t="shared" si="31"/>
        <v>4.3068052954656863E-2</v>
      </c>
      <c r="K99" s="10">
        <v>10516406884</v>
      </c>
      <c r="L99" s="13">
        <f t="shared" si="38"/>
        <v>4.3569132822843692E-2</v>
      </c>
      <c r="M99" s="13">
        <f t="shared" si="39"/>
        <v>1.1858133434443698E-2</v>
      </c>
      <c r="N99" s="20">
        <f t="shared" si="40"/>
        <v>1.6230129081414876E-3</v>
      </c>
      <c r="O99" s="21">
        <f t="shared" si="41"/>
        <v>1.3802412173766175E-2</v>
      </c>
      <c r="P99" s="24">
        <f t="shared" si="42"/>
        <v>1.1399999999132784</v>
      </c>
      <c r="Q99" s="24">
        <f t="shared" si="43"/>
        <v>1.5734749876896471E-2</v>
      </c>
      <c r="R99" s="10">
        <v>1.1399999999999999</v>
      </c>
      <c r="S99" s="10">
        <v>1.1399999999999999</v>
      </c>
      <c r="T99" s="17">
        <v>5097</v>
      </c>
      <c r="U99" s="10">
        <v>9197489704</v>
      </c>
      <c r="V99" s="10">
        <v>9224918320</v>
      </c>
    </row>
    <row r="100" spans="1:23">
      <c r="A100" s="105">
        <v>90</v>
      </c>
      <c r="B100" s="88" t="s">
        <v>123</v>
      </c>
      <c r="C100" s="19" t="s">
        <v>46</v>
      </c>
      <c r="D100" s="10">
        <v>6947280071.8800001</v>
      </c>
      <c r="E100" s="10">
        <v>100075494.64</v>
      </c>
      <c r="F100" s="10">
        <v>0</v>
      </c>
      <c r="G100" s="10">
        <v>8656550.9900000002</v>
      </c>
      <c r="H100" s="12">
        <f t="shared" si="30"/>
        <v>91418943.650000006</v>
      </c>
      <c r="I100" s="10">
        <v>6984530661.3699999</v>
      </c>
      <c r="J100" s="13">
        <f t="shared" si="31"/>
        <v>2.8943077847825648E-2</v>
      </c>
      <c r="K100" s="10">
        <v>6905410281.6300001</v>
      </c>
      <c r="L100" s="13">
        <f t="shared" si="38"/>
        <v>2.8608890952508712E-2</v>
      </c>
      <c r="M100" s="13">
        <f t="shared" si="39"/>
        <v>-1.1327945079774407E-2</v>
      </c>
      <c r="N100" s="20">
        <f t="shared" si="40"/>
        <v>1.2535896691074884E-3</v>
      </c>
      <c r="O100" s="21">
        <f t="shared" si="41"/>
        <v>1.323874178674013E-2</v>
      </c>
      <c r="P100" s="24">
        <f t="shared" si="42"/>
        <v>5176.0900000209876</v>
      </c>
      <c r="Q100" s="24">
        <f t="shared" si="43"/>
        <v>68.524918975205566</v>
      </c>
      <c r="R100" s="10">
        <v>5176.09</v>
      </c>
      <c r="S100" s="10">
        <v>5176.09</v>
      </c>
      <c r="T100" s="17">
        <v>224</v>
      </c>
      <c r="U100" s="10">
        <v>1349382.6</v>
      </c>
      <c r="V100" s="10">
        <v>1334097.8</v>
      </c>
    </row>
    <row r="101" spans="1:23">
      <c r="A101" s="105">
        <v>91</v>
      </c>
      <c r="B101" s="19" t="s">
        <v>124</v>
      </c>
      <c r="C101" s="19" t="s">
        <v>46</v>
      </c>
      <c r="D101" s="10">
        <v>15844192171.93</v>
      </c>
      <c r="E101" s="10">
        <v>149154849.83000001</v>
      </c>
      <c r="F101" s="10">
        <v>0</v>
      </c>
      <c r="G101" s="10">
        <v>26864865.920000002</v>
      </c>
      <c r="H101" s="12">
        <f t="shared" si="30"/>
        <v>122289983.91000001</v>
      </c>
      <c r="I101" s="10">
        <v>16292301660.219999</v>
      </c>
      <c r="J101" s="13">
        <f t="shared" si="31"/>
        <v>6.7513391827463631E-2</v>
      </c>
      <c r="K101" s="10">
        <v>15769082668.110001</v>
      </c>
      <c r="L101" s="13">
        <f t="shared" si="38"/>
        <v>6.533079832681063E-2</v>
      </c>
      <c r="M101" s="13">
        <f t="shared" si="39"/>
        <v>-3.211449204795374E-2</v>
      </c>
      <c r="N101" s="20">
        <f t="shared" si="40"/>
        <v>1.7036416439320933E-3</v>
      </c>
      <c r="O101" s="21">
        <f t="shared" si="41"/>
        <v>7.7550474231014386E-3</v>
      </c>
      <c r="P101" s="24">
        <f t="shared" si="42"/>
        <v>259.23000000003452</v>
      </c>
      <c r="Q101" s="24">
        <f t="shared" si="43"/>
        <v>2.0103409434908537</v>
      </c>
      <c r="R101" s="10">
        <v>259.23</v>
      </c>
      <c r="S101" s="10">
        <v>259.23</v>
      </c>
      <c r="T101" s="17">
        <v>6069</v>
      </c>
      <c r="U101" s="10">
        <v>62848376.18</v>
      </c>
      <c r="V101" s="10">
        <v>60830469.729999997</v>
      </c>
    </row>
    <row r="102" spans="1:23">
      <c r="A102" s="105">
        <v>92</v>
      </c>
      <c r="B102" s="88" t="s">
        <v>125</v>
      </c>
      <c r="C102" s="19" t="s">
        <v>46</v>
      </c>
      <c r="D102" s="10">
        <v>545403613.25</v>
      </c>
      <c r="E102" s="10">
        <v>6805884.1299999999</v>
      </c>
      <c r="F102" s="10">
        <v>4315447.25</v>
      </c>
      <c r="G102" s="10">
        <v>705011.88</v>
      </c>
      <c r="H102" s="12">
        <f t="shared" si="30"/>
        <v>10416319.499999998</v>
      </c>
      <c r="I102" s="10">
        <v>561048521.77999997</v>
      </c>
      <c r="J102" s="13">
        <f t="shared" si="31"/>
        <v>2.3249194297474676E-3</v>
      </c>
      <c r="K102" s="10">
        <v>563204143.10000002</v>
      </c>
      <c r="L102" s="13">
        <f t="shared" si="38"/>
        <v>2.3333365081597548E-3</v>
      </c>
      <c r="M102" s="13">
        <f t="shared" si="39"/>
        <v>3.8421299340760428E-3</v>
      </c>
      <c r="N102" s="20">
        <f t="shared" si="40"/>
        <v>1.2517874533370065E-3</v>
      </c>
      <c r="O102" s="21">
        <f t="shared" si="41"/>
        <v>1.8494749421881514E-2</v>
      </c>
      <c r="P102" s="24">
        <f t="shared" si="42"/>
        <v>9325.8935885615574</v>
      </c>
      <c r="Q102" s="24">
        <f t="shared" si="43"/>
        <v>172.48006505557737</v>
      </c>
      <c r="R102" s="10">
        <v>9303.81</v>
      </c>
      <c r="S102" s="10">
        <v>9341.0300000000007</v>
      </c>
      <c r="T102" s="17">
        <v>15</v>
      </c>
      <c r="U102" s="10">
        <v>60391.44</v>
      </c>
      <c r="V102" s="10">
        <v>60391.44</v>
      </c>
    </row>
    <row r="103" spans="1:23">
      <c r="A103" s="105">
        <v>93</v>
      </c>
      <c r="B103" s="19" t="s">
        <v>126</v>
      </c>
      <c r="C103" s="19" t="s">
        <v>46</v>
      </c>
      <c r="D103" s="10">
        <v>6384855814.4200001</v>
      </c>
      <c r="E103" s="10">
        <v>87076115.420000002</v>
      </c>
      <c r="F103" s="10">
        <v>0</v>
      </c>
      <c r="G103" s="10">
        <v>8822667.6799999997</v>
      </c>
      <c r="H103" s="12">
        <f t="shared" si="30"/>
        <v>78253447.74000001</v>
      </c>
      <c r="I103" s="10">
        <v>6314329322.8500004</v>
      </c>
      <c r="J103" s="13">
        <f t="shared" si="31"/>
        <v>2.6165841916743562E-2</v>
      </c>
      <c r="K103" s="10">
        <v>6384563600.8299999</v>
      </c>
      <c r="L103" s="13">
        <f t="shared" si="38"/>
        <v>2.645104003760753E-2</v>
      </c>
      <c r="M103" s="13">
        <f t="shared" si="39"/>
        <v>1.1122998879047852E-2</v>
      </c>
      <c r="N103" s="20">
        <f t="shared" si="40"/>
        <v>1.3818748205207078E-3</v>
      </c>
      <c r="O103" s="21">
        <f t="shared" si="41"/>
        <v>1.2256663514140101E-2</v>
      </c>
      <c r="P103" s="24">
        <f t="shared" si="42"/>
        <v>159.49194857453341</v>
      </c>
      <c r="Q103" s="24">
        <f t="shared" si="43"/>
        <v>1.9548391468925932</v>
      </c>
      <c r="R103" s="10">
        <v>159.49</v>
      </c>
      <c r="S103" s="10">
        <v>159.49</v>
      </c>
      <c r="T103" s="17">
        <v>5214</v>
      </c>
      <c r="U103" s="10">
        <v>40084327.869999997</v>
      </c>
      <c r="V103" s="10">
        <v>40030632.630000003</v>
      </c>
    </row>
    <row r="104" spans="1:23">
      <c r="A104" s="105">
        <v>94</v>
      </c>
      <c r="B104" s="19" t="s">
        <v>127</v>
      </c>
      <c r="C104" s="19" t="s">
        <v>46</v>
      </c>
      <c r="D104" s="10">
        <v>6099274938.1300001</v>
      </c>
      <c r="E104" s="10">
        <v>58512289.619999997</v>
      </c>
      <c r="F104" s="10">
        <v>38925000</v>
      </c>
      <c r="G104" s="10">
        <v>10640904.699999999</v>
      </c>
      <c r="H104" s="12">
        <f t="shared" si="30"/>
        <v>86796384.920000002</v>
      </c>
      <c r="I104" s="10">
        <v>6150835546.3299999</v>
      </c>
      <c r="J104" s="13">
        <f t="shared" si="31"/>
        <v>2.5488342836150334E-2</v>
      </c>
      <c r="K104" s="10">
        <v>6167549106.3900003</v>
      </c>
      <c r="L104" s="13">
        <f t="shared" si="38"/>
        <v>2.555195602183747E-2</v>
      </c>
      <c r="M104" s="13">
        <f t="shared" si="39"/>
        <v>2.7172828689872629E-3</v>
      </c>
      <c r="N104" s="20">
        <f t="shared" si="40"/>
        <v>1.7253052252109834E-3</v>
      </c>
      <c r="O104" s="21">
        <f t="shared" si="41"/>
        <v>1.4073075612818882E-2</v>
      </c>
      <c r="P104" s="24">
        <f t="shared" si="42"/>
        <v>381.95584446182784</v>
      </c>
      <c r="Q104" s="24">
        <f t="shared" si="43"/>
        <v>5.3752934798693914</v>
      </c>
      <c r="R104" s="10">
        <v>381.64</v>
      </c>
      <c r="S104" s="10">
        <v>382.13</v>
      </c>
      <c r="T104" s="17">
        <v>10813</v>
      </c>
      <c r="U104" s="10">
        <v>16083487.75</v>
      </c>
      <c r="V104" s="10">
        <v>16147282.98</v>
      </c>
    </row>
    <row r="105" spans="1:23">
      <c r="A105" s="105">
        <v>95</v>
      </c>
      <c r="B105" s="19" t="s">
        <v>310</v>
      </c>
      <c r="C105" s="19" t="s">
        <v>311</v>
      </c>
      <c r="D105" s="10">
        <v>93759436.989999995</v>
      </c>
      <c r="E105" s="10">
        <v>1397794.52</v>
      </c>
      <c r="F105" s="10">
        <v>0</v>
      </c>
      <c r="G105" s="10">
        <v>149347.59</v>
      </c>
      <c r="H105" s="12">
        <f t="shared" ref="H105" si="45">(E105+F105)-G105</f>
        <v>1248446.93</v>
      </c>
      <c r="I105" s="10">
        <v>91751764.540000007</v>
      </c>
      <c r="J105" s="13">
        <f t="shared" si="31"/>
        <v>3.8020857699774254E-4</v>
      </c>
      <c r="K105" s="10">
        <v>93157711.450000003</v>
      </c>
      <c r="L105" s="13">
        <f t="shared" si="38"/>
        <v>3.8594937875714822E-4</v>
      </c>
      <c r="M105" s="13">
        <f t="shared" si="39"/>
        <v>1.5323377343735567E-2</v>
      </c>
      <c r="N105" s="20">
        <f t="shared" si="40"/>
        <v>1.6031693745520838E-3</v>
      </c>
      <c r="O105" s="21">
        <f t="shared" si="41"/>
        <v>1.3401434090296127E-2</v>
      </c>
      <c r="P105" s="24">
        <f t="shared" si="42"/>
        <v>113.83155484062739</v>
      </c>
      <c r="Q105" s="24">
        <f t="shared" si="43"/>
        <v>1.525506079592597</v>
      </c>
      <c r="R105" s="10">
        <v>113.83159999999999</v>
      </c>
      <c r="S105" s="10">
        <v>113.83159999999999</v>
      </c>
      <c r="T105" s="17">
        <v>22</v>
      </c>
      <c r="U105" s="10">
        <v>818294.33</v>
      </c>
      <c r="V105" s="10">
        <v>818382.14</v>
      </c>
    </row>
    <row r="106" spans="1:23">
      <c r="A106" s="105">
        <v>96</v>
      </c>
      <c r="B106" s="19" t="s">
        <v>128</v>
      </c>
      <c r="C106" s="19" t="s">
        <v>50</v>
      </c>
      <c r="D106" s="10">
        <v>79374722383</v>
      </c>
      <c r="E106" s="10">
        <v>681532192</v>
      </c>
      <c r="F106" s="10">
        <v>0</v>
      </c>
      <c r="G106" s="10">
        <v>127635816</v>
      </c>
      <c r="H106" s="12">
        <f t="shared" si="30"/>
        <v>553896376</v>
      </c>
      <c r="I106" s="10">
        <v>84905269996.910034</v>
      </c>
      <c r="J106" s="13">
        <f t="shared" si="31"/>
        <v>0.35183750467339281</v>
      </c>
      <c r="K106" s="10">
        <v>85361214259</v>
      </c>
      <c r="L106" s="13">
        <f t="shared" si="38"/>
        <v>0.35364874362439985</v>
      </c>
      <c r="M106" s="13">
        <f t="shared" si="39"/>
        <v>5.3700348883709932E-3</v>
      </c>
      <c r="N106" s="20">
        <f t="shared" si="40"/>
        <v>1.4952436783845634E-3</v>
      </c>
      <c r="O106" s="21">
        <f t="shared" si="41"/>
        <v>6.4888530559017946E-3</v>
      </c>
      <c r="P106" s="24">
        <f t="shared" si="42"/>
        <v>1.9665990539086782</v>
      </c>
      <c r="Q106" s="24">
        <f t="shared" si="43"/>
        <v>1.2760972280688905E-2</v>
      </c>
      <c r="R106" s="10">
        <v>1.97</v>
      </c>
      <c r="S106" s="10">
        <v>1.97</v>
      </c>
      <c r="T106" s="17">
        <v>1377</v>
      </c>
      <c r="U106" s="10">
        <v>43476268851</v>
      </c>
      <c r="V106" s="10">
        <v>43405499504</v>
      </c>
    </row>
    <row r="107" spans="1:23">
      <c r="A107" s="105">
        <v>97</v>
      </c>
      <c r="B107" s="19" t="s">
        <v>261</v>
      </c>
      <c r="C107" s="19" t="s">
        <v>50</v>
      </c>
      <c r="D107" s="10">
        <v>40319467557</v>
      </c>
      <c r="E107" s="10">
        <v>982294722</v>
      </c>
      <c r="F107" s="10">
        <v>0</v>
      </c>
      <c r="G107" s="10">
        <v>116816858</v>
      </c>
      <c r="H107" s="12">
        <f t="shared" si="30"/>
        <v>865477864</v>
      </c>
      <c r="I107" s="10">
        <v>63068454640.669998</v>
      </c>
      <c r="J107" s="13">
        <f t="shared" si="31"/>
        <v>0.26134829681582722</v>
      </c>
      <c r="K107" s="10">
        <v>64212284320</v>
      </c>
      <c r="L107" s="13">
        <f t="shared" si="38"/>
        <v>0.26602941244625611</v>
      </c>
      <c r="M107" s="13">
        <f t="shared" si="39"/>
        <v>1.8136320064395518E-2</v>
      </c>
      <c r="N107" s="20">
        <f t="shared" si="40"/>
        <v>1.8192291278386341E-3</v>
      </c>
      <c r="O107" s="21">
        <f t="shared" si="41"/>
        <v>1.3478384598294571E-2</v>
      </c>
      <c r="P107" s="24">
        <f t="shared" si="42"/>
        <v>127.32831160352686</v>
      </c>
      <c r="Q107" s="24">
        <f t="shared" si="43"/>
        <v>1.7161799540438283</v>
      </c>
      <c r="R107" s="10">
        <v>127.33</v>
      </c>
      <c r="S107" s="10">
        <v>127.33</v>
      </c>
      <c r="T107" s="17">
        <v>228</v>
      </c>
      <c r="U107" s="10">
        <v>501870532.06</v>
      </c>
      <c r="V107" s="10">
        <v>504304844</v>
      </c>
    </row>
    <row r="108" spans="1:23">
      <c r="A108" s="66">
        <v>98</v>
      </c>
      <c r="B108" s="83" t="s">
        <v>241</v>
      </c>
      <c r="C108" s="83" t="s">
        <v>242</v>
      </c>
      <c r="D108" s="10">
        <v>93581383.319999993</v>
      </c>
      <c r="E108" s="10">
        <v>29545233.420000002</v>
      </c>
      <c r="F108" s="10">
        <v>0</v>
      </c>
      <c r="G108" s="10">
        <v>453591.44</v>
      </c>
      <c r="H108" s="12">
        <f>(E108+F108)-G108</f>
        <v>29091641.98</v>
      </c>
      <c r="I108" s="10">
        <v>107662547.7</v>
      </c>
      <c r="J108" s="13">
        <f t="shared" si="31"/>
        <v>4.4614100079920461E-4</v>
      </c>
      <c r="K108" s="10">
        <v>114771764.73</v>
      </c>
      <c r="L108" s="13">
        <f t="shared" si="38"/>
        <v>4.7549570085971742E-4</v>
      </c>
      <c r="M108" s="13">
        <f t="shared" si="39"/>
        <v>6.6032405714656905E-2</v>
      </c>
      <c r="N108" s="20">
        <f t="shared" si="40"/>
        <v>3.9521169781354462E-3</v>
      </c>
      <c r="O108" s="21">
        <f t="shared" si="41"/>
        <v>0.25347385786423987</v>
      </c>
      <c r="P108" s="24">
        <f t="shared" si="42"/>
        <v>115.90877674363531</v>
      </c>
      <c r="Q108" s="24">
        <f t="shared" si="43"/>
        <v>29.37984480153413</v>
      </c>
      <c r="R108" s="10">
        <v>115.9088</v>
      </c>
      <c r="S108" s="10">
        <v>115.9088</v>
      </c>
      <c r="T108" s="17">
        <v>75</v>
      </c>
      <c r="U108" s="10">
        <v>937497.23230000003</v>
      </c>
      <c r="V108" s="10">
        <v>990190.45799999998</v>
      </c>
    </row>
    <row r="109" spans="1:23">
      <c r="A109" s="66">
        <v>99</v>
      </c>
      <c r="B109" s="83" t="s">
        <v>292</v>
      </c>
      <c r="C109" s="83" t="s">
        <v>291</v>
      </c>
      <c r="D109" s="10">
        <v>324880541.31</v>
      </c>
      <c r="E109" s="10">
        <v>4789049.83</v>
      </c>
      <c r="F109" s="10"/>
      <c r="G109" s="10">
        <v>713831.59</v>
      </c>
      <c r="H109" s="12">
        <f t="shared" si="30"/>
        <v>4075218.24</v>
      </c>
      <c r="I109" s="10">
        <v>347183604.22000003</v>
      </c>
      <c r="J109" s="13">
        <f t="shared" si="31"/>
        <v>1.4386882342724439E-3</v>
      </c>
      <c r="K109" s="10">
        <v>361432659.22000003</v>
      </c>
      <c r="L109" s="13">
        <f t="shared" si="38"/>
        <v>1.4974037910256441E-3</v>
      </c>
      <c r="M109" s="13">
        <f t="shared" si="39"/>
        <v>4.1041843067481938E-2</v>
      </c>
      <c r="N109" s="20">
        <f t="shared" si="40"/>
        <v>1.9750057771218141E-3</v>
      </c>
      <c r="O109" s="21">
        <f t="shared" si="41"/>
        <v>1.127517986004541E-2</v>
      </c>
      <c r="P109" s="24">
        <f t="shared" si="42"/>
        <v>1.3979616687594327</v>
      </c>
      <c r="Q109" s="24">
        <f t="shared" si="43"/>
        <v>1.576226925271183E-2</v>
      </c>
      <c r="R109" s="10">
        <v>1.3979999999999999</v>
      </c>
      <c r="S109" s="10">
        <v>1.3979999999999999</v>
      </c>
      <c r="T109" s="17">
        <v>715</v>
      </c>
      <c r="U109" s="10">
        <v>251114825.5</v>
      </c>
      <c r="V109" s="10">
        <v>258542610.5</v>
      </c>
    </row>
    <row r="110" spans="1:23">
      <c r="A110" s="66">
        <v>100</v>
      </c>
      <c r="B110" s="88" t="s">
        <v>129</v>
      </c>
      <c r="C110" s="88" t="s">
        <v>94</v>
      </c>
      <c r="D110" s="10">
        <v>1963434059.1300001</v>
      </c>
      <c r="E110" s="10">
        <v>17760233.59</v>
      </c>
      <c r="F110" s="10">
        <v>0</v>
      </c>
      <c r="G110" s="10">
        <v>3319808.37</v>
      </c>
      <c r="H110" s="12">
        <f t="shared" si="30"/>
        <v>14440425.219999999</v>
      </c>
      <c r="I110" s="10">
        <v>1960515279.8</v>
      </c>
      <c r="J110" s="13">
        <f t="shared" si="31"/>
        <v>8.1241459328024491E-3</v>
      </c>
      <c r="K110" s="10">
        <v>1993978750.27</v>
      </c>
      <c r="L110" s="13">
        <f t="shared" si="38"/>
        <v>8.2609893259852213E-3</v>
      </c>
      <c r="M110" s="13">
        <f t="shared" si="39"/>
        <v>1.7068711891607278E-2</v>
      </c>
      <c r="N110" s="20">
        <f t="shared" si="40"/>
        <v>1.664916624387533E-3</v>
      </c>
      <c r="O110" s="21">
        <f t="shared" si="41"/>
        <v>7.2420156022448357E-3</v>
      </c>
      <c r="P110" s="24">
        <f t="shared" si="42"/>
        <v>30.303540718293398</v>
      </c>
      <c r="Q110" s="24">
        <f t="shared" si="43"/>
        <v>0.21945871468514247</v>
      </c>
      <c r="R110" s="10">
        <v>30.303599999999999</v>
      </c>
      <c r="S110" s="10">
        <v>30.303599999999999</v>
      </c>
      <c r="T110" s="16">
        <v>1295</v>
      </c>
      <c r="U110" s="10">
        <v>65683159.390000001</v>
      </c>
      <c r="V110" s="10">
        <v>65800190.439999998</v>
      </c>
    </row>
    <row r="111" spans="1:23">
      <c r="A111" s="112" t="s">
        <v>51</v>
      </c>
      <c r="B111" s="112"/>
      <c r="C111" s="112"/>
      <c r="D111" s="112"/>
      <c r="E111" s="112"/>
      <c r="F111" s="112"/>
      <c r="G111" s="112"/>
      <c r="H111" s="112"/>
      <c r="I111" s="37">
        <f>SUM(I72:I110)</f>
        <v>241319554820.41843</v>
      </c>
      <c r="J111" s="35">
        <f>(I111/$I$237)</f>
        <v>3.3369671268081866E-2</v>
      </c>
      <c r="K111" s="37">
        <f>SUM(K72:K110)</f>
        <v>241372875764.14999</v>
      </c>
      <c r="L111" s="35">
        <f>(K111/$K$237)</f>
        <v>3.2740927422144211E-2</v>
      </c>
      <c r="M111" s="35">
        <f t="shared" si="33"/>
        <v>2.209557520991076E-4</v>
      </c>
      <c r="N111" s="20"/>
      <c r="O111" s="20"/>
      <c r="P111" s="38"/>
      <c r="Q111" s="38"/>
      <c r="R111" s="37"/>
      <c r="S111" s="37"/>
      <c r="T111" s="37">
        <f>SUM(T72:T110)</f>
        <v>51484</v>
      </c>
      <c r="U111" s="37"/>
      <c r="V111" s="10"/>
    </row>
    <row r="112" spans="1:23" ht="7.05" customHeight="1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5"/>
    </row>
    <row r="113" spans="1:24">
      <c r="A113" s="111" t="s">
        <v>130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</row>
    <row r="114" spans="1:24">
      <c r="A114" s="118" t="s">
        <v>131</v>
      </c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</row>
    <row r="115" spans="1:24">
      <c r="A115" s="126">
        <v>101</v>
      </c>
      <c r="B115" s="19" t="s">
        <v>132</v>
      </c>
      <c r="C115" s="19" t="s">
        <v>22</v>
      </c>
      <c r="D115" s="17">
        <v>2851354766.7800002</v>
      </c>
      <c r="E115" s="17">
        <v>19228001.899999999</v>
      </c>
      <c r="F115" s="17">
        <v>3039017.45</v>
      </c>
      <c r="G115" s="17">
        <v>5381423.4699999997</v>
      </c>
      <c r="H115" s="12">
        <f t="shared" ref="H115:H131" si="46">(E115+F115)-G115</f>
        <v>16885595.879999999</v>
      </c>
      <c r="I115" s="29">
        <v>2761396350.1500001</v>
      </c>
      <c r="J115" s="13">
        <f t="shared" ref="J115:J131" si="47">(I115/$I$153)</f>
        <v>1.4582856819730786E-3</v>
      </c>
      <c r="K115" s="29">
        <v>2824628314.0100002</v>
      </c>
      <c r="L115" s="13">
        <f t="shared" ref="L115" si="48">(K115/$K$153)</f>
        <v>1.4838795342742802E-3</v>
      </c>
      <c r="M115" s="13">
        <f t="shared" ref="M115" si="49">((K115-I115)/I115)</f>
        <v>2.2898546909633364E-2</v>
      </c>
      <c r="N115" s="20">
        <f t="shared" ref="N115" si="50">(G115/K115)</f>
        <v>1.9051793268899972E-3</v>
      </c>
      <c r="O115" s="21">
        <f t="shared" ref="O115" si="51">H115/K115</f>
        <v>5.9779886069428597E-3</v>
      </c>
      <c r="P115" s="24">
        <f t="shared" ref="P115" si="52">K115/V115</f>
        <v>165680.75973363241</v>
      </c>
      <c r="Q115" s="24">
        <f t="shared" ref="Q115" si="53">H115/V115</f>
        <v>990.43769407729189</v>
      </c>
      <c r="R115" s="10">
        <v>114.5595</v>
      </c>
      <c r="S115" s="10">
        <v>114.5595</v>
      </c>
      <c r="T115" s="10">
        <v>164</v>
      </c>
      <c r="U115" s="10">
        <v>17037.919999999998</v>
      </c>
      <c r="V115" s="10">
        <v>17048.62</v>
      </c>
    </row>
    <row r="116" spans="1:24">
      <c r="A116" s="126">
        <v>102</v>
      </c>
      <c r="B116" s="83" t="s">
        <v>230</v>
      </c>
      <c r="C116" s="84" t="s">
        <v>55</v>
      </c>
      <c r="D116" s="17">
        <f>3830109.71*C239</f>
        <v>5541180965.0757904</v>
      </c>
      <c r="E116" s="17">
        <f>35797.74*FX_RATE</f>
        <v>51790097.542853996</v>
      </c>
      <c r="F116" s="17">
        <v>0</v>
      </c>
      <c r="G116" s="17">
        <f>6199.44*C239</f>
        <v>8968990.8444239981</v>
      </c>
      <c r="H116" s="12">
        <f t="shared" si="46"/>
        <v>42821106.698430002</v>
      </c>
      <c r="I116" s="29">
        <v>5321749930.5735941</v>
      </c>
      <c r="J116" s="13">
        <f t="shared" si="47"/>
        <v>2.8104012400737535E-3</v>
      </c>
      <c r="K116" s="29">
        <f>3856350.11*FX_RATE</f>
        <v>5579144056.4766302</v>
      </c>
      <c r="L116" s="13">
        <f t="shared" ref="L116:L131" si="54">(K116/$K$153)</f>
        <v>2.930926395912475E-3</v>
      </c>
      <c r="M116" s="13">
        <f t="shared" ref="M116:M131" si="55">((K116-I116)/I116)</f>
        <v>4.8366445109399081E-2</v>
      </c>
      <c r="N116" s="20">
        <f t="shared" ref="N116:N131" si="56">(G116/K116)</f>
        <v>1.6075926259714007E-3</v>
      </c>
      <c r="O116" s="21">
        <f t="shared" ref="O116:O131" si="57">H116/K116</f>
        <v>7.6752107966670084E-3</v>
      </c>
      <c r="P116" s="24">
        <f t="shared" ref="P116:P131" si="58">K116/V116</f>
        <v>157387.48753758642</v>
      </c>
      <c r="Q116" s="24">
        <f t="shared" ref="Q116:Q131" si="59">H116/V116</f>
        <v>1207.9821436087775</v>
      </c>
      <c r="R116" s="10">
        <f>100*C239</f>
        <v>144674.21</v>
      </c>
      <c r="S116" s="10">
        <f>100*C239</f>
        <v>144674.21</v>
      </c>
      <c r="T116" s="10">
        <v>95</v>
      </c>
      <c r="U116" s="10">
        <v>35472.76</v>
      </c>
      <c r="V116" s="10">
        <v>35448.46</v>
      </c>
    </row>
    <row r="117" spans="1:24" ht="13.05" customHeight="1">
      <c r="A117" s="126">
        <v>103</v>
      </c>
      <c r="B117" s="19" t="s">
        <v>133</v>
      </c>
      <c r="C117" s="88" t="s">
        <v>26</v>
      </c>
      <c r="D117" s="17">
        <f>7969585.8*FX_RATE</f>
        <v>11529935296.42218</v>
      </c>
      <c r="E117" s="17">
        <f>73355.86*FX_RATE</f>
        <v>106127010.94370599</v>
      </c>
      <c r="F117" s="17">
        <f>42265.6*C239</f>
        <v>61147422.901759997</v>
      </c>
      <c r="G117" s="17">
        <f>18683.57*FX_RATE</f>
        <v>27030307.297296997</v>
      </c>
      <c r="H117" s="12">
        <f t="shared" si="46"/>
        <v>140244126.54816899</v>
      </c>
      <c r="I117" s="29">
        <v>16553836787.6973</v>
      </c>
      <c r="J117" s="13">
        <f t="shared" si="47"/>
        <v>8.7420348650445942E-3</v>
      </c>
      <c r="K117" s="29">
        <f>11898414*FX_RATE</f>
        <v>17213936457.0294</v>
      </c>
      <c r="L117" s="13">
        <f t="shared" si="54"/>
        <v>9.0431041444249318E-3</v>
      </c>
      <c r="M117" s="13">
        <f t="shared" si="55"/>
        <v>3.9875931954499004E-2</v>
      </c>
      <c r="N117" s="20">
        <f t="shared" si="56"/>
        <v>1.5702571788139157E-3</v>
      </c>
      <c r="O117" s="21">
        <f t="shared" si="57"/>
        <v>8.1471270036493938E-3</v>
      </c>
      <c r="P117" s="24">
        <f t="shared" si="58"/>
        <v>1765.809221635664</v>
      </c>
      <c r="Q117" s="24">
        <f t="shared" si="59"/>
        <v>14.386271992881035</v>
      </c>
      <c r="R117" s="10">
        <f>1.2205*FX_RATE</f>
        <v>1765.7487330499998</v>
      </c>
      <c r="S117" s="10">
        <f>1.2205*FX_RATE</f>
        <v>1765.7487330499998</v>
      </c>
      <c r="T117" s="10">
        <v>323</v>
      </c>
      <c r="U117" s="10">
        <v>9615613</v>
      </c>
      <c r="V117" s="10">
        <v>9748469</v>
      </c>
    </row>
    <row r="118" spans="1:24" ht="13.05" customHeight="1">
      <c r="A118" s="126">
        <v>104</v>
      </c>
      <c r="B118" s="19" t="s">
        <v>270</v>
      </c>
      <c r="C118" s="88" t="s">
        <v>26</v>
      </c>
      <c r="D118" s="17">
        <f>1975201.39*FX_RATE</f>
        <v>2857607006.8915186</v>
      </c>
      <c r="E118" s="17">
        <f>17196.42*FX_RATE</f>
        <v>24878784.783281997</v>
      </c>
      <c r="F118" s="17">
        <f>1680*FX_RATE</f>
        <v>2430526.7280000001</v>
      </c>
      <c r="G118" s="17">
        <f>8162.1*FX_RATE</f>
        <v>11808453.69441</v>
      </c>
      <c r="H118" s="12">
        <f t="shared" si="46"/>
        <v>15500857.816871997</v>
      </c>
      <c r="I118" s="29">
        <v>4009937615.1065001</v>
      </c>
      <c r="J118" s="13">
        <f t="shared" si="47"/>
        <v>2.1176368286998848E-3</v>
      </c>
      <c r="K118" s="29">
        <f>2861484*FX_RATE</f>
        <v>4139829371.2763996</v>
      </c>
      <c r="L118" s="13">
        <f t="shared" si="54"/>
        <v>2.1748022736144184E-3</v>
      </c>
      <c r="M118" s="13">
        <f t="shared" si="55"/>
        <v>3.239246308485267E-2</v>
      </c>
      <c r="N118" s="20">
        <f t="shared" si="56"/>
        <v>2.852401061826661E-3</v>
      </c>
      <c r="O118" s="21">
        <f t="shared" si="57"/>
        <v>3.7443228758224749E-3</v>
      </c>
      <c r="P118" s="24">
        <f t="shared" si="58"/>
        <v>1512.606808062161</v>
      </c>
      <c r="Q118" s="24">
        <f t="shared" si="59"/>
        <v>5.6636882735519656</v>
      </c>
      <c r="R118" s="10">
        <f>1.0455*FX_RATE</f>
        <v>1512.5688655500001</v>
      </c>
      <c r="S118" s="10">
        <f>1.0455*FX_RATE</f>
        <v>1512.5688655500001</v>
      </c>
      <c r="T118" s="10">
        <v>97</v>
      </c>
      <c r="U118" s="10">
        <v>2707726</v>
      </c>
      <c r="V118" s="10">
        <v>2736884</v>
      </c>
    </row>
    <row r="119" spans="1:24" ht="13.05" customHeight="1">
      <c r="A119" s="126">
        <v>105</v>
      </c>
      <c r="B119" s="84" t="s">
        <v>235</v>
      </c>
      <c r="C119" s="84" t="s">
        <v>103</v>
      </c>
      <c r="D119" s="17">
        <f>26907529.38*FX_RATE</f>
        <v>38928255561.032898</v>
      </c>
      <c r="E119" s="17">
        <f>220490.45*FX_RATE</f>
        <v>318992816.66294503</v>
      </c>
      <c r="F119" s="17">
        <v>0</v>
      </c>
      <c r="G119" s="17">
        <f>32362.91*FX_RATE</f>
        <v>46820784.375510998</v>
      </c>
      <c r="H119" s="12">
        <f t="shared" si="46"/>
        <v>272172032.28743404</v>
      </c>
      <c r="I119" s="29">
        <v>37007375031.122581</v>
      </c>
      <c r="J119" s="13">
        <f t="shared" si="47"/>
        <v>1.9543491151627887E-2</v>
      </c>
      <c r="K119" s="29">
        <f>26889754.15*FX_RATE</f>
        <v>38902539387.454712</v>
      </c>
      <c r="L119" s="13">
        <f t="shared" si="54"/>
        <v>2.0436912616793507E-2</v>
      </c>
      <c r="M119" s="13">
        <f t="shared" si="55"/>
        <v>5.1210450747677431E-2</v>
      </c>
      <c r="N119" s="20">
        <f t="shared" si="56"/>
        <v>1.2035405686295574E-3</v>
      </c>
      <c r="O119" s="21">
        <f t="shared" si="57"/>
        <v>6.9962536269599935E-3</v>
      </c>
      <c r="P119" s="24">
        <f t="shared" si="58"/>
        <v>1595.9631425440882</v>
      </c>
      <c r="Q119" s="24">
        <f t="shared" si="59"/>
        <v>11.165762924518546</v>
      </c>
      <c r="R119" s="10">
        <f>1.1031*FX_RATE</f>
        <v>1595.9012105099998</v>
      </c>
      <c r="S119" s="10">
        <f>1.1031*FX_RATE</f>
        <v>1595.9012105099998</v>
      </c>
      <c r="T119" s="10">
        <v>605</v>
      </c>
      <c r="U119" s="10">
        <v>23741876.079999998</v>
      </c>
      <c r="V119" s="10">
        <v>24375587.600000001</v>
      </c>
    </row>
    <row r="120" spans="1:24" ht="13.05" customHeight="1">
      <c r="A120" s="126">
        <v>106</v>
      </c>
      <c r="B120" s="83" t="s">
        <v>236</v>
      </c>
      <c r="C120" s="84" t="s">
        <v>214</v>
      </c>
      <c r="D120" s="17">
        <f>965045.01*FX_RATE</f>
        <v>1396171244.3619208</v>
      </c>
      <c r="E120" s="17">
        <f>11560.3*FX_RATE</f>
        <v>16724772.698629998</v>
      </c>
      <c r="F120" s="17">
        <v>0</v>
      </c>
      <c r="G120" s="17">
        <f>1696.65*FX_RATE</f>
        <v>2454614.9839650001</v>
      </c>
      <c r="H120" s="12">
        <f t="shared" si="46"/>
        <v>14270157.714664998</v>
      </c>
      <c r="I120" s="29">
        <v>1320140991.3872669</v>
      </c>
      <c r="J120" s="13">
        <f t="shared" si="47"/>
        <v>6.9716276181114745E-4</v>
      </c>
      <c r="K120" s="29">
        <f>951602.29*FX_RATE</f>
        <v>1376723095.3994091</v>
      </c>
      <c r="L120" s="13">
        <f t="shared" si="54"/>
        <v>7.2324249370909902E-4</v>
      </c>
      <c r="M120" s="13">
        <f t="shared" si="55"/>
        <v>4.2860652294936331E-2</v>
      </c>
      <c r="N120" s="20">
        <f t="shared" si="56"/>
        <v>1.7829402239038328E-3</v>
      </c>
      <c r="O120" s="21">
        <f t="shared" si="57"/>
        <v>1.0365307128464347E-2</v>
      </c>
      <c r="P120" s="24">
        <f t="shared" si="58"/>
        <v>1613.3956721517907</v>
      </c>
      <c r="Q120" s="24">
        <f t="shared" si="59"/>
        <v>16.723341661588485</v>
      </c>
      <c r="R120" s="10">
        <f>1.1152*FX_RATE</f>
        <v>1613.4067899199999</v>
      </c>
      <c r="S120" s="10">
        <f>1.1226*C239</f>
        <v>1624.11268146</v>
      </c>
      <c r="T120" s="10">
        <v>63</v>
      </c>
      <c r="U120" s="10">
        <v>835144.14</v>
      </c>
      <c r="V120" s="10">
        <v>853307.79</v>
      </c>
    </row>
    <row r="121" spans="1:24" ht="13.05" customHeight="1">
      <c r="A121" s="126">
        <v>107</v>
      </c>
      <c r="B121" s="83" t="s">
        <v>237</v>
      </c>
      <c r="C121" s="84" t="s">
        <v>48</v>
      </c>
      <c r="D121" s="17">
        <f>418320.34*FX_RATE</f>
        <v>605201647.16431403</v>
      </c>
      <c r="E121" s="17">
        <f>4568.56*FX_RATE</f>
        <v>6609528.0883760005</v>
      </c>
      <c r="F121" s="17">
        <v>0</v>
      </c>
      <c r="G121" s="17">
        <f>927.15*FX_RATE</f>
        <v>1341346.938015</v>
      </c>
      <c r="H121" s="12">
        <f t="shared" si="46"/>
        <v>5268181.1503610006</v>
      </c>
      <c r="I121" s="29">
        <v>1133893926.043354</v>
      </c>
      <c r="J121" s="13">
        <f t="shared" si="47"/>
        <v>5.9880620800249957E-4</v>
      </c>
      <c r="K121" s="29">
        <f>447545.89*FX_RATE</f>
        <v>647483480.74496901</v>
      </c>
      <c r="L121" s="13">
        <f t="shared" si="54"/>
        <v>3.4014651807201741E-4</v>
      </c>
      <c r="M121" s="13">
        <f t="shared" si="55"/>
        <v>-0.42897349930754219</v>
      </c>
      <c r="N121" s="20">
        <f t="shared" si="56"/>
        <v>2.0716311348541261E-3</v>
      </c>
      <c r="O121" s="21">
        <f t="shared" si="57"/>
        <v>8.1363946834591659E-3</v>
      </c>
      <c r="P121" s="24">
        <f t="shared" si="58"/>
        <v>1916.6168996966283</v>
      </c>
      <c r="Q121" s="24">
        <f t="shared" si="59"/>
        <v>15.594351552919633</v>
      </c>
      <c r="R121" s="10">
        <f>1.3248*FX_RATE</f>
        <v>1916.6439340799998</v>
      </c>
      <c r="S121" s="10">
        <f>1.3248*FX_RATE</f>
        <v>1916.6439340799998</v>
      </c>
      <c r="T121" s="10">
        <v>54</v>
      </c>
      <c r="U121" s="10">
        <v>578776.65</v>
      </c>
      <c r="V121" s="10">
        <v>337826.24</v>
      </c>
    </row>
    <row r="122" spans="1:24" ht="13.05" customHeight="1">
      <c r="A122" s="126">
        <v>108</v>
      </c>
      <c r="B122" s="83" t="s">
        <v>238</v>
      </c>
      <c r="C122" s="84" t="s">
        <v>168</v>
      </c>
      <c r="D122" s="17">
        <f>493515.45*C239</f>
        <v>713989578.51544499</v>
      </c>
      <c r="E122" s="17">
        <f>7398.5*C239</f>
        <v>10703721.42685</v>
      </c>
      <c r="F122" s="17">
        <v>0</v>
      </c>
      <c r="G122" s="17">
        <f>2471.09*C239</f>
        <v>3575029.9358890001</v>
      </c>
      <c r="H122" s="12">
        <f t="shared" si="46"/>
        <v>7128691.4909610003</v>
      </c>
      <c r="I122" s="29">
        <v>2077190592.5663412</v>
      </c>
      <c r="J122" s="13">
        <f t="shared" si="47"/>
        <v>1.0969585368301533E-3</v>
      </c>
      <c r="K122" s="29">
        <f>1412942*C239</f>
        <v>2044162676.2581999</v>
      </c>
      <c r="L122" s="13">
        <f t="shared" si="54"/>
        <v>1.0738726737893009E-3</v>
      </c>
      <c r="M122" s="13">
        <f t="shared" si="55"/>
        <v>-1.5900282057091202E-2</v>
      </c>
      <c r="N122" s="20">
        <f t="shared" si="56"/>
        <v>1.748896982324823E-3</v>
      </c>
      <c r="O122" s="21">
        <f t="shared" si="57"/>
        <v>3.4873405985525242E-3</v>
      </c>
      <c r="P122" s="24">
        <f t="shared" si="58"/>
        <v>153488.71273901485</v>
      </c>
      <c r="Q122" s="24">
        <f t="shared" si="59"/>
        <v>535.26741935433256</v>
      </c>
      <c r="R122" s="10">
        <f>107.69*FX_RATE</f>
        <v>155799.65674899999</v>
      </c>
      <c r="S122" s="10">
        <f>106.06*FX_RATE</f>
        <v>153441.467126</v>
      </c>
      <c r="T122" s="10">
        <v>106</v>
      </c>
      <c r="U122" s="10">
        <v>13672</v>
      </c>
      <c r="V122" s="10">
        <v>13318</v>
      </c>
    </row>
    <row r="123" spans="1:24" ht="15" customHeight="1">
      <c r="A123" s="126">
        <v>109</v>
      </c>
      <c r="B123" s="19" t="s">
        <v>134</v>
      </c>
      <c r="C123" s="88" t="s">
        <v>69</v>
      </c>
      <c r="D123" s="17">
        <f>3044452.67*FX_RATE</f>
        <v>4404537849.1464071</v>
      </c>
      <c r="E123" s="17">
        <f>17990.49*FX_RATE</f>
        <v>26027599.282629002</v>
      </c>
      <c r="F123" s="17">
        <v>0</v>
      </c>
      <c r="G123" s="17">
        <f>5542.22*FX_RATE</f>
        <v>8018163.0014620004</v>
      </c>
      <c r="H123" s="12">
        <f t="shared" si="46"/>
        <v>18009436.281167001</v>
      </c>
      <c r="I123" s="29">
        <v>4596660816.9371195</v>
      </c>
      <c r="J123" s="13">
        <f t="shared" si="47"/>
        <v>2.4274837090524702E-3</v>
      </c>
      <c r="K123" s="29">
        <f>3006518.58*FX_RATE</f>
        <v>4349657004.1182175</v>
      </c>
      <c r="L123" s="13">
        <f t="shared" si="54"/>
        <v>2.2850323270890184E-3</v>
      </c>
      <c r="M123" s="13">
        <f t="shared" si="55"/>
        <v>-5.3735488141473838E-2</v>
      </c>
      <c r="N123" s="20">
        <f t="shared" si="56"/>
        <v>1.8434012139050212E-3</v>
      </c>
      <c r="O123" s="21">
        <f t="shared" si="57"/>
        <v>4.1404267656313639E-3</v>
      </c>
      <c r="P123" s="24">
        <f t="shared" si="58"/>
        <v>150852.50539360062</v>
      </c>
      <c r="Q123" s="24">
        <f t="shared" si="59"/>
        <v>624.59375099421379</v>
      </c>
      <c r="R123" s="10">
        <f>116.3*FX_RATE</f>
        <v>168256.10622999998</v>
      </c>
      <c r="S123" s="10">
        <f>116.3*FX_RATE</f>
        <v>168256.10622999998</v>
      </c>
      <c r="T123" s="10">
        <v>61</v>
      </c>
      <c r="U123" s="10">
        <v>28359.87</v>
      </c>
      <c r="V123" s="10">
        <v>28833.84</v>
      </c>
    </row>
    <row r="124" spans="1:24" ht="15" customHeight="1">
      <c r="A124" s="126">
        <v>110</v>
      </c>
      <c r="B124" s="19" t="s">
        <v>317</v>
      </c>
      <c r="C124" s="19" t="s">
        <v>135</v>
      </c>
      <c r="D124" s="17">
        <v>59286637408.239998</v>
      </c>
      <c r="E124" s="17">
        <v>430503763.48000002</v>
      </c>
      <c r="F124" s="17">
        <v>0</v>
      </c>
      <c r="G124" s="17">
        <v>91655197.739999995</v>
      </c>
      <c r="H124" s="12">
        <f t="shared" si="46"/>
        <v>338848565.74000001</v>
      </c>
      <c r="I124" s="29">
        <v>55163967823.629997</v>
      </c>
      <c r="J124" s="13">
        <f t="shared" si="47"/>
        <v>2.9131936975890272E-2</v>
      </c>
      <c r="K124" s="29">
        <v>58899631255.760002</v>
      </c>
      <c r="L124" s="13">
        <f t="shared" si="54"/>
        <v>3.0942109077936038E-2</v>
      </c>
      <c r="M124" s="13">
        <f t="shared" si="55"/>
        <v>6.7719266389133795E-2</v>
      </c>
      <c r="N124" s="20">
        <f t="shared" si="56"/>
        <v>1.5561251536873877E-3</v>
      </c>
      <c r="O124" s="21">
        <f t="shared" si="57"/>
        <v>5.7529828033832187E-3</v>
      </c>
      <c r="P124" s="24">
        <f t="shared" si="58"/>
        <v>183979.59174316912</v>
      </c>
      <c r="Q124" s="24">
        <f t="shared" si="59"/>
        <v>1058.4314274719172</v>
      </c>
      <c r="R124" s="10">
        <f>127.1*C239</f>
        <v>183880.92090999999</v>
      </c>
      <c r="S124" s="10">
        <f>127.1*C239</f>
        <v>183880.92090999999</v>
      </c>
      <c r="T124" s="10">
        <v>2534</v>
      </c>
      <c r="U124" s="10">
        <v>305924.21000000002</v>
      </c>
      <c r="V124" s="10">
        <v>320142.2</v>
      </c>
    </row>
    <row r="125" spans="1:24">
      <c r="A125" s="126">
        <v>111</v>
      </c>
      <c r="B125" s="19" t="s">
        <v>136</v>
      </c>
      <c r="C125" s="19" t="s">
        <v>135</v>
      </c>
      <c r="D125" s="17">
        <v>167938806298.04001</v>
      </c>
      <c r="E125" s="17">
        <v>1364855443.8599999</v>
      </c>
      <c r="F125" s="17">
        <v>0</v>
      </c>
      <c r="G125" s="17">
        <v>265334223.50999999</v>
      </c>
      <c r="H125" s="12">
        <f t="shared" si="46"/>
        <v>1099521220.3499999</v>
      </c>
      <c r="I125" s="29">
        <v>165351687334.54001</v>
      </c>
      <c r="J125" s="13">
        <f t="shared" si="47"/>
        <v>8.7321763178600076E-2</v>
      </c>
      <c r="K125" s="29">
        <v>167153210449.51001</v>
      </c>
      <c r="L125" s="13">
        <f t="shared" si="54"/>
        <v>8.7811634133959732E-2</v>
      </c>
      <c r="M125" s="13">
        <f t="shared" si="55"/>
        <v>1.0895099675185984E-2</v>
      </c>
      <c r="N125" s="20">
        <f t="shared" si="56"/>
        <v>1.5873713869835983E-3</v>
      </c>
      <c r="O125" s="21">
        <f t="shared" si="57"/>
        <v>6.5779246320974444E-3</v>
      </c>
      <c r="P125" s="24">
        <f t="shared" si="58"/>
        <v>179238.17021524801</v>
      </c>
      <c r="Q125" s="24">
        <f t="shared" si="59"/>
        <v>1179.0151748709545</v>
      </c>
      <c r="R125" s="10">
        <f>123.83*FX_RATE</f>
        <v>179150.07424299998</v>
      </c>
      <c r="S125" s="10">
        <f>123.83*FX_RATE</f>
        <v>179150.07424299998</v>
      </c>
      <c r="T125" s="10">
        <v>990</v>
      </c>
      <c r="U125" s="10">
        <v>943567.11</v>
      </c>
      <c r="V125" s="10">
        <v>932575.97</v>
      </c>
    </row>
    <row r="126" spans="1:24">
      <c r="A126" s="126">
        <v>112</v>
      </c>
      <c r="B126" s="83" t="s">
        <v>272</v>
      </c>
      <c r="C126" s="84" t="s">
        <v>273</v>
      </c>
      <c r="D126" s="17">
        <f>1592557.86*FX_RATE</f>
        <v>2304020502.7479062</v>
      </c>
      <c r="E126" s="17">
        <f>6962.2*FX_RATE</f>
        <v>10072507.848619999</v>
      </c>
      <c r="F126" s="17">
        <v>0</v>
      </c>
      <c r="G126" s="17">
        <f>1894.4*FX_RATE</f>
        <v>2740708.2342400001</v>
      </c>
      <c r="H126" s="12">
        <f>(E126+F126)-G126</f>
        <v>7331799.6143799992</v>
      </c>
      <c r="I126" s="46">
        <v>2260939955.0920143</v>
      </c>
      <c r="J126" s="13">
        <f t="shared" si="47"/>
        <v>1.1939960607728188E-3</v>
      </c>
      <c r="K126" s="29">
        <f>1562855.1*FX_RATE</f>
        <v>2261048269.36971</v>
      </c>
      <c r="L126" s="13">
        <f t="shared" si="54"/>
        <v>1.187810529365144E-3</v>
      </c>
      <c r="M126" s="13">
        <f t="shared" si="55"/>
        <v>4.7906746683702937E-5</v>
      </c>
      <c r="N126" s="20">
        <f t="shared" si="56"/>
        <v>1.212140524095932E-3</v>
      </c>
      <c r="O126" s="21">
        <f t="shared" si="57"/>
        <v>3.2426550612401619E-3</v>
      </c>
      <c r="P126" s="24">
        <f t="shared" si="58"/>
        <v>148934.54261536317</v>
      </c>
      <c r="Q126" s="24">
        <f t="shared" si="59"/>
        <v>482.94334840519605</v>
      </c>
      <c r="R126" s="10">
        <f>1*FX_RATE</f>
        <v>1446.7420999999999</v>
      </c>
      <c r="S126" s="10">
        <f>1*FX_RATE</f>
        <v>1446.7420999999999</v>
      </c>
      <c r="T126" s="10">
        <v>16</v>
      </c>
      <c r="U126" s="10">
        <v>15064.46</v>
      </c>
      <c r="V126" s="10">
        <v>15181.49</v>
      </c>
    </row>
    <row r="127" spans="1:24" s="3" customFormat="1">
      <c r="A127" s="126">
        <v>113</v>
      </c>
      <c r="B127" s="83" t="s">
        <v>137</v>
      </c>
      <c r="C127" s="84" t="s">
        <v>138</v>
      </c>
      <c r="D127" s="17">
        <f>179850.68*FX_RATE</f>
        <v>260197550.46962798</v>
      </c>
      <c r="E127" s="17">
        <v>0</v>
      </c>
      <c r="F127" s="17">
        <v>0</v>
      </c>
      <c r="G127" s="17">
        <f>4223.56*FX_RATE</f>
        <v>6110402.0638760002</v>
      </c>
      <c r="H127" s="12">
        <f t="shared" si="46"/>
        <v>-6110402.0638760002</v>
      </c>
      <c r="I127" s="29">
        <v>222709048.02717203</v>
      </c>
      <c r="J127" s="13">
        <f t="shared" si="47"/>
        <v>1.1761202478819741E-4</v>
      </c>
      <c r="K127" s="29">
        <f>140400.44*FX_RATE</f>
        <v>203123227.406524</v>
      </c>
      <c r="L127" s="13">
        <f t="shared" si="54"/>
        <v>1.0670798653022865E-4</v>
      </c>
      <c r="M127" s="13">
        <f t="shared" si="55"/>
        <v>-8.7943533476279881E-2</v>
      </c>
      <c r="N127" s="20">
        <f t="shared" si="56"/>
        <v>3.0082241907503995E-2</v>
      </c>
      <c r="O127" s="21">
        <f t="shared" si="57"/>
        <v>-3.0082241907503995E-2</v>
      </c>
      <c r="P127" s="24">
        <f t="shared" si="58"/>
        <v>194732.21621003366</v>
      </c>
      <c r="Q127" s="24">
        <f t="shared" si="59"/>
        <v>-5857.9816352146036</v>
      </c>
      <c r="R127" s="10">
        <f>134.6006*FX_RATE</f>
        <v>194732.35470525996</v>
      </c>
      <c r="S127" s="10">
        <f>134.6006*FX_RATE</f>
        <v>194732.35470525996</v>
      </c>
      <c r="T127" s="10">
        <v>9</v>
      </c>
      <c r="U127" s="10">
        <v>1175.6600000000001</v>
      </c>
      <c r="V127" s="10">
        <v>1043.0899999999999</v>
      </c>
      <c r="W127" s="6"/>
      <c r="X127" s="6"/>
    </row>
    <row r="128" spans="1:24">
      <c r="A128" s="126">
        <v>114</v>
      </c>
      <c r="B128" s="19" t="s">
        <v>139</v>
      </c>
      <c r="C128" s="19" t="s">
        <v>140</v>
      </c>
      <c r="D128" s="17">
        <f>10362378.36*FX_RATE</f>
        <v>14991689029.540955</v>
      </c>
      <c r="E128" s="17">
        <f>119145.35*FX_RATE</f>
        <v>172372593.86423501</v>
      </c>
      <c r="F128" s="17">
        <v>0</v>
      </c>
      <c r="G128" s="17">
        <f>16688.79*FX_RATE</f>
        <v>24144375.091058999</v>
      </c>
      <c r="H128" s="12">
        <f t="shared" si="46"/>
        <v>148228218.77317601</v>
      </c>
      <c r="I128" s="29">
        <v>14665428013.688971</v>
      </c>
      <c r="J128" s="13">
        <f t="shared" si="47"/>
        <v>7.7447714780994022E-3</v>
      </c>
      <c r="K128" s="29">
        <f>10304283.43*FX_RATE</f>
        <v>14907640648.513401</v>
      </c>
      <c r="L128" s="13">
        <f t="shared" si="54"/>
        <v>7.8315234443146909E-3</v>
      </c>
      <c r="M128" s="13">
        <f t="shared" si="55"/>
        <v>1.6515892655730533E-2</v>
      </c>
      <c r="N128" s="20">
        <f t="shared" si="56"/>
        <v>1.6195973367165038E-3</v>
      </c>
      <c r="O128" s="21">
        <f t="shared" si="57"/>
        <v>9.9431038262890667E-3</v>
      </c>
      <c r="P128" s="24">
        <f t="shared" si="58"/>
        <v>2110.1578563678536</v>
      </c>
      <c r="Q128" s="24">
        <f t="shared" si="59"/>
        <v>20.981518655725139</v>
      </c>
      <c r="R128" s="10">
        <f>1.46*FX_RATE</f>
        <v>2112.2434659999999</v>
      </c>
      <c r="S128" s="10">
        <f>1.46*FX_RATE</f>
        <v>2112.2434659999999</v>
      </c>
      <c r="T128" s="10">
        <v>113</v>
      </c>
      <c r="U128" s="10">
        <v>7128436</v>
      </c>
      <c r="V128" s="10">
        <v>7064704</v>
      </c>
    </row>
    <row r="129" spans="1:22">
      <c r="A129" s="126">
        <v>115</v>
      </c>
      <c r="B129" s="19" t="s">
        <v>141</v>
      </c>
      <c r="C129" s="19" t="s">
        <v>50</v>
      </c>
      <c r="D129" s="17">
        <f>103811452*FX_RATE</f>
        <v>150188398070.52921</v>
      </c>
      <c r="E129" s="17">
        <f>831192*FX_RATE</f>
        <v>1202520459.5832</v>
      </c>
      <c r="F129" s="17">
        <v>0</v>
      </c>
      <c r="G129" s="17">
        <f>157806*FX_RATE</f>
        <v>228304583.8326</v>
      </c>
      <c r="H129" s="12">
        <f t="shared" si="46"/>
        <v>974215875.75059998</v>
      </c>
      <c r="I129" s="29">
        <v>166212882702.65631</v>
      </c>
      <c r="J129" s="13">
        <f t="shared" si="47"/>
        <v>8.7776558041582103E-2</v>
      </c>
      <c r="K129" s="29">
        <f>109812811*FX_RATE</f>
        <v>158870816793.04309</v>
      </c>
      <c r="L129" s="13">
        <f t="shared" si="54"/>
        <v>8.3460592837419481E-2</v>
      </c>
      <c r="M129" s="13">
        <f t="shared" si="55"/>
        <v>-4.4172664538570591E-2</v>
      </c>
      <c r="N129" s="20">
        <f t="shared" si="56"/>
        <v>1.437045446364177E-3</v>
      </c>
      <c r="O129" s="21">
        <f t="shared" si="57"/>
        <v>6.1321260594995606E-3</v>
      </c>
      <c r="P129" s="24">
        <f t="shared" si="58"/>
        <v>178101.88024602248</v>
      </c>
      <c r="Q129" s="24">
        <f t="shared" si="59"/>
        <v>1092.1431811025045</v>
      </c>
      <c r="R129" s="10">
        <f>123.1*FX_RATE</f>
        <v>178093.95250999997</v>
      </c>
      <c r="S129" s="10">
        <f>123.1*FX_RATE</f>
        <v>178093.95250999997</v>
      </c>
      <c r="T129" s="10">
        <v>1014</v>
      </c>
      <c r="U129" s="10">
        <v>946299</v>
      </c>
      <c r="V129" s="10">
        <v>892022.12</v>
      </c>
    </row>
    <row r="130" spans="1:22" ht="13.95" customHeight="1">
      <c r="A130" s="126">
        <v>116</v>
      </c>
      <c r="B130" s="19" t="s">
        <v>142</v>
      </c>
      <c r="C130" s="19" t="s">
        <v>143</v>
      </c>
      <c r="D130" s="17">
        <v>33478973498.740002</v>
      </c>
      <c r="E130" s="17">
        <v>267448123.81</v>
      </c>
      <c r="F130" s="17">
        <v>113750137.36</v>
      </c>
      <c r="G130" s="17">
        <v>72787064.670000002</v>
      </c>
      <c r="H130" s="12">
        <f t="shared" si="46"/>
        <v>308411196.5</v>
      </c>
      <c r="I130" s="29">
        <v>34406468466.690002</v>
      </c>
      <c r="J130" s="13">
        <f t="shared" si="47"/>
        <v>1.8169959676200324E-2</v>
      </c>
      <c r="K130" s="29">
        <v>35646017596.760002</v>
      </c>
      <c r="L130" s="13">
        <f t="shared" si="54"/>
        <v>1.8726143800180631E-2</v>
      </c>
      <c r="M130" s="13">
        <f t="shared" si="55"/>
        <v>3.6026630610754097E-2</v>
      </c>
      <c r="N130" s="20">
        <f t="shared" si="56"/>
        <v>2.0419409958608078E-3</v>
      </c>
      <c r="O130" s="21">
        <f t="shared" si="57"/>
        <v>8.6520519624058261E-3</v>
      </c>
      <c r="P130" s="24">
        <f t="shared" si="58"/>
        <v>152107.19782869919</v>
      </c>
      <c r="Q130" s="24">
        <f t="shared" si="59"/>
        <v>1316.0393794698482</v>
      </c>
      <c r="R130" s="10">
        <v>152107.20000000001</v>
      </c>
      <c r="S130" s="10">
        <v>152107.20000000001</v>
      </c>
      <c r="T130" s="10">
        <v>829</v>
      </c>
      <c r="U130" s="10">
        <v>229976</v>
      </c>
      <c r="V130" s="10">
        <v>234348</v>
      </c>
    </row>
    <row r="131" spans="1:22">
      <c r="A131" s="126">
        <v>117</v>
      </c>
      <c r="B131" s="19" t="s">
        <v>144</v>
      </c>
      <c r="C131" s="19" t="s">
        <v>42</v>
      </c>
      <c r="D131" s="17">
        <f>1853276.89*FX_RATE</f>
        <v>2681213699.7200689</v>
      </c>
      <c r="E131" s="17">
        <f>36194.2*FX_RATE</f>
        <v>52363672.915819995</v>
      </c>
      <c r="F131" s="17">
        <v>0</v>
      </c>
      <c r="G131" s="17">
        <f>2284.64*FX_RATE</f>
        <v>3305284.8713439996</v>
      </c>
      <c r="H131" s="12">
        <f t="shared" si="46"/>
        <v>49058388.044475995</v>
      </c>
      <c r="I131" s="29">
        <v>2453203942.1669569</v>
      </c>
      <c r="J131" s="13">
        <f t="shared" si="47"/>
        <v>1.2955301341032249E-3</v>
      </c>
      <c r="K131" s="29">
        <f>1826787.03*FX_RATE</f>
        <v>2642889704.0349631</v>
      </c>
      <c r="L131" s="13">
        <f t="shared" si="54"/>
        <v>1.3884056616263909E-3</v>
      </c>
      <c r="M131" s="13">
        <f t="shared" si="55"/>
        <v>7.7321643996892314E-2</v>
      </c>
      <c r="N131" s="20">
        <f t="shared" si="56"/>
        <v>1.2506329213427794E-3</v>
      </c>
      <c r="O131" s="21">
        <f t="shared" si="57"/>
        <v>1.8562404617028617E-2</v>
      </c>
      <c r="P131" s="24">
        <f t="shared" si="58"/>
        <v>211401.91829730471</v>
      </c>
      <c r="Q131" s="24">
        <f t="shared" si="59"/>
        <v>3924.1279442505956</v>
      </c>
      <c r="R131" s="10">
        <f>155.39*FX_RATE</f>
        <v>224809.25491899997</v>
      </c>
      <c r="S131" s="10">
        <f>161.39*FX_RATE</f>
        <v>233489.70751899996</v>
      </c>
      <c r="T131" s="10">
        <v>50</v>
      </c>
      <c r="U131" s="10">
        <v>12492.73</v>
      </c>
      <c r="V131" s="10">
        <v>12501.73</v>
      </c>
    </row>
    <row r="132" spans="1:22" ht="5.55" customHeight="1">
      <c r="A132" s="119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</row>
    <row r="133" spans="1:22">
      <c r="A133" s="118" t="s">
        <v>145</v>
      </c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</row>
    <row r="134" spans="1:22">
      <c r="A134" s="94">
        <v>118</v>
      </c>
      <c r="B134" s="25" t="s">
        <v>146</v>
      </c>
      <c r="C134" s="10" t="s">
        <v>101</v>
      </c>
      <c r="D134" s="44">
        <f>887426.4*FX_RATE</f>
        <v>1283877133.53144</v>
      </c>
      <c r="E134" s="10">
        <f>6315.09*FX_RATE</f>
        <v>9136306.5682890005</v>
      </c>
      <c r="F134" s="10">
        <v>0</v>
      </c>
      <c r="G134" s="10">
        <f>1633.22*FX_RATE</f>
        <v>2362848.1325619998</v>
      </c>
      <c r="H134" s="12">
        <f>(E134+F134)-G134</f>
        <v>6773458.4357270002</v>
      </c>
      <c r="I134" s="10">
        <v>1450893487.5819371</v>
      </c>
      <c r="J134" s="13">
        <f t="shared" ref="J134:J152" si="60">(I134/$I$153)</f>
        <v>7.6621278900936896E-4</v>
      </c>
      <c r="K134" s="10">
        <f>1048608.38*FX_RATE</f>
        <v>1517065889.7587979</v>
      </c>
      <c r="L134" s="13">
        <f t="shared" ref="L134" si="61">(K134/$K$153)</f>
        <v>7.9696964545499199E-4</v>
      </c>
      <c r="M134" s="13">
        <f t="shared" ref="M134:M153" si="62">((K134-I134)/I134)</f>
        <v>4.560803583669254E-2</v>
      </c>
      <c r="N134" s="20">
        <f t="shared" ref="N134" si="63">(G134/K134)</f>
        <v>1.557511871114362E-3</v>
      </c>
      <c r="O134" s="21">
        <f t="shared" ref="O134" si="64">H134/K134</f>
        <v>4.4648412975681166E-3</v>
      </c>
      <c r="P134" s="22">
        <f t="shared" ref="P134" si="65">K134/V134</f>
        <v>169770.13090407319</v>
      </c>
      <c r="Q134" s="22">
        <f t="shared" ref="Q134" si="66">H134/V134</f>
        <v>757.99669155405104</v>
      </c>
      <c r="R134" s="10">
        <f>117.35*FX_RATE</f>
        <v>169775.18543499999</v>
      </c>
      <c r="S134" s="10">
        <f>117.35*FX_RATE</f>
        <v>169775.18543499999</v>
      </c>
      <c r="T134" s="10">
        <v>26</v>
      </c>
      <c r="U134" s="17">
        <v>8901</v>
      </c>
      <c r="V134" s="17">
        <v>8936</v>
      </c>
    </row>
    <row r="135" spans="1:22">
      <c r="A135" s="94">
        <v>119</v>
      </c>
      <c r="B135" s="25" t="s">
        <v>147</v>
      </c>
      <c r="C135" s="10" t="s">
        <v>28</v>
      </c>
      <c r="D135" s="44">
        <f>6750210.98*FX_RATE</f>
        <v>9765814408.6482582</v>
      </c>
      <c r="E135" s="10">
        <f>76140.81*FX_RATE</f>
        <v>110156115.35510099</v>
      </c>
      <c r="F135" s="10">
        <v>0</v>
      </c>
      <c r="G135" s="10">
        <f>20022.39*FX_RATE</f>
        <v>28967234.555618998</v>
      </c>
      <c r="H135" s="12">
        <f t="shared" ref="H135:H152" si="67">(E135+F135)-G135</f>
        <v>81188880.799481988</v>
      </c>
      <c r="I135" s="10">
        <v>25595058229.428795</v>
      </c>
      <c r="J135" s="13">
        <f t="shared" si="60"/>
        <v>1.3516678597484103E-2</v>
      </c>
      <c r="K135" s="10">
        <f>17605237.45*FX_RATE</f>
        <v>25470238199.411644</v>
      </c>
      <c r="L135" s="13">
        <f t="shared" ref="L135:L145" si="68">(K135/$K$153)</f>
        <v>1.3380438413697827E-2</v>
      </c>
      <c r="M135" s="13">
        <f t="shared" ref="M135:M145" si="69">((K135-I135)/I135)</f>
        <v>-4.8767238151322025E-3</v>
      </c>
      <c r="N135" s="20">
        <f t="shared" ref="N135:N145" si="70">(G135/K135)</f>
        <v>1.1372973557934034E-3</v>
      </c>
      <c r="O135" s="21">
        <f t="shared" ref="O135:O145" si="71">H135/K135</f>
        <v>3.1875980178841606E-3</v>
      </c>
      <c r="P135" s="22">
        <f t="shared" ref="P135:P145" si="72">K135/V135</f>
        <v>195467.56024317292</v>
      </c>
      <c r="Q135" s="22">
        <f t="shared" ref="Q135:Q145" si="73">H135/V135</f>
        <v>623.07200759179068</v>
      </c>
      <c r="R135" s="10">
        <f>134.48*FX_RATE</f>
        <v>194557.87760799998</v>
      </c>
      <c r="S135" s="10">
        <f>135.78*FX_RATE</f>
        <v>196438.64233800001</v>
      </c>
      <c r="T135" s="10">
        <v>642</v>
      </c>
      <c r="U135" s="17">
        <v>133481.71</v>
      </c>
      <c r="V135" s="17">
        <v>130304.17</v>
      </c>
    </row>
    <row r="136" spans="1:22">
      <c r="A136" s="94">
        <v>120</v>
      </c>
      <c r="B136" s="25" t="s">
        <v>312</v>
      </c>
      <c r="C136" s="25" t="s">
        <v>309</v>
      </c>
      <c r="D136" s="44">
        <f>237545*FX_RATE</f>
        <v>343666352.14449996</v>
      </c>
      <c r="E136" s="10">
        <f xml:space="preserve"> 2374.8*FX_RATE</f>
        <v>3435723.1390800001</v>
      </c>
      <c r="F136" s="10">
        <v>0</v>
      </c>
      <c r="G136" s="10">
        <f>765.83*FX_RATE</f>
        <v>1107958.502443</v>
      </c>
      <c r="H136" s="12">
        <f t="shared" ref="H136" si="74">(E136+F136)-G136</f>
        <v>2327764.6366370004</v>
      </c>
      <c r="I136" s="10">
        <v>350157177.79646802</v>
      </c>
      <c r="J136" s="13">
        <f t="shared" si="60"/>
        <v>1.8491702532776697E-4</v>
      </c>
      <c r="K136" s="10">
        <f>267877.52*FX_RATE</f>
        <v>387549685.82759202</v>
      </c>
      <c r="L136" s="13">
        <f t="shared" si="68"/>
        <v>2.0359388329488893E-4</v>
      </c>
      <c r="M136" s="13">
        <f t="shared" si="69"/>
        <v>0.1067877810371739</v>
      </c>
      <c r="N136" s="20">
        <f t="shared" si="70"/>
        <v>2.8588811782339929E-3</v>
      </c>
      <c r="O136" s="21">
        <f t="shared" si="71"/>
        <v>6.0063644011636372E-3</v>
      </c>
      <c r="P136" s="22">
        <f t="shared" si="72"/>
        <v>146799.12341954242</v>
      </c>
      <c r="Q136" s="22">
        <f t="shared" si="73"/>
        <v>881.72902902916678</v>
      </c>
      <c r="R136" s="10">
        <f>100*FX_RATE</f>
        <v>144674.21</v>
      </c>
      <c r="S136" s="10">
        <f>100*FX_RATE</f>
        <v>144674.21</v>
      </c>
      <c r="T136" s="10">
        <v>13</v>
      </c>
      <c r="U136" s="17">
        <v>2640</v>
      </c>
      <c r="V136" s="17">
        <v>2640</v>
      </c>
    </row>
    <row r="137" spans="1:22" ht="14.1" customHeight="1">
      <c r="A137" s="94">
        <v>121</v>
      </c>
      <c r="B137" s="25" t="s">
        <v>148</v>
      </c>
      <c r="C137" s="25" t="s">
        <v>62</v>
      </c>
      <c r="D137" s="44">
        <f>11429748.48*C239</f>
        <v>16535898318.427008</v>
      </c>
      <c r="E137" s="10">
        <f>9444635.44*C239</f>
        <v>13663951710.200022</v>
      </c>
      <c r="F137" s="10">
        <v>0</v>
      </c>
      <c r="G137" s="10">
        <f>220362.38*C239</f>
        <v>318807532.40219802</v>
      </c>
      <c r="H137" s="12">
        <f t="shared" si="67"/>
        <v>13345144177.797823</v>
      </c>
      <c r="I137" s="10">
        <v>15959638888.871147</v>
      </c>
      <c r="J137" s="13">
        <f t="shared" si="60"/>
        <v>8.4282406181341151E-3</v>
      </c>
      <c r="K137" s="10">
        <f>11596414.79*C239</f>
        <v>16777021485.755657</v>
      </c>
      <c r="L137" s="13">
        <f t="shared" si="68"/>
        <v>8.8135768891483834E-3</v>
      </c>
      <c r="M137" s="13">
        <f t="shared" si="69"/>
        <v>5.1215607231218811E-2</v>
      </c>
      <c r="N137" s="20">
        <f t="shared" si="70"/>
        <v>1.900263003614068E-2</v>
      </c>
      <c r="O137" s="21">
        <f t="shared" si="71"/>
        <v>0.79544180050841373</v>
      </c>
      <c r="P137" s="22">
        <f t="shared" si="72"/>
        <v>172328.29834888456</v>
      </c>
      <c r="Q137" s="22">
        <f t="shared" si="73"/>
        <v>137077.13191718786</v>
      </c>
      <c r="R137" s="10">
        <f>118.21*FX_RATE</f>
        <v>171019.38364099999</v>
      </c>
      <c r="S137" s="10">
        <f>118.21*FX_RATE</f>
        <v>171019.38364099999</v>
      </c>
      <c r="T137" s="10">
        <f>393+36+19</f>
        <v>448</v>
      </c>
      <c r="U137" s="17">
        <v>96173</v>
      </c>
      <c r="V137" s="17">
        <v>97355</v>
      </c>
    </row>
    <row r="138" spans="1:22" ht="14.1" customHeight="1">
      <c r="A138" s="94">
        <v>122</v>
      </c>
      <c r="B138" s="25" t="s">
        <v>256</v>
      </c>
      <c r="C138" s="25" t="s">
        <v>64</v>
      </c>
      <c r="D138" s="44">
        <v>191660203.65000001</v>
      </c>
      <c r="E138" s="10">
        <v>1098334.05</v>
      </c>
      <c r="F138" s="10">
        <v>0</v>
      </c>
      <c r="G138" s="10">
        <v>292119.98</v>
      </c>
      <c r="H138" s="12">
        <f t="shared" si="67"/>
        <v>806214.07000000007</v>
      </c>
      <c r="I138" s="10">
        <v>181050433.02000001</v>
      </c>
      <c r="J138" s="13">
        <f t="shared" si="60"/>
        <v>9.5612226826384436E-5</v>
      </c>
      <c r="K138" s="10">
        <v>190602964.13</v>
      </c>
      <c r="L138" s="13">
        <f t="shared" si="68"/>
        <v>1.0013063886731272E-4</v>
      </c>
      <c r="M138" s="13">
        <f t="shared" si="69"/>
        <v>5.2761713687504687E-2</v>
      </c>
      <c r="N138" s="20">
        <f t="shared" si="70"/>
        <v>1.5326098486105426E-3</v>
      </c>
      <c r="O138" s="21">
        <f t="shared" si="71"/>
        <v>4.2298086689256569E-3</v>
      </c>
      <c r="P138" s="22">
        <f t="shared" si="72"/>
        <v>1481.8582410056451</v>
      </c>
      <c r="Q138" s="22">
        <f t="shared" si="73"/>
        <v>6.267976833924604</v>
      </c>
      <c r="R138" s="10">
        <f>1.0237*FX_RATE</f>
        <v>1481.02988777</v>
      </c>
      <c r="S138" s="10">
        <f>1.0237*FX_RATE</f>
        <v>1481.02988777</v>
      </c>
      <c r="T138" s="10">
        <v>4</v>
      </c>
      <c r="U138" s="17">
        <v>126634.45</v>
      </c>
      <c r="V138" s="17">
        <v>128624.29</v>
      </c>
    </row>
    <row r="139" spans="1:22" ht="15" customHeight="1">
      <c r="A139" s="94">
        <v>123</v>
      </c>
      <c r="B139" s="25" t="s">
        <v>149</v>
      </c>
      <c r="C139" s="10" t="s">
        <v>60</v>
      </c>
      <c r="D139" s="44">
        <f>6747302.58*FX_RATE</f>
        <v>9761606703.9246178</v>
      </c>
      <c r="E139" s="10">
        <f>47299.58*FX_RATE</f>
        <v>68430293.698318005</v>
      </c>
      <c r="F139" s="10">
        <v>0</v>
      </c>
      <c r="G139" s="10">
        <f>8609.77*FX_RATE</f>
        <v>12456116.730317</v>
      </c>
      <c r="H139" s="12">
        <f t="shared" si="67"/>
        <v>55974176.968001008</v>
      </c>
      <c r="I139" s="10">
        <v>9392441948.8282738</v>
      </c>
      <c r="J139" s="13">
        <f t="shared" si="60"/>
        <v>4.9601222989939754E-3</v>
      </c>
      <c r="K139" s="10">
        <f>7234533.02*FX_RATE</f>
        <v>10466503493.874142</v>
      </c>
      <c r="L139" s="13">
        <f t="shared" si="68"/>
        <v>5.4984332816240059E-3</v>
      </c>
      <c r="M139" s="13">
        <f t="shared" si="69"/>
        <v>0.11435381244808857</v>
      </c>
      <c r="N139" s="20">
        <f t="shared" si="70"/>
        <v>1.1900934001127831E-3</v>
      </c>
      <c r="O139" s="21">
        <f t="shared" si="71"/>
        <v>5.3479346756786254E-3</v>
      </c>
      <c r="P139" s="22">
        <f t="shared" si="72"/>
        <v>1925.1385312733462</v>
      </c>
      <c r="Q139" s="22">
        <f t="shared" si="73"/>
        <v>10.295515106881748</v>
      </c>
      <c r="R139" s="10">
        <f>1.33*FX_RATE</f>
        <v>1924.166993</v>
      </c>
      <c r="S139" s="10">
        <f>1.33*FX_RATE</f>
        <v>1924.166993</v>
      </c>
      <c r="T139" s="10">
        <v>312</v>
      </c>
      <c r="U139" s="17">
        <v>4961012.51</v>
      </c>
      <c r="V139" s="17">
        <v>5436753.4199999999</v>
      </c>
    </row>
    <row r="140" spans="1:22" ht="15" customHeight="1">
      <c r="A140" s="94">
        <v>124</v>
      </c>
      <c r="B140" s="25" t="s">
        <v>313</v>
      </c>
      <c r="C140" s="10" t="s">
        <v>77</v>
      </c>
      <c r="D140" s="44">
        <f>99724.86*FX_RATE</f>
        <v>144276153.37860599</v>
      </c>
      <c r="E140" s="10">
        <f>237.17*FX_RATE</f>
        <v>343123.82385699998</v>
      </c>
      <c r="F140" s="10">
        <v>0</v>
      </c>
      <c r="G140" s="10">
        <f>541.13*FX_RATE</f>
        <v>782875.55257299996</v>
      </c>
      <c r="H140" s="12">
        <f t="shared" si="67"/>
        <v>-439751.72871599998</v>
      </c>
      <c r="I140" s="10">
        <v>479305389.00701803</v>
      </c>
      <c r="J140" s="13">
        <f t="shared" si="60"/>
        <v>2.5311983411707738E-4</v>
      </c>
      <c r="K140" s="10">
        <f>337127.26*FX_RATE</f>
        <v>487736200.09964597</v>
      </c>
      <c r="L140" s="13">
        <f t="shared" si="68"/>
        <v>2.5622548703588743E-4</v>
      </c>
      <c r="M140" s="13">
        <f t="shared" si="69"/>
        <v>1.7589643859615561E-2</v>
      </c>
      <c r="N140" s="20">
        <f t="shared" si="70"/>
        <v>1.6051208674136882E-3</v>
      </c>
      <c r="O140" s="21">
        <f t="shared" si="71"/>
        <v>-9.0161798247937591E-4</v>
      </c>
      <c r="P140" s="22">
        <f t="shared" si="72"/>
        <v>2295.3155888205015</v>
      </c>
      <c r="Q140" s="22">
        <f t="shared" si="73"/>
        <v>-2.0694978103458013</v>
      </c>
      <c r="R140" s="10">
        <f>1.0215*FX_RATE</f>
        <v>1477.84705515</v>
      </c>
      <c r="S140" s="10">
        <f>1.0215*FX_RATE</f>
        <v>1477.84705515</v>
      </c>
      <c r="T140" s="10">
        <v>9</v>
      </c>
      <c r="U140" s="17">
        <v>212492</v>
      </c>
      <c r="V140" s="17">
        <v>212492</v>
      </c>
    </row>
    <row r="141" spans="1:22" ht="15" customHeight="1">
      <c r="A141" s="94">
        <v>125</v>
      </c>
      <c r="B141" s="10" t="s">
        <v>268</v>
      </c>
      <c r="C141" s="10" t="s">
        <v>36</v>
      </c>
      <c r="D141" s="44">
        <f>81218449.4*C239</f>
        <v>117502150043.69974</v>
      </c>
      <c r="E141" s="10">
        <f>778527.06*FX_RATE</f>
        <v>1126327873.691226</v>
      </c>
      <c r="F141" s="10">
        <v>0</v>
      </c>
      <c r="G141" s="10">
        <f>63355.95*FX_RATE</f>
        <v>91659720.150494993</v>
      </c>
      <c r="H141" s="12">
        <f t="shared" ref="H141" si="75">(E141+F141)-G141</f>
        <v>1034668153.540731</v>
      </c>
      <c r="I141" s="10">
        <v>105544038102.916</v>
      </c>
      <c r="J141" s="13">
        <f t="shared" si="60"/>
        <v>5.5737511051154542E-2</v>
      </c>
      <c r="K141" s="10">
        <f>78166592*C239</f>
        <v>113086899459.9232</v>
      </c>
      <c r="L141" s="13">
        <f t="shared" si="68"/>
        <v>5.9408643208311018E-2</v>
      </c>
      <c r="M141" s="13">
        <f t="shared" si="69"/>
        <v>7.1466484441803882E-2</v>
      </c>
      <c r="N141" s="20">
        <f t="shared" si="70"/>
        <v>8.1052465482952098E-4</v>
      </c>
      <c r="O141" s="21">
        <f t="shared" si="71"/>
        <v>9.1493193153412648E-3</v>
      </c>
      <c r="P141" s="22">
        <f t="shared" si="72"/>
        <v>144674.21</v>
      </c>
      <c r="Q141" s="22">
        <f t="shared" si="73"/>
        <v>1323.6705439847383</v>
      </c>
      <c r="R141" s="10">
        <f>100*C239</f>
        <v>144674.21</v>
      </c>
      <c r="S141" s="10">
        <f>100*C239</f>
        <v>144674.21</v>
      </c>
      <c r="T141" s="10">
        <v>2132</v>
      </c>
      <c r="U141" s="17">
        <v>742361.2</v>
      </c>
      <c r="V141" s="17">
        <v>781665.92</v>
      </c>
    </row>
    <row r="142" spans="1:22" ht="15" customHeight="1">
      <c r="A142" s="94">
        <v>126</v>
      </c>
      <c r="B142" s="25" t="s">
        <v>232</v>
      </c>
      <c r="C142" s="25" t="s">
        <v>233</v>
      </c>
      <c r="D142" s="44">
        <f>1029274.21*FX_RATE</f>
        <v>1489094332.0512409</v>
      </c>
      <c r="E142" s="10">
        <f>16898.77*FX_RATE</f>
        <v>24448161.997217</v>
      </c>
      <c r="F142" s="10">
        <v>0</v>
      </c>
      <c r="G142" s="10">
        <f>1734.54*FX_RATE</f>
        <v>2509432.042134</v>
      </c>
      <c r="H142" s="12">
        <f t="shared" si="67"/>
        <v>21938729.955082998</v>
      </c>
      <c r="I142" s="10">
        <v>1345023388.934659</v>
      </c>
      <c r="J142" s="13">
        <f t="shared" si="60"/>
        <v>7.1030308629754465E-4</v>
      </c>
      <c r="K142" s="10">
        <f>1005957.03*FX_RATE</f>
        <v>1455360386.0919631</v>
      </c>
      <c r="L142" s="13">
        <f t="shared" si="68"/>
        <v>7.6455350999775232E-4</v>
      </c>
      <c r="M142" s="13">
        <f t="shared" si="69"/>
        <v>8.2033515599083909E-2</v>
      </c>
      <c r="N142" s="20">
        <f t="shared" si="70"/>
        <v>1.7242684809310393E-3</v>
      </c>
      <c r="O142" s="21">
        <f t="shared" si="71"/>
        <v>1.5074431161338967E-2</v>
      </c>
      <c r="P142" s="22">
        <f t="shared" si="72"/>
        <v>1645.9685662701768</v>
      </c>
      <c r="Q142" s="22">
        <f t="shared" si="73"/>
        <v>24.812039845967576</v>
      </c>
      <c r="R142" s="10">
        <f>1.14*FX_RATE</f>
        <v>1649.2859939999998</v>
      </c>
      <c r="S142" s="10">
        <f>1.14*FX_RATE</f>
        <v>1649.2859939999998</v>
      </c>
      <c r="T142" s="10">
        <v>62</v>
      </c>
      <c r="U142" s="17">
        <v>835510.46</v>
      </c>
      <c r="V142" s="17">
        <v>884196.95</v>
      </c>
    </row>
    <row r="143" spans="1:22" ht="15" customHeight="1">
      <c r="A143" s="94">
        <v>127</v>
      </c>
      <c r="B143" s="25" t="s">
        <v>234</v>
      </c>
      <c r="C143" s="25" t="s">
        <v>40</v>
      </c>
      <c r="D143" s="44">
        <f>3729652.48*FX_RATE</f>
        <v>5395845261.1854076</v>
      </c>
      <c r="E143" s="10">
        <f>37853.49*FX_RATE</f>
        <v>54764237.614928998</v>
      </c>
      <c r="F143" s="10">
        <f>7957.7*FX_RATE</f>
        <v>11512739.609169999</v>
      </c>
      <c r="G143" s="10">
        <f>8656.2*FX_RATE</f>
        <v>12523288.966020001</v>
      </c>
      <c r="H143" s="12">
        <f t="shared" si="67"/>
        <v>53753688.258078992</v>
      </c>
      <c r="I143" s="10">
        <v>8113703324.6433353</v>
      </c>
      <c r="J143" s="13">
        <f t="shared" si="60"/>
        <v>4.2848240113962698E-3</v>
      </c>
      <c r="K143" s="10">
        <f>5216933.03*FX_RATE</f>
        <v>7547556647.3815632</v>
      </c>
      <c r="L143" s="13">
        <f t="shared" si="68"/>
        <v>3.965004806924714E-3</v>
      </c>
      <c r="M143" s="13">
        <f t="shared" si="69"/>
        <v>-6.9776605652100171E-2</v>
      </c>
      <c r="N143" s="20">
        <f t="shared" si="70"/>
        <v>1.6592507418098869E-3</v>
      </c>
      <c r="O143" s="21">
        <f t="shared" si="71"/>
        <v>7.1219986506133072E-3</v>
      </c>
      <c r="P143" s="22">
        <f t="shared" si="72"/>
        <v>15689.558665914965</v>
      </c>
      <c r="Q143" s="22">
        <f t="shared" si="73"/>
        <v>111.7410156473647</v>
      </c>
      <c r="R143" s="10">
        <f>10.84*FX_RATE</f>
        <v>15682.684363999999</v>
      </c>
      <c r="S143" s="10">
        <f>10.84*FX_RATE</f>
        <v>15682.684363999999</v>
      </c>
      <c r="T143" s="10">
        <v>164</v>
      </c>
      <c r="U143" s="17">
        <v>528775.56000000006</v>
      </c>
      <c r="V143" s="17">
        <v>481056.02</v>
      </c>
    </row>
    <row r="144" spans="1:22">
      <c r="A144" s="94">
        <v>128</v>
      </c>
      <c r="B144" s="10" t="s">
        <v>150</v>
      </c>
      <c r="C144" s="10" t="s">
        <v>44</v>
      </c>
      <c r="D144" s="44">
        <f>18989289.46*FX_RATE</f>
        <v>27472604510.868267</v>
      </c>
      <c r="E144" s="10">
        <f>211543.1*FX_RATE</f>
        <v>306048308.73451</v>
      </c>
      <c r="F144" s="10">
        <f>379683.09*FX_RATE</f>
        <v>549303510.96108902</v>
      </c>
      <c r="G144" s="10">
        <f>31919.3*FX_RATE</f>
        <v>46178995.112530001</v>
      </c>
      <c r="H144" s="12">
        <f t="shared" si="67"/>
        <v>809172824.58306909</v>
      </c>
      <c r="I144" s="10">
        <v>27274030086.79528</v>
      </c>
      <c r="J144" s="13">
        <f t="shared" si="60"/>
        <v>1.4403338935070301E-2</v>
      </c>
      <c r="K144" s="10">
        <f>19502198.88
*FX_RATE</f>
        <v>28214652162.268845</v>
      </c>
      <c r="L144" s="13">
        <f t="shared" si="68"/>
        <v>1.4822178444717695E-2</v>
      </c>
      <c r="M144" s="13">
        <f t="shared" si="69"/>
        <v>3.4487828622326196E-2</v>
      </c>
      <c r="N144" s="20">
        <f t="shared" si="70"/>
        <v>1.6367026198637559E-3</v>
      </c>
      <c r="O144" s="21">
        <f t="shared" si="71"/>
        <v>2.8679170663856963E-2</v>
      </c>
      <c r="P144" s="22">
        <f t="shared" si="72"/>
        <v>1602.8231942520595</v>
      </c>
      <c r="Q144" s="22">
        <f t="shared" si="73"/>
        <v>45.967639931943175</v>
      </c>
      <c r="R144" s="10">
        <f>1.11*FX_RATE</f>
        <v>1605.8837310000001</v>
      </c>
      <c r="S144" s="10">
        <f>1.11*FX_RATE</f>
        <v>1605.8837310000001</v>
      </c>
      <c r="T144" s="10">
        <v>660</v>
      </c>
      <c r="U144" s="17">
        <v>17629809</v>
      </c>
      <c r="V144" s="17">
        <v>17603097</v>
      </c>
    </row>
    <row r="145" spans="1:22">
      <c r="A145" s="94">
        <v>129</v>
      </c>
      <c r="B145" s="25" t="s">
        <v>151</v>
      </c>
      <c r="C145" s="10" t="s">
        <v>83</v>
      </c>
      <c r="D145" s="44">
        <f>283441.43+6263.38+11868*FX_RATE</f>
        <v>17459640.0528</v>
      </c>
      <c r="E145" s="10">
        <f>1748.02*FX_RATE</f>
        <v>2528934.1256419998</v>
      </c>
      <c r="F145" s="10">
        <f>9111.35*FX_RATE</f>
        <v>13181773.632835001</v>
      </c>
      <c r="G145" s="10">
        <f>107.1*FX_RATE</f>
        <v>154946.07890999998</v>
      </c>
      <c r="H145" s="12">
        <f t="shared" si="67"/>
        <v>15555761.679567</v>
      </c>
      <c r="I145" s="10">
        <v>435903906.98811603</v>
      </c>
      <c r="J145" s="13">
        <f t="shared" si="60"/>
        <v>2.3019963296553361E-4</v>
      </c>
      <c r="K145" s="10">
        <f>314244.66*FX_RATE</f>
        <v>454630979.32218593</v>
      </c>
      <c r="L145" s="13">
        <f t="shared" si="68"/>
        <v>2.3883411580815755E-4</v>
      </c>
      <c r="M145" s="13">
        <f t="shared" si="69"/>
        <v>4.2961469337278645E-2</v>
      </c>
      <c r="N145" s="20">
        <f t="shared" si="70"/>
        <v>3.4081724730024055E-4</v>
      </c>
      <c r="O145" s="21">
        <f t="shared" si="71"/>
        <v>3.4216237755639194E-2</v>
      </c>
      <c r="P145" s="22">
        <f t="shared" si="72"/>
        <v>1894.1773610907067</v>
      </c>
      <c r="Q145" s="22">
        <f t="shared" si="73"/>
        <v>64.811622938428854</v>
      </c>
      <c r="R145" s="10">
        <f>1.3*FX_RATE</f>
        <v>1880.7647299999999</v>
      </c>
      <c r="S145" s="10">
        <f>1.3*FX_RATE</f>
        <v>1880.7647299999999</v>
      </c>
      <c r="T145" s="10">
        <v>2</v>
      </c>
      <c r="U145" s="17">
        <v>240015</v>
      </c>
      <c r="V145" s="17">
        <v>240015</v>
      </c>
    </row>
    <row r="146" spans="1:22">
      <c r="A146" s="94">
        <v>130</v>
      </c>
      <c r="B146" s="25" t="s">
        <v>301</v>
      </c>
      <c r="C146" s="10" t="s">
        <v>296</v>
      </c>
      <c r="D146" s="44">
        <f>503343.82*FX_RATE</f>
        <v>728208695.16882193</v>
      </c>
      <c r="E146" s="10">
        <f>4070.08*FX_RATE</f>
        <v>5888356.0863679992</v>
      </c>
      <c r="F146" s="10">
        <v>0</v>
      </c>
      <c r="G146" s="10">
        <v>0</v>
      </c>
      <c r="H146" s="12">
        <f t="shared" si="67"/>
        <v>5888356.0863679992</v>
      </c>
      <c r="I146" s="10">
        <v>999161526.37066507</v>
      </c>
      <c r="J146" s="13">
        <f t="shared" si="60"/>
        <v>5.2765440491929353E-4</v>
      </c>
      <c r="K146" s="10">
        <f>606254.59*FX_RATE</f>
        <v>877094038.6712389</v>
      </c>
      <c r="L146" s="13">
        <f t="shared" ref="L146:L152" si="76">(K146/$K$153)</f>
        <v>4.6076925844113653E-4</v>
      </c>
      <c r="M146" s="13">
        <f t="shared" ref="M146:M152" si="77">((K146-I146)/I146)</f>
        <v>-0.12216992395896362</v>
      </c>
      <c r="N146" s="20">
        <f t="shared" ref="N146:N152" si="78">(G146/K146)</f>
        <v>0</v>
      </c>
      <c r="O146" s="21">
        <f t="shared" ref="O146:O152" si="79">H146/K146</f>
        <v>6.7134831919375649E-3</v>
      </c>
      <c r="P146" s="22">
        <f t="shared" ref="P146:P152" si="80">K146/V146</f>
        <v>1509.1105207917803</v>
      </c>
      <c r="Q146" s="22">
        <f t="shared" ref="Q146:Q152" si="81">H146/V146</f>
        <v>10.131388116111761</v>
      </c>
      <c r="R146" s="10">
        <f>1.0431*FX_RATE</f>
        <v>1509.0966845099997</v>
      </c>
      <c r="S146" s="10">
        <f>1.0431*FX_RATE</f>
        <v>1509.0966845099997</v>
      </c>
      <c r="T146" s="10">
        <v>9</v>
      </c>
      <c r="U146" s="17">
        <v>673907.74</v>
      </c>
      <c r="V146" s="17">
        <v>581199.34</v>
      </c>
    </row>
    <row r="147" spans="1:22">
      <c r="A147" s="94">
        <v>131</v>
      </c>
      <c r="B147" s="25" t="s">
        <v>152</v>
      </c>
      <c r="C147" s="25" t="s">
        <v>46</v>
      </c>
      <c r="D147" s="44">
        <f>677869665.6*FX_RATE</f>
        <v>980702583536.44177</v>
      </c>
      <c r="E147" s="10">
        <f>3450141.34*FX_RATE</f>
        <v>4991464727.5284138</v>
      </c>
      <c r="F147" s="10">
        <v>0</v>
      </c>
      <c r="G147" s="10">
        <f>1099288.82*FX_RATE</f>
        <v>1590387415.9533219</v>
      </c>
      <c r="H147" s="12">
        <f t="shared" si="67"/>
        <v>3401077311.5750918</v>
      </c>
      <c r="I147" s="10">
        <v>1009133643131.36</v>
      </c>
      <c r="J147" s="13">
        <f t="shared" si="60"/>
        <v>0.53292065186363213</v>
      </c>
      <c r="K147" s="10">
        <f>697898000.85*FX_RATE</f>
        <v>1009678419335.5308</v>
      </c>
      <c r="L147" s="13">
        <f t="shared" si="76"/>
        <v>0.53042063453772148</v>
      </c>
      <c r="M147" s="13">
        <f t="shared" si="77"/>
        <v>5.3984544849810568E-4</v>
      </c>
      <c r="N147" s="20">
        <f t="shared" si="78"/>
        <v>1.5751425260727625E-3</v>
      </c>
      <c r="O147" s="21">
        <f t="shared" si="79"/>
        <v>3.3684757903544578E-3</v>
      </c>
      <c r="P147" s="22">
        <f t="shared" si="80"/>
        <v>2411.6308996967828</v>
      </c>
      <c r="Q147" s="22">
        <f t="shared" si="81"/>
        <v>8.1235203008993526</v>
      </c>
      <c r="R147" s="10">
        <f>1.6669*FX_RATE</f>
        <v>2411.57440649</v>
      </c>
      <c r="S147" s="10">
        <f>1.6669*FX_RATE</f>
        <v>2411.57440649</v>
      </c>
      <c r="T147" s="10">
        <v>12667</v>
      </c>
      <c r="U147" s="17">
        <v>427221477.44</v>
      </c>
      <c r="V147" s="17">
        <v>418670377.56999999</v>
      </c>
    </row>
    <row r="148" spans="1:22">
      <c r="A148" s="94">
        <v>132</v>
      </c>
      <c r="B148" s="25" t="s">
        <v>299</v>
      </c>
      <c r="C148" s="25" t="s">
        <v>298</v>
      </c>
      <c r="D148" s="44">
        <v>436966774.87</v>
      </c>
      <c r="E148" s="10">
        <v>8647243.7300000004</v>
      </c>
      <c r="F148" s="10"/>
      <c r="G148" s="10">
        <v>6445349.5999999996</v>
      </c>
      <c r="H148" s="12">
        <f t="shared" si="67"/>
        <v>2201894.1300000008</v>
      </c>
      <c r="I148" s="10">
        <v>531884547.88999999</v>
      </c>
      <c r="J148" s="13">
        <f t="shared" si="60"/>
        <v>2.8088674072759536E-4</v>
      </c>
      <c r="K148" s="10">
        <v>569318651.44000006</v>
      </c>
      <c r="L148" s="13">
        <f t="shared" si="76"/>
        <v>2.9908370285827902E-4</v>
      </c>
      <c r="M148" s="13">
        <f t="shared" si="77"/>
        <v>7.0380129858071919E-2</v>
      </c>
      <c r="N148" s="20">
        <f t="shared" si="78"/>
        <v>1.1321163611445934E-2</v>
      </c>
      <c r="O148" s="21">
        <f t="shared" si="79"/>
        <v>3.8675952815363829E-3</v>
      </c>
      <c r="P148" s="22">
        <f t="shared" si="80"/>
        <v>161457.976880134</v>
      </c>
      <c r="Q148" s="22">
        <f t="shared" si="81"/>
        <v>624.45410954801662</v>
      </c>
      <c r="R148" s="10">
        <v>161458.01999999999</v>
      </c>
      <c r="S148" s="10">
        <v>161458.01999999999</v>
      </c>
      <c r="T148" s="10">
        <v>2</v>
      </c>
      <c r="U148" s="17">
        <v>3526.1104</v>
      </c>
      <c r="V148" s="17">
        <v>3526.1104</v>
      </c>
    </row>
    <row r="149" spans="1:22">
      <c r="A149" s="94">
        <v>133</v>
      </c>
      <c r="B149" s="25" t="s">
        <v>153</v>
      </c>
      <c r="C149" s="25" t="s">
        <v>50</v>
      </c>
      <c r="D149" s="44">
        <f>54553612*FX_RATE</f>
        <v>78925007187.465195</v>
      </c>
      <c r="E149" s="10">
        <f>764585*FX_RATE</f>
        <v>1106157308.5284998</v>
      </c>
      <c r="F149" s="10">
        <v>0</v>
      </c>
      <c r="G149" s="10">
        <f>216882*FX_RATE</f>
        <v>313772320.1322</v>
      </c>
      <c r="H149" s="12">
        <f t="shared" si="67"/>
        <v>792384988.39629984</v>
      </c>
      <c r="I149" s="10">
        <v>164643947720.17151</v>
      </c>
      <c r="J149" s="13">
        <f t="shared" si="60"/>
        <v>8.6948007869572214E-2</v>
      </c>
      <c r="K149" s="10">
        <f>111852035*FX_RATE</f>
        <v>161821048005.17349</v>
      </c>
      <c r="L149" s="13">
        <f t="shared" si="76"/>
        <v>8.5010456122207756E-2</v>
      </c>
      <c r="M149" s="13">
        <f t="shared" si="77"/>
        <v>-1.7145481228352289E-2</v>
      </c>
      <c r="N149" s="20">
        <f t="shared" si="78"/>
        <v>1.9390080833129233E-3</v>
      </c>
      <c r="O149" s="21">
        <f t="shared" si="79"/>
        <v>4.8966744324320955E-3</v>
      </c>
      <c r="P149" s="22">
        <f t="shared" si="80"/>
        <v>17960.998319361523</v>
      </c>
      <c r="Q149" s="22">
        <f t="shared" si="81"/>
        <v>87.949161251373411</v>
      </c>
      <c r="R149" s="10">
        <f>1.24*FX_RATE</f>
        <v>1793.960204</v>
      </c>
      <c r="S149" s="10">
        <f>1.24*FX_RATE</f>
        <v>1793.960204</v>
      </c>
      <c r="T149" s="10">
        <v>421</v>
      </c>
      <c r="U149" s="17">
        <v>93655392.230000004</v>
      </c>
      <c r="V149" s="17">
        <v>9009579.8200000003</v>
      </c>
    </row>
    <row r="150" spans="1:22">
      <c r="A150" s="94">
        <v>134</v>
      </c>
      <c r="B150" s="25" t="s">
        <v>231</v>
      </c>
      <c r="C150" s="10" t="s">
        <v>211</v>
      </c>
      <c r="D150" s="44">
        <f>1256138.38*FX_RATE</f>
        <v>1817308277.7717977</v>
      </c>
      <c r="E150" s="10">
        <f>35231.17*FX_RATE</f>
        <v>50970416.871256992</v>
      </c>
      <c r="F150" s="10">
        <v>0</v>
      </c>
      <c r="G150" s="10">
        <f>12408.97*FX_RATE</f>
        <v>17952579.316636998</v>
      </c>
      <c r="H150" s="12">
        <f t="shared" ref="H150:H151" si="82">(E150+F150)-G150</f>
        <v>33017837.554619994</v>
      </c>
      <c r="I150" s="10">
        <v>1973338859.0180583</v>
      </c>
      <c r="J150" s="13">
        <f t="shared" si="60"/>
        <v>1.0421147270766866E-3</v>
      </c>
      <c r="K150" s="10">
        <f>1297440.57*FX_RATE</f>
        <v>1877061894.866997</v>
      </c>
      <c r="L150" s="13">
        <f t="shared" si="76"/>
        <v>9.8608858253814726E-4</v>
      </c>
      <c r="M150" s="13">
        <f t="shared" si="77"/>
        <v>-4.8788865486067159E-2</v>
      </c>
      <c r="N150" s="20">
        <f t="shared" si="78"/>
        <v>9.5641914450077647E-3</v>
      </c>
      <c r="O150" s="21">
        <f t="shared" si="79"/>
        <v>1.7590169852635326E-2</v>
      </c>
      <c r="P150" s="22">
        <f t="shared" si="80"/>
        <v>159652.79807325729</v>
      </c>
      <c r="Q150" s="22">
        <f t="shared" si="81"/>
        <v>2808.3198355570862</v>
      </c>
      <c r="R150" s="10">
        <f>110.35*FX_RATE</f>
        <v>159647.99073499997</v>
      </c>
      <c r="S150" s="10">
        <f>110.35*FX_RATE</f>
        <v>159647.99073499997</v>
      </c>
      <c r="T150" s="10">
        <v>31</v>
      </c>
      <c r="U150" s="17">
        <v>12706.51</v>
      </c>
      <c r="V150" s="17">
        <v>11757.15</v>
      </c>
    </row>
    <row r="151" spans="1:22">
      <c r="A151" s="94">
        <v>135</v>
      </c>
      <c r="B151" s="25" t="s">
        <v>314</v>
      </c>
      <c r="C151" s="25" t="s">
        <v>92</v>
      </c>
      <c r="D151" s="44">
        <f>2267755.23*FX_RATE</f>
        <v>3280856963.7361827</v>
      </c>
      <c r="E151" s="10">
        <f>14481.55*FX_RATE</f>
        <v>20951068.058254998</v>
      </c>
      <c r="F151" s="10">
        <f>37763.22*FX_RATE</f>
        <v>54633640.205562003</v>
      </c>
      <c r="G151" s="10">
        <f>3827.53*FX_RATE</f>
        <v>5537448.7900130004</v>
      </c>
      <c r="H151" s="12">
        <f t="shared" si="82"/>
        <v>70047259.473803997</v>
      </c>
      <c r="I151" s="10">
        <v>3006962357.5627999</v>
      </c>
      <c r="J151" s="13">
        <f t="shared" si="60"/>
        <v>1.5879684030246685E-3</v>
      </c>
      <c r="K151" s="10">
        <f>2259221.79*FX_RATE</f>
        <v>3268511276.830359</v>
      </c>
      <c r="L151" s="13">
        <f t="shared" si="76"/>
        <v>1.7170673278240371E-3</v>
      </c>
      <c r="M151" s="13">
        <f t="shared" si="77"/>
        <v>8.6981108562845272E-2</v>
      </c>
      <c r="N151" s="20">
        <f t="shared" si="78"/>
        <v>1.6941807205214678E-3</v>
      </c>
      <c r="O151" s="21">
        <f t="shared" si="79"/>
        <v>2.1430937066165601E-2</v>
      </c>
      <c r="P151" s="22">
        <f t="shared" si="80"/>
        <v>1641.7539061077721</v>
      </c>
      <c r="Q151" s="22">
        <f t="shared" si="81"/>
        <v>35.184324639927212</v>
      </c>
      <c r="R151" s="10">
        <f>1.13*FX_RATE</f>
        <v>1634.8185729999998</v>
      </c>
      <c r="S151" s="10">
        <f>1.13*FX_RATE</f>
        <v>1634.8185729999998</v>
      </c>
      <c r="T151" s="10">
        <v>41</v>
      </c>
      <c r="U151" s="17">
        <v>1905098.73</v>
      </c>
      <c r="V151" s="17">
        <v>1990865.54</v>
      </c>
    </row>
    <row r="152" spans="1:22">
      <c r="A152" s="94">
        <v>136</v>
      </c>
      <c r="B152" s="25" t="s">
        <v>290</v>
      </c>
      <c r="C152" s="10" t="s">
        <v>291</v>
      </c>
      <c r="D152" s="44">
        <f>1001024.4*FX_RATE</f>
        <v>1448224142.60724</v>
      </c>
      <c r="E152" s="10">
        <f>8955.6*FX_RATE</f>
        <v>12956443.550759999</v>
      </c>
      <c r="F152" s="10">
        <v>0</v>
      </c>
      <c r="G152" s="10">
        <f>1784.97*FX_RATE</f>
        <v>2582391.246237</v>
      </c>
      <c r="H152" s="12">
        <f t="shared" si="67"/>
        <v>10374052.304522999</v>
      </c>
      <c r="I152" s="10">
        <v>1661147474.925988</v>
      </c>
      <c r="J152" s="13">
        <f t="shared" si="60"/>
        <v>8.772473311188068E-4</v>
      </c>
      <c r="K152" s="10">
        <f>1197948.07*FX_RATE</f>
        <v>1733121906.4827471</v>
      </c>
      <c r="L152" s="13">
        <f t="shared" si="76"/>
        <v>9.104716945151555E-4</v>
      </c>
      <c r="M152" s="13">
        <f t="shared" si="77"/>
        <v>4.3328140723908892E-2</v>
      </c>
      <c r="N152" s="20">
        <f t="shared" si="78"/>
        <v>1.4900228521591925E-3</v>
      </c>
      <c r="O152" s="21">
        <f t="shared" si="79"/>
        <v>5.9857603009452641E-3</v>
      </c>
      <c r="P152" s="22">
        <f t="shared" si="80"/>
        <v>2116.5893263997136</v>
      </c>
      <c r="Q152" s="22">
        <f t="shared" si="81"/>
        <v>12.669396363367884</v>
      </c>
      <c r="R152" s="10">
        <f>1.4631*FX_RATE</f>
        <v>2116.7283665099999</v>
      </c>
      <c r="S152" s="10">
        <f>1.4631*FX_RATE</f>
        <v>2116.7283665099999</v>
      </c>
      <c r="T152" s="10">
        <v>122</v>
      </c>
      <c r="U152" s="17">
        <v>818703.67</v>
      </c>
      <c r="V152" s="17">
        <v>818827.67</v>
      </c>
    </row>
    <row r="153" spans="1:22" ht="15" customHeight="1">
      <c r="A153" s="112" t="s">
        <v>51</v>
      </c>
      <c r="B153" s="112"/>
      <c r="C153" s="112"/>
      <c r="D153" s="112"/>
      <c r="E153" s="112"/>
      <c r="F153" s="112"/>
      <c r="G153" s="112"/>
      <c r="H153" s="112"/>
      <c r="I153" s="37">
        <f>SUM(I115:I152)</f>
        <v>1893590799310.1851</v>
      </c>
      <c r="J153" s="35">
        <f>(I153/$I$237)</f>
        <v>0.26184576105433283</v>
      </c>
      <c r="K153" s="37">
        <f>SUM(K115:K152)</f>
        <v>1903542874450.0063</v>
      </c>
      <c r="L153" s="35">
        <f>(K153/$K$237)</f>
        <v>0.25820531366666544</v>
      </c>
      <c r="M153" s="35">
        <f t="shared" si="62"/>
        <v>5.2556630204618248E-3</v>
      </c>
      <c r="N153" s="20"/>
      <c r="O153" s="20"/>
      <c r="P153" s="36"/>
      <c r="Q153" s="36"/>
      <c r="R153" s="37"/>
      <c r="S153" s="37"/>
      <c r="T153" s="39">
        <f>SUM(T115:T152)</f>
        <v>24890</v>
      </c>
      <c r="U153" s="39"/>
      <c r="V153" s="37"/>
    </row>
    <row r="154" spans="1:22" ht="4.2" customHeight="1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</row>
    <row r="155" spans="1:22">
      <c r="A155" s="111" t="s">
        <v>154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</row>
    <row r="156" spans="1:22">
      <c r="A156" s="94">
        <v>137</v>
      </c>
      <c r="B156" s="91" t="s">
        <v>227</v>
      </c>
      <c r="C156" s="91" t="s">
        <v>228</v>
      </c>
      <c r="D156" s="27">
        <v>2596075769.77</v>
      </c>
      <c r="E156" s="27">
        <v>44486541.149999999</v>
      </c>
      <c r="F156" s="27">
        <v>0</v>
      </c>
      <c r="G156" s="27">
        <v>4305804.0599999996</v>
      </c>
      <c r="H156" s="12">
        <f t="shared" ref="H156:H161" si="83">(E156+F156)-G156</f>
        <v>40180737.089999996</v>
      </c>
      <c r="I156" s="28">
        <v>2512424506.27</v>
      </c>
      <c r="J156" s="13">
        <f>(I156/$I$162)</f>
        <v>5.2504996626643293E-3</v>
      </c>
      <c r="K156" s="28">
        <v>2552605243.3600001</v>
      </c>
      <c r="L156" s="13">
        <f>(K156/$K$162)</f>
        <v>5.2829168738668161E-3</v>
      </c>
      <c r="M156" s="13">
        <f t="shared" ref="M156:M162" si="84">((K156-I156)/I156)</f>
        <v>1.5992813710312574E-2</v>
      </c>
      <c r="N156" s="20">
        <f>(G156/K156)</f>
        <v>1.686827240992524E-3</v>
      </c>
      <c r="O156" s="21">
        <f>H156/K156</f>
        <v>1.5741069714763259E-2</v>
      </c>
      <c r="P156" s="22">
        <f>K156/V156</f>
        <v>120.29242428652215</v>
      </c>
      <c r="Q156" s="22">
        <f>H156/V156</f>
        <v>1.8935314368520262</v>
      </c>
      <c r="R156" s="27">
        <v>118.4</v>
      </c>
      <c r="S156" s="27">
        <v>118.4</v>
      </c>
      <c r="T156" s="27">
        <v>8</v>
      </c>
      <c r="U156" s="27">
        <v>21220000</v>
      </c>
      <c r="V156" s="27">
        <v>21220000</v>
      </c>
    </row>
    <row r="157" spans="1:22">
      <c r="A157" s="94">
        <v>138</v>
      </c>
      <c r="B157" s="91" t="s">
        <v>281</v>
      </c>
      <c r="C157" s="91" t="s">
        <v>58</v>
      </c>
      <c r="D157" s="27">
        <v>128320029952.21001</v>
      </c>
      <c r="E157" s="27">
        <v>2963785807.2600002</v>
      </c>
      <c r="F157" s="27">
        <v>320155519.80000001</v>
      </c>
      <c r="G157" s="27">
        <v>523998158.27999997</v>
      </c>
      <c r="H157" s="12">
        <f t="shared" si="83"/>
        <v>2759943168.7800007</v>
      </c>
      <c r="I157" s="28">
        <v>264610129182</v>
      </c>
      <c r="J157" s="13">
        <f t="shared" ref="J157:J161" si="85">(I157/$I$162)</f>
        <v>0.55298592675737468</v>
      </c>
      <c r="K157" s="28">
        <v>267441309921</v>
      </c>
      <c r="L157" s="13">
        <f t="shared" ref="L157:L161" si="86">(K157/$K$162)</f>
        <v>0.55350125626590474</v>
      </c>
      <c r="M157" s="13">
        <f t="shared" ref="M157:M161" si="87">((K157-I157)/I157)</f>
        <v>1.0699442034785832E-2</v>
      </c>
      <c r="N157" s="20">
        <f t="shared" ref="N157:N161" si="88">(G157/K157)</f>
        <v>1.9593014947271413E-3</v>
      </c>
      <c r="O157" s="21">
        <f t="shared" ref="O157:O161" si="89">H157/K157</f>
        <v>1.0319808744562557E-2</v>
      </c>
      <c r="P157" s="22">
        <f t="shared" ref="P157:P161" si="90">K157/V157</f>
        <v>106.9765239684</v>
      </c>
      <c r="Q157" s="22">
        <f t="shared" ref="Q157:Q161" si="91">H157/V157</f>
        <v>1.1039772675120003</v>
      </c>
      <c r="R157" s="27">
        <v>106.9765</v>
      </c>
      <c r="S157" s="27">
        <v>106.9765</v>
      </c>
      <c r="T157" s="27">
        <v>45</v>
      </c>
      <c r="U157" s="27">
        <v>2500000000</v>
      </c>
      <c r="V157" s="27">
        <v>2500000000</v>
      </c>
    </row>
    <row r="158" spans="1:22">
      <c r="A158" s="94">
        <v>139</v>
      </c>
      <c r="B158" s="25" t="s">
        <v>155</v>
      </c>
      <c r="C158" s="25" t="s">
        <v>44</v>
      </c>
      <c r="D158" s="27">
        <v>173444849022</v>
      </c>
      <c r="E158" s="27">
        <v>1501068295</v>
      </c>
      <c r="F158" s="27">
        <v>0</v>
      </c>
      <c r="G158" s="27">
        <v>276540445</v>
      </c>
      <c r="H158" s="12">
        <f t="shared" si="83"/>
        <v>1224527850</v>
      </c>
      <c r="I158" s="28">
        <v>165254999917</v>
      </c>
      <c r="J158" s="13">
        <f t="shared" si="85"/>
        <v>0.34535219631572767</v>
      </c>
      <c r="K158" s="28">
        <v>166450297242</v>
      </c>
      <c r="L158" s="13">
        <f t="shared" si="86"/>
        <v>0.34448847358882162</v>
      </c>
      <c r="M158" s="13">
        <f t="shared" si="87"/>
        <v>7.2330478690529358E-3</v>
      </c>
      <c r="N158" s="20">
        <f t="shared" si="88"/>
        <v>1.6613995263579573E-3</v>
      </c>
      <c r="O158" s="21">
        <f t="shared" si="89"/>
        <v>7.3567177126735578E-3</v>
      </c>
      <c r="P158" s="22">
        <f t="shared" si="90"/>
        <v>104.77684299081582</v>
      </c>
      <c r="Q158" s="22">
        <f t="shared" si="91"/>
        <v>0.77081365670855106</v>
      </c>
      <c r="R158" s="27">
        <v>104.78</v>
      </c>
      <c r="S158" s="27">
        <v>104.78</v>
      </c>
      <c r="T158" s="27">
        <v>853</v>
      </c>
      <c r="U158" s="27">
        <v>1588617222</v>
      </c>
      <c r="V158" s="27">
        <v>1588617222</v>
      </c>
    </row>
    <row r="159" spans="1:22">
      <c r="A159" s="94">
        <v>140</v>
      </c>
      <c r="B159" s="25" t="s">
        <v>156</v>
      </c>
      <c r="C159" s="25" t="s">
        <v>122</v>
      </c>
      <c r="D159" s="27">
        <v>3037789978.5599999</v>
      </c>
      <c r="E159" s="27">
        <v>129344355.16</v>
      </c>
      <c r="F159" s="27">
        <v>0</v>
      </c>
      <c r="G159" s="27">
        <v>5089080.68</v>
      </c>
      <c r="H159" s="12">
        <f t="shared" si="83"/>
        <v>124255274.47999999</v>
      </c>
      <c r="I159" s="28">
        <v>2746658868.8499999</v>
      </c>
      <c r="J159" s="13">
        <f t="shared" si="85"/>
        <v>5.7400058900719505E-3</v>
      </c>
      <c r="K159" s="28">
        <v>2870914143.3299999</v>
      </c>
      <c r="L159" s="13">
        <f t="shared" si="86"/>
        <v>5.9416945924849933E-3</v>
      </c>
      <c r="M159" s="13">
        <f t="shared" si="87"/>
        <v>4.5238699238986504E-2</v>
      </c>
      <c r="N159" s="20">
        <f t="shared" si="88"/>
        <v>1.7726342293528598E-3</v>
      </c>
      <c r="O159" s="21">
        <f t="shared" si="89"/>
        <v>4.3280735081779612E-2</v>
      </c>
      <c r="P159" s="22">
        <f t="shared" si="90"/>
        <v>143.54570716649999</v>
      </c>
      <c r="Q159" s="22">
        <f t="shared" si="91"/>
        <v>6.2127637239999993</v>
      </c>
      <c r="R159" s="27">
        <v>418.75</v>
      </c>
      <c r="S159" s="27">
        <v>418.75</v>
      </c>
      <c r="T159" s="27">
        <v>3871</v>
      </c>
      <c r="U159" s="27">
        <v>20000000</v>
      </c>
      <c r="V159" s="27">
        <v>20000000</v>
      </c>
    </row>
    <row r="160" spans="1:22">
      <c r="A160" s="94">
        <v>141</v>
      </c>
      <c r="B160" s="25" t="s">
        <v>157</v>
      </c>
      <c r="C160" s="25" t="s">
        <v>122</v>
      </c>
      <c r="D160" s="27">
        <v>12298436377.82</v>
      </c>
      <c r="E160" s="27">
        <v>400000418.63</v>
      </c>
      <c r="F160" s="27">
        <v>0</v>
      </c>
      <c r="G160" s="27">
        <v>16521773.74</v>
      </c>
      <c r="H160" s="12">
        <f t="shared" si="83"/>
        <v>383478644.88999999</v>
      </c>
      <c r="I160" s="28">
        <v>10422702552.129999</v>
      </c>
      <c r="J160" s="13">
        <f t="shared" si="85"/>
        <v>2.1781508697053042E-2</v>
      </c>
      <c r="K160" s="28">
        <v>10806181197.030001</v>
      </c>
      <c r="L160" s="13">
        <f t="shared" si="86"/>
        <v>2.2364663371413761E-2</v>
      </c>
      <c r="M160" s="13">
        <f t="shared" si="87"/>
        <v>3.6792630604394756E-2</v>
      </c>
      <c r="N160" s="20">
        <f t="shared" si="88"/>
        <v>1.5289188140340353E-3</v>
      </c>
      <c r="O160" s="21">
        <f t="shared" si="89"/>
        <v>3.5486971567291158E-2</v>
      </c>
      <c r="P160" s="22">
        <f t="shared" si="90"/>
        <v>57.440863916040662</v>
      </c>
      <c r="Q160" s="22">
        <f t="shared" si="91"/>
        <v>2.0384023045891757</v>
      </c>
      <c r="R160" s="27">
        <v>51.85</v>
      </c>
      <c r="S160" s="27">
        <v>51.85</v>
      </c>
      <c r="T160" s="27">
        <v>5970</v>
      </c>
      <c r="U160" s="27">
        <v>188127066</v>
      </c>
      <c r="V160" s="27">
        <v>188127066</v>
      </c>
    </row>
    <row r="161" spans="1:22" ht="16.05" customHeight="1">
      <c r="A161" s="94">
        <v>142</v>
      </c>
      <c r="B161" s="25" t="s">
        <v>158</v>
      </c>
      <c r="C161" s="10" t="s">
        <v>159</v>
      </c>
      <c r="D161" s="27">
        <v>33237790153.630001</v>
      </c>
      <c r="E161" s="27">
        <v>231179410.66999999</v>
      </c>
      <c r="F161" s="27">
        <v>0</v>
      </c>
      <c r="G161" s="27">
        <v>119269977.95999999</v>
      </c>
      <c r="H161" s="12">
        <f t="shared" si="83"/>
        <v>111909432.70999999</v>
      </c>
      <c r="I161" s="28">
        <v>32964592009.080002</v>
      </c>
      <c r="J161" s="13">
        <f t="shared" si="85"/>
        <v>6.8889862677108241E-2</v>
      </c>
      <c r="K161" s="28">
        <v>33059727333.93</v>
      </c>
      <c r="L161" s="13">
        <f t="shared" si="86"/>
        <v>6.8420995307507976E-2</v>
      </c>
      <c r="M161" s="13">
        <f t="shared" si="87"/>
        <v>2.8859852056956664E-3</v>
      </c>
      <c r="N161" s="20">
        <f t="shared" si="88"/>
        <v>3.6077120889496969E-3</v>
      </c>
      <c r="O161" s="21">
        <f t="shared" si="89"/>
        <v>3.3850682305883576E-3</v>
      </c>
      <c r="P161" s="22">
        <f t="shared" si="90"/>
        <v>12.389950615531902</v>
      </c>
      <c r="Q161" s="22">
        <f t="shared" si="91"/>
        <v>4.1940828207195711E-2</v>
      </c>
      <c r="R161" s="27">
        <v>12.39</v>
      </c>
      <c r="S161" s="27">
        <v>12.39</v>
      </c>
      <c r="T161" s="27">
        <v>211092</v>
      </c>
      <c r="U161" s="27">
        <v>2668269500</v>
      </c>
      <c r="V161" s="27">
        <v>2668269500</v>
      </c>
    </row>
    <row r="162" spans="1:22" ht="15" customHeight="1">
      <c r="A162" s="112" t="s">
        <v>51</v>
      </c>
      <c r="B162" s="112"/>
      <c r="C162" s="112"/>
      <c r="D162" s="112"/>
      <c r="E162" s="112"/>
      <c r="F162" s="112"/>
      <c r="G162" s="112"/>
      <c r="H162" s="112"/>
      <c r="I162" s="37">
        <f>SUM(I156:I161)</f>
        <v>478511507035.33002</v>
      </c>
      <c r="J162" s="35">
        <f>(I162/$I$237)</f>
        <v>6.6168577592669864E-2</v>
      </c>
      <c r="K162" s="37">
        <f>SUM(K156:K161)</f>
        <v>483181035080.65002</v>
      </c>
      <c r="L162" s="35">
        <f>(K162/$K$237)</f>
        <v>6.5540898708063206E-2</v>
      </c>
      <c r="M162" s="35">
        <f t="shared" si="84"/>
        <v>9.7584446281147458E-3</v>
      </c>
      <c r="N162" s="20"/>
      <c r="O162" s="20"/>
      <c r="P162" s="38"/>
      <c r="Q162" s="38"/>
      <c r="R162" s="37"/>
      <c r="S162" s="37"/>
      <c r="T162" s="37">
        <f>SUM(T156:T161)</f>
        <v>221839</v>
      </c>
      <c r="U162" s="37"/>
      <c r="V162" s="37"/>
    </row>
    <row r="163" spans="1:22" ht="4.95" customHeight="1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</row>
    <row r="164" spans="1:22" ht="13.95" customHeight="1">
      <c r="A164" s="115" t="s">
        <v>302</v>
      </c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7"/>
    </row>
    <row r="165" spans="1:22">
      <c r="A165" s="94">
        <v>143</v>
      </c>
      <c r="B165" s="25" t="s">
        <v>161</v>
      </c>
      <c r="C165" s="25" t="s">
        <v>55</v>
      </c>
      <c r="D165" s="29">
        <v>566312980.29999995</v>
      </c>
      <c r="E165" s="29">
        <v>5676792.2300000004</v>
      </c>
      <c r="F165" s="29">
        <v>7675823.9000000004</v>
      </c>
      <c r="G165" s="10">
        <v>1131395.8400000001</v>
      </c>
      <c r="H165" s="12">
        <f>(E165+F165)-G165</f>
        <v>12221220.290000001</v>
      </c>
      <c r="I165" s="10">
        <v>563226948.75999999</v>
      </c>
      <c r="J165" s="13">
        <f t="shared" ref="J165:J193" si="92">(I165/$I$194)</f>
        <v>6.9531950579247532E-3</v>
      </c>
      <c r="K165" s="10">
        <v>603572699.96000004</v>
      </c>
      <c r="L165" s="13">
        <f t="shared" ref="L165" si="93">(K165/$K$194)</f>
        <v>7.506383837761102E-3</v>
      </c>
      <c r="M165" s="13">
        <f t="shared" ref="M165:M194" si="94">((K165-I165)/I165)</f>
        <v>7.1633204499225792E-2</v>
      </c>
      <c r="N165" s="20">
        <f t="shared" ref="N165" si="95">(G165/K165)</f>
        <v>1.8744980349094317E-3</v>
      </c>
      <c r="O165" s="21">
        <f t="shared" ref="O165" si="96">H165/K165</f>
        <v>2.0248132976872422E-2</v>
      </c>
      <c r="P165" s="22">
        <f t="shared" ref="P165" si="97">K165/V165</f>
        <v>8.121781714541509</v>
      </c>
      <c r="Q165" s="22">
        <f t="shared" ref="Q165" si="98">H165/V165</f>
        <v>0.16445091616516735</v>
      </c>
      <c r="R165" s="10">
        <v>8.0686999999999998</v>
      </c>
      <c r="S165" s="10">
        <v>8.1758000000000006</v>
      </c>
      <c r="T165" s="10">
        <v>11891</v>
      </c>
      <c r="U165" s="10">
        <v>73106102.519999996</v>
      </c>
      <c r="V165" s="10">
        <v>74315306.810000002</v>
      </c>
    </row>
    <row r="166" spans="1:22">
      <c r="A166" s="94">
        <v>144</v>
      </c>
      <c r="B166" s="25" t="s">
        <v>221</v>
      </c>
      <c r="C166" s="25" t="s">
        <v>222</v>
      </c>
      <c r="D166" s="29">
        <v>869588752.05999994</v>
      </c>
      <c r="E166" s="29">
        <v>7337916.6600000001</v>
      </c>
      <c r="F166" s="29">
        <v>388226754.14999998</v>
      </c>
      <c r="G166" s="10">
        <v>1670337.35</v>
      </c>
      <c r="H166" s="12">
        <f>(E166+F166)-G166</f>
        <v>393894333.45999998</v>
      </c>
      <c r="I166" s="10">
        <v>1095075587.9300001</v>
      </c>
      <c r="J166" s="13">
        <f t="shared" si="92"/>
        <v>1.3519016060599551E-2</v>
      </c>
      <c r="K166" s="10">
        <v>1414902026.3800001</v>
      </c>
      <c r="L166" s="13">
        <f t="shared" ref="L166:L193" si="99">(K166/$K$194)</f>
        <v>1.7596550843896892E-2</v>
      </c>
      <c r="M166" s="13">
        <f t="shared" ref="M166:M193" si="100">((K166-I166)/I166)</f>
        <v>0.29205877838493477</v>
      </c>
      <c r="N166" s="20">
        <f t="shared" ref="N166:N193" si="101">(G166/K166)</f>
        <v>1.18053216325764E-3</v>
      </c>
      <c r="O166" s="21">
        <f t="shared" ref="O166:O193" si="102">H166/K166</f>
        <v>0.27838982920094557</v>
      </c>
      <c r="P166" s="22">
        <f t="shared" ref="P166:P193" si="103">K166/V166</f>
        <v>2177.9216207629565</v>
      </c>
      <c r="Q166" s="22">
        <f t="shared" ref="Q166:Q193" si="104">H166/V166</f>
        <v>606.31122801724598</v>
      </c>
      <c r="R166" s="10">
        <v>2177.92</v>
      </c>
      <c r="S166" s="10">
        <v>2180.4899999999998</v>
      </c>
      <c r="T166" s="10">
        <v>170</v>
      </c>
      <c r="U166" s="10">
        <v>493831</v>
      </c>
      <c r="V166" s="10">
        <v>649657</v>
      </c>
    </row>
    <row r="167" spans="1:22">
      <c r="A167" s="94">
        <v>145</v>
      </c>
      <c r="B167" s="25" t="s">
        <v>162</v>
      </c>
      <c r="C167" s="10" t="s">
        <v>58</v>
      </c>
      <c r="D167" s="29">
        <v>8622303839.0699997</v>
      </c>
      <c r="E167" s="29">
        <v>111242312.59999999</v>
      </c>
      <c r="F167" s="29">
        <v>340467401.93000001</v>
      </c>
      <c r="G167" s="10">
        <v>26685504.030000001</v>
      </c>
      <c r="H167" s="12">
        <f t="shared" ref="H167:H193" si="105">(E167+F167)-G167</f>
        <v>425024210.5</v>
      </c>
      <c r="I167" s="10">
        <v>9681033269</v>
      </c>
      <c r="J167" s="13">
        <f t="shared" si="92"/>
        <v>0.11951507794471593</v>
      </c>
      <c r="K167" s="10">
        <v>9514231681</v>
      </c>
      <c r="L167" s="13">
        <f t="shared" si="99"/>
        <v>0.11832456127274481</v>
      </c>
      <c r="M167" s="13">
        <f t="shared" si="100"/>
        <v>-1.722972986097689E-2</v>
      </c>
      <c r="N167" s="20">
        <f t="shared" si="101"/>
        <v>2.8047986347958264E-3</v>
      </c>
      <c r="O167" s="21">
        <f t="shared" si="102"/>
        <v>4.4672468019543492E-2</v>
      </c>
      <c r="P167" s="22">
        <f t="shared" si="103"/>
        <v>1024.9952792543163</v>
      </c>
      <c r="Q167" s="22">
        <f t="shared" si="104"/>
        <v>45.789068832671497</v>
      </c>
      <c r="R167" s="10">
        <v>1019.8702</v>
      </c>
      <c r="S167" s="10">
        <v>1050.6201000000001</v>
      </c>
      <c r="T167" s="10">
        <v>22229</v>
      </c>
      <c r="U167" s="10">
        <v>9202533</v>
      </c>
      <c r="V167" s="10">
        <v>9282220</v>
      </c>
    </row>
    <row r="168" spans="1:22">
      <c r="A168" s="94">
        <v>146</v>
      </c>
      <c r="B168" s="25" t="s">
        <v>163</v>
      </c>
      <c r="C168" s="25" t="s">
        <v>105</v>
      </c>
      <c r="D168" s="29">
        <v>2586024238.9099998</v>
      </c>
      <c r="E168" s="29">
        <v>24058702.52</v>
      </c>
      <c r="F168" s="29">
        <v>96442363.650000006</v>
      </c>
      <c r="G168" s="10">
        <v>4176086.55</v>
      </c>
      <c r="H168" s="12">
        <f t="shared" si="105"/>
        <v>116324979.62</v>
      </c>
      <c r="I168" s="10">
        <v>2568675410.8000002</v>
      </c>
      <c r="J168" s="13">
        <f t="shared" si="92"/>
        <v>3.1711020239903402E-2</v>
      </c>
      <c r="K168" s="10">
        <v>2489115663.1199999</v>
      </c>
      <c r="L168" s="13">
        <f t="shared" si="99"/>
        <v>3.0956101204047529E-2</v>
      </c>
      <c r="M168" s="13">
        <f t="shared" si="100"/>
        <v>-3.097306391671412E-2</v>
      </c>
      <c r="N168" s="20">
        <f t="shared" si="101"/>
        <v>1.6777390508103003E-3</v>
      </c>
      <c r="O168" s="21">
        <f t="shared" si="102"/>
        <v>4.6733456923488896E-2</v>
      </c>
      <c r="P168" s="22">
        <f t="shared" si="103"/>
        <v>6.0062241330830259</v>
      </c>
      <c r="Q168" s="22">
        <f t="shared" si="104"/>
        <v>0.28069161679625504</v>
      </c>
      <c r="R168" s="10">
        <v>5.7241</v>
      </c>
      <c r="S168" s="10">
        <v>5.8503999999999996</v>
      </c>
      <c r="T168" s="10">
        <v>2737</v>
      </c>
      <c r="U168" s="10">
        <v>414941926.83999997</v>
      </c>
      <c r="V168" s="10">
        <v>414422706.83999997</v>
      </c>
    </row>
    <row r="169" spans="1:22">
      <c r="A169" s="94">
        <v>147</v>
      </c>
      <c r="B169" s="25" t="s">
        <v>277</v>
      </c>
      <c r="C169" s="10" t="s">
        <v>103</v>
      </c>
      <c r="D169" s="29">
        <v>1015317325.35</v>
      </c>
      <c r="E169" s="29">
        <v>6262493.7400000002</v>
      </c>
      <c r="F169" s="29">
        <v>13054983.359999999</v>
      </c>
      <c r="G169" s="10">
        <v>1259206.55</v>
      </c>
      <c r="H169" s="12">
        <f t="shared" ref="H169" si="106">(E169+F169)-G169</f>
        <v>18058270.550000001</v>
      </c>
      <c r="I169" s="10">
        <v>931693464.55999994</v>
      </c>
      <c r="J169" s="13">
        <f t="shared" si="92"/>
        <v>1.1502017805685409E-2</v>
      </c>
      <c r="K169" s="10">
        <v>1047382251.38</v>
      </c>
      <c r="L169" s="13">
        <f t="shared" si="99"/>
        <v>1.3025859526512218E-2</v>
      </c>
      <c r="M169" s="13">
        <f t="shared" si="100"/>
        <v>0.1241704393350393</v>
      </c>
      <c r="N169" s="20">
        <f t="shared" si="101"/>
        <v>1.2022416346476241E-3</v>
      </c>
      <c r="O169" s="21">
        <f t="shared" si="102"/>
        <v>1.7241337177718027E-2</v>
      </c>
      <c r="P169" s="22">
        <f t="shared" si="103"/>
        <v>1.1600214410061733</v>
      </c>
      <c r="Q169" s="22">
        <f t="shared" si="104"/>
        <v>2.0000320797769776E-2</v>
      </c>
      <c r="R169" s="10">
        <v>1.1613</v>
      </c>
      <c r="S169" s="10">
        <v>1.1689000000000001</v>
      </c>
      <c r="T169" s="10">
        <v>216</v>
      </c>
      <c r="U169" s="10">
        <v>795356786.63999999</v>
      </c>
      <c r="V169" s="10">
        <v>902899045.10000002</v>
      </c>
    </row>
    <row r="170" spans="1:22">
      <c r="A170" s="94">
        <v>148</v>
      </c>
      <c r="B170" s="25" t="s">
        <v>164</v>
      </c>
      <c r="C170" s="25" t="s">
        <v>60</v>
      </c>
      <c r="D170" s="29">
        <v>6285350505.8199997</v>
      </c>
      <c r="E170" s="29">
        <v>65357268.609999999</v>
      </c>
      <c r="F170" s="29">
        <v>1778319286.79</v>
      </c>
      <c r="G170" s="10">
        <v>15831542.640000001</v>
      </c>
      <c r="H170" s="12">
        <f t="shared" si="105"/>
        <v>1827845012.7599998</v>
      </c>
      <c r="I170" s="10">
        <v>6366006827.71</v>
      </c>
      <c r="J170" s="13">
        <f t="shared" si="92"/>
        <v>7.8590144364718673E-2</v>
      </c>
      <c r="K170" s="10">
        <v>6191936056.5500002</v>
      </c>
      <c r="L170" s="13">
        <f t="shared" si="99"/>
        <v>7.7006545760630651E-2</v>
      </c>
      <c r="M170" s="13">
        <f t="shared" si="100"/>
        <v>-2.7343792721412637E-2</v>
      </c>
      <c r="N170" s="20">
        <f t="shared" si="101"/>
        <v>2.5568000856941923E-3</v>
      </c>
      <c r="O170" s="21">
        <f t="shared" si="102"/>
        <v>0.29519765644647689</v>
      </c>
      <c r="P170" s="22">
        <f t="shared" si="103"/>
        <v>10986.185822588868</v>
      </c>
      <c r="Q170" s="22">
        <f t="shared" si="104"/>
        <v>3243.0963081137438</v>
      </c>
      <c r="R170" s="10">
        <v>10986.19</v>
      </c>
      <c r="S170" s="10">
        <v>11066.92</v>
      </c>
      <c r="T170" s="10">
        <v>1353</v>
      </c>
      <c r="U170" s="10">
        <v>549492.72</v>
      </c>
      <c r="V170" s="10">
        <v>563611.07999999996</v>
      </c>
    </row>
    <row r="171" spans="1:22" ht="14.1" customHeight="1">
      <c r="A171" s="94">
        <v>149</v>
      </c>
      <c r="B171" s="25" t="s">
        <v>165</v>
      </c>
      <c r="C171" s="10" t="s">
        <v>62</v>
      </c>
      <c r="D171" s="29">
        <v>997649599.97000003</v>
      </c>
      <c r="E171" s="29">
        <v>11490968.949999999</v>
      </c>
      <c r="F171" s="29">
        <v>37806901.369999997</v>
      </c>
      <c r="G171" s="10">
        <v>2148184.42</v>
      </c>
      <c r="H171" s="12">
        <f t="shared" si="105"/>
        <v>47149685.899999991</v>
      </c>
      <c r="I171" s="10">
        <v>1241316828.8299999</v>
      </c>
      <c r="J171" s="13">
        <f t="shared" si="92"/>
        <v>1.5324405301525158E-2</v>
      </c>
      <c r="K171" s="10">
        <v>1266149108.9400001</v>
      </c>
      <c r="L171" s="13">
        <f t="shared" si="99"/>
        <v>1.5746572381707621E-2</v>
      </c>
      <c r="M171" s="13">
        <f t="shared" si="100"/>
        <v>2.0004788087345706E-2</v>
      </c>
      <c r="N171" s="20">
        <f t="shared" si="101"/>
        <v>1.6966283077025784E-3</v>
      </c>
      <c r="O171" s="21">
        <f t="shared" si="102"/>
        <v>3.7238651883167981E-2</v>
      </c>
      <c r="P171" s="22">
        <f t="shared" si="103"/>
        <v>231.26311025037953</v>
      </c>
      <c r="Q171" s="22">
        <f t="shared" si="104"/>
        <v>8.6119264560325792</v>
      </c>
      <c r="R171" s="10">
        <v>224.62</v>
      </c>
      <c r="S171" s="10">
        <v>226.27</v>
      </c>
      <c r="T171" s="10">
        <v>520</v>
      </c>
      <c r="U171" s="10">
        <v>5412616</v>
      </c>
      <c r="V171" s="10">
        <v>5474929</v>
      </c>
    </row>
    <row r="172" spans="1:22">
      <c r="A172" s="94">
        <v>150</v>
      </c>
      <c r="B172" s="25" t="s">
        <v>166</v>
      </c>
      <c r="C172" s="10" t="s">
        <v>64</v>
      </c>
      <c r="D172" s="29">
        <v>1084217464.3199999</v>
      </c>
      <c r="E172" s="29">
        <v>7984787.9900000002</v>
      </c>
      <c r="F172" s="29">
        <v>111415605.5</v>
      </c>
      <c r="G172" s="10">
        <v>2863336.94</v>
      </c>
      <c r="H172" s="12">
        <f t="shared" si="105"/>
        <v>116537056.55</v>
      </c>
      <c r="I172" s="10">
        <v>1061840043.27</v>
      </c>
      <c r="J172" s="13">
        <f t="shared" si="92"/>
        <v>1.3108713916168918E-2</v>
      </c>
      <c r="K172" s="10">
        <v>1113660464.3399999</v>
      </c>
      <c r="L172" s="13">
        <f t="shared" si="99"/>
        <v>1.3850134227126748E-2</v>
      </c>
      <c r="M172" s="13">
        <f t="shared" si="100"/>
        <v>4.8802473968127862E-2</v>
      </c>
      <c r="N172" s="20">
        <f t="shared" si="101"/>
        <v>2.5711040588092789E-3</v>
      </c>
      <c r="O172" s="21">
        <f t="shared" si="102"/>
        <v>0.10464325553575664</v>
      </c>
      <c r="P172" s="22">
        <f t="shared" si="103"/>
        <v>2.0956235708827853</v>
      </c>
      <c r="Q172" s="22">
        <f t="shared" si="104"/>
        <v>0.21929287283464211</v>
      </c>
      <c r="R172" s="10">
        <v>2.0760999999999998</v>
      </c>
      <c r="S172" s="10">
        <v>2.1082000000000001</v>
      </c>
      <c r="T172" s="10">
        <v>3261</v>
      </c>
      <c r="U172" s="10">
        <v>496766770.88</v>
      </c>
      <c r="V172" s="10">
        <v>531421997.63999999</v>
      </c>
    </row>
    <row r="173" spans="1:22">
      <c r="A173" s="94">
        <v>151</v>
      </c>
      <c r="B173" s="25" t="s">
        <v>223</v>
      </c>
      <c r="C173" s="25" t="s">
        <v>48</v>
      </c>
      <c r="D173" s="29">
        <v>172243400.72</v>
      </c>
      <c r="E173" s="29">
        <v>402949.91</v>
      </c>
      <c r="F173" s="29">
        <v>0</v>
      </c>
      <c r="G173" s="10">
        <v>387648.15</v>
      </c>
      <c r="H173" s="12">
        <f>(E173+F173)-G173</f>
        <v>15301.759999999951</v>
      </c>
      <c r="I173" s="10">
        <v>176426273.56</v>
      </c>
      <c r="J173" s="13">
        <f t="shared" si="92"/>
        <v>2.178031956933581E-3</v>
      </c>
      <c r="K173" s="10">
        <v>172469510.90000001</v>
      </c>
      <c r="L173" s="13">
        <f t="shared" si="99"/>
        <v>2.1449319182463345E-3</v>
      </c>
      <c r="M173" s="13">
        <f t="shared" si="100"/>
        <v>-2.2427286934983408E-2</v>
      </c>
      <c r="N173" s="20">
        <f t="shared" si="101"/>
        <v>2.2476329177089352E-3</v>
      </c>
      <c r="O173" s="21">
        <f t="shared" si="102"/>
        <v>8.8721536462593118E-5</v>
      </c>
      <c r="P173" s="22">
        <f t="shared" si="103"/>
        <v>202.94690150554268</v>
      </c>
      <c r="Q173" s="22">
        <f t="shared" si="104"/>
        <v>1.80057609218943E-2</v>
      </c>
      <c r="R173" s="10">
        <v>202.9469</v>
      </c>
      <c r="S173" s="10">
        <v>202.9469</v>
      </c>
      <c r="T173" s="10">
        <v>122</v>
      </c>
      <c r="U173" s="10">
        <v>829681.03</v>
      </c>
      <c r="V173" s="10">
        <v>849825.79</v>
      </c>
    </row>
    <row r="174" spans="1:22">
      <c r="A174" s="94">
        <v>152</v>
      </c>
      <c r="B174" s="25" t="s">
        <v>167</v>
      </c>
      <c r="C174" s="25" t="s">
        <v>168</v>
      </c>
      <c r="D174" s="29">
        <v>340810290.39999998</v>
      </c>
      <c r="E174" s="29">
        <v>2564809.44</v>
      </c>
      <c r="F174" s="29">
        <v>0</v>
      </c>
      <c r="G174" s="10">
        <v>801087.07</v>
      </c>
      <c r="H174" s="12">
        <f>(E174+F174)-G174</f>
        <v>1763722.37</v>
      </c>
      <c r="I174" s="10">
        <v>405234146.47000003</v>
      </c>
      <c r="J174" s="13">
        <f t="shared" si="92"/>
        <v>5.0027294871826441E-3</v>
      </c>
      <c r="K174" s="10">
        <v>365717424.62</v>
      </c>
      <c r="L174" s="13">
        <f t="shared" si="99"/>
        <v>4.5482762317399592E-3</v>
      </c>
      <c r="M174" s="13">
        <f t="shared" si="100"/>
        <v>-9.7515775001269525E-2</v>
      </c>
      <c r="N174" s="20">
        <f t="shared" si="101"/>
        <v>2.1904536564873065E-3</v>
      </c>
      <c r="O174" s="21">
        <f t="shared" si="102"/>
        <v>4.8226369630394346E-3</v>
      </c>
      <c r="P174" s="22">
        <f t="shared" si="103"/>
        <v>161.54623996402597</v>
      </c>
      <c r="Q174" s="22">
        <f t="shared" si="104"/>
        <v>0.77907886809054994</v>
      </c>
      <c r="R174" s="10">
        <v>128.76</v>
      </c>
      <c r="S174" s="10">
        <v>129.74</v>
      </c>
      <c r="T174" s="10">
        <v>106</v>
      </c>
      <c r="U174" s="10">
        <v>2184909</v>
      </c>
      <c r="V174" s="10">
        <v>2263856</v>
      </c>
    </row>
    <row r="175" spans="1:22">
      <c r="A175" s="94">
        <v>153</v>
      </c>
      <c r="B175" s="25" t="s">
        <v>169</v>
      </c>
      <c r="C175" s="10" t="s">
        <v>69</v>
      </c>
      <c r="D175" s="29">
        <v>524900969.13999999</v>
      </c>
      <c r="E175" s="29">
        <v>3613744.69</v>
      </c>
      <c r="F175" s="29">
        <v>25935820.600000001</v>
      </c>
      <c r="G175" s="10">
        <v>998029.19</v>
      </c>
      <c r="H175" s="12">
        <f t="shared" si="105"/>
        <v>28551536.100000001</v>
      </c>
      <c r="I175" s="10">
        <v>526066540.29000002</v>
      </c>
      <c r="J175" s="13">
        <f t="shared" si="92"/>
        <v>6.4944393661153935E-3</v>
      </c>
      <c r="K175" s="10">
        <v>524982899.29000002</v>
      </c>
      <c r="L175" s="13">
        <f t="shared" si="99"/>
        <v>6.5289950168266062E-3</v>
      </c>
      <c r="M175" s="13">
        <f t="shared" si="100"/>
        <v>-2.0598934108271376E-3</v>
      </c>
      <c r="N175" s="20">
        <f t="shared" si="101"/>
        <v>1.9010699040859418E-3</v>
      </c>
      <c r="O175" s="21">
        <f t="shared" si="102"/>
        <v>5.4385649777571446E-2</v>
      </c>
      <c r="P175" s="22">
        <f t="shared" si="103"/>
        <v>1.7697316315377993</v>
      </c>
      <c r="Q175" s="22">
        <f t="shared" si="104"/>
        <v>9.6248004713104865E-2</v>
      </c>
      <c r="R175" s="10">
        <v>1.7508999999999999</v>
      </c>
      <c r="S175" s="10">
        <v>1.7695000000000001</v>
      </c>
      <c r="T175" s="10">
        <v>119</v>
      </c>
      <c r="U175" s="10">
        <v>285353947.70999998</v>
      </c>
      <c r="V175" s="10">
        <v>296645485.63999999</v>
      </c>
    </row>
    <row r="176" spans="1:22">
      <c r="A176" s="94">
        <v>154</v>
      </c>
      <c r="B176" s="10" t="s">
        <v>170</v>
      </c>
      <c r="C176" s="10" t="s">
        <v>73</v>
      </c>
      <c r="D176" s="29">
        <v>13927516498.59</v>
      </c>
      <c r="E176" s="29">
        <v>330394641.30000001</v>
      </c>
      <c r="F176" s="29">
        <v>1040611059.2</v>
      </c>
      <c r="G176" s="10">
        <v>22238032.73</v>
      </c>
      <c r="H176" s="12">
        <v>249226793.88</v>
      </c>
      <c r="I176" s="10">
        <v>14189951966.530001</v>
      </c>
      <c r="J176" s="13">
        <f t="shared" si="92"/>
        <v>0.17517894714215634</v>
      </c>
      <c r="K176" s="10">
        <v>13731642772.57</v>
      </c>
      <c r="L176" s="13">
        <f t="shared" si="99"/>
        <v>0.17077475734200614</v>
      </c>
      <c r="M176" s="13">
        <f t="shared" si="100"/>
        <v>-3.2298149778168389E-2</v>
      </c>
      <c r="N176" s="20">
        <f t="shared" si="101"/>
        <v>1.619473583628476E-3</v>
      </c>
      <c r="O176" s="21">
        <f t="shared" si="102"/>
        <v>1.8149816304415482E-2</v>
      </c>
      <c r="P176" s="22">
        <f t="shared" si="103"/>
        <v>414.09036640291191</v>
      </c>
      <c r="Q176" s="22">
        <f t="shared" si="104"/>
        <v>7.5156640836409512</v>
      </c>
      <c r="R176" s="10">
        <v>414.09</v>
      </c>
      <c r="S176" s="10">
        <v>385.55</v>
      </c>
      <c r="T176" s="10">
        <v>5548</v>
      </c>
      <c r="U176" s="10">
        <v>29945215</v>
      </c>
      <c r="V176" s="10">
        <v>33160981</v>
      </c>
    </row>
    <row r="177" spans="1:22" ht="15.6" customHeight="1">
      <c r="A177" s="94">
        <v>155</v>
      </c>
      <c r="B177" s="10" t="s">
        <v>171</v>
      </c>
      <c r="C177" s="25" t="s">
        <v>250</v>
      </c>
      <c r="D177" s="29">
        <v>4363321827.6099997</v>
      </c>
      <c r="E177" s="29">
        <v>37537048.969999999</v>
      </c>
      <c r="F177" s="29">
        <v>130952348.40000001</v>
      </c>
      <c r="G177" s="10">
        <v>13010807.24</v>
      </c>
      <c r="H177" s="12">
        <f>(E177+F177)-G177</f>
        <v>155478590.13</v>
      </c>
      <c r="I177" s="10">
        <v>4387525993.3900003</v>
      </c>
      <c r="J177" s="13">
        <f t="shared" si="92"/>
        <v>5.4165242130051916E-2</v>
      </c>
      <c r="K177" s="10">
        <v>4313435077.0500002</v>
      </c>
      <c r="L177" s="13">
        <f t="shared" si="99"/>
        <v>5.3644406630296085E-2</v>
      </c>
      <c r="M177" s="13">
        <f t="shared" si="100"/>
        <v>-1.6886718495029169E-2</v>
      </c>
      <c r="N177" s="20">
        <f t="shared" si="101"/>
        <v>3.0163447478843745E-3</v>
      </c>
      <c r="O177" s="21">
        <f t="shared" si="102"/>
        <v>3.6045190747679756E-2</v>
      </c>
      <c r="P177" s="22">
        <f t="shared" si="103"/>
        <v>3.0056376069986275</v>
      </c>
      <c r="Q177" s="22">
        <f t="shared" si="104"/>
        <v>0.10833878086266525</v>
      </c>
      <c r="R177" s="10">
        <v>2.9746999999999999</v>
      </c>
      <c r="S177" s="10">
        <v>3.0316000000000001</v>
      </c>
      <c r="T177" s="10">
        <v>10294</v>
      </c>
      <c r="U177" s="10">
        <v>1423820484.6600001</v>
      </c>
      <c r="V177" s="10">
        <v>1435114821.23</v>
      </c>
    </row>
    <row r="178" spans="1:22">
      <c r="A178" s="94">
        <v>156</v>
      </c>
      <c r="B178" s="25" t="s">
        <v>172</v>
      </c>
      <c r="C178" s="10" t="s">
        <v>77</v>
      </c>
      <c r="D178" s="29">
        <v>240396301.5</v>
      </c>
      <c r="E178" s="29">
        <v>643275.07999999996</v>
      </c>
      <c r="F178" s="29">
        <v>0</v>
      </c>
      <c r="G178" s="10">
        <v>537923.81999999995</v>
      </c>
      <c r="H178" s="12">
        <f t="shared" si="105"/>
        <v>105351.26000000001</v>
      </c>
      <c r="I178" s="10">
        <v>290737308.45999998</v>
      </c>
      <c r="J178" s="13">
        <f t="shared" si="92"/>
        <v>3.5892338262383688E-3</v>
      </c>
      <c r="K178" s="10">
        <v>285361080.94999999</v>
      </c>
      <c r="L178" s="13">
        <f t="shared" si="99"/>
        <v>3.5489176467243698E-3</v>
      </c>
      <c r="M178" s="13">
        <f t="shared" si="100"/>
        <v>-1.8491701455438284E-2</v>
      </c>
      <c r="N178" s="20">
        <f t="shared" si="101"/>
        <v>1.8850637172006409E-3</v>
      </c>
      <c r="O178" s="21">
        <f t="shared" si="102"/>
        <v>3.6918580364664132E-4</v>
      </c>
      <c r="P178" s="22">
        <f t="shared" si="103"/>
        <v>325.289628131163</v>
      </c>
      <c r="Q178" s="22">
        <f t="shared" si="104"/>
        <v>0.12009231277952051</v>
      </c>
      <c r="R178" s="10">
        <v>325.28960000000001</v>
      </c>
      <c r="S178" s="10">
        <v>327.34320000000002</v>
      </c>
      <c r="T178" s="10">
        <v>65</v>
      </c>
      <c r="U178" s="10">
        <v>877252.32</v>
      </c>
      <c r="V178" s="10">
        <v>877252.32</v>
      </c>
    </row>
    <row r="179" spans="1:22">
      <c r="A179" s="94">
        <v>157</v>
      </c>
      <c r="B179" s="25" t="s">
        <v>226</v>
      </c>
      <c r="C179" s="25" t="s">
        <v>225</v>
      </c>
      <c r="D179" s="29">
        <v>67500369.120000005</v>
      </c>
      <c r="E179" s="29">
        <v>2665524.7599999998</v>
      </c>
      <c r="F179" s="29">
        <v>0</v>
      </c>
      <c r="G179" s="10">
        <v>103303.03999999999</v>
      </c>
      <c r="H179" s="12">
        <f>(E179+F179)-G179</f>
        <v>2562221.7199999997</v>
      </c>
      <c r="I179" s="10">
        <v>71670531.959999993</v>
      </c>
      <c r="J179" s="13">
        <f t="shared" si="92"/>
        <v>8.8479287029900335E-4</v>
      </c>
      <c r="K179" s="10">
        <v>67810394.349999994</v>
      </c>
      <c r="L179" s="13">
        <f t="shared" si="99"/>
        <v>8.4332980635933312E-4</v>
      </c>
      <c r="M179" s="13">
        <f t="shared" si="100"/>
        <v>-5.3859480381063432E-2</v>
      </c>
      <c r="N179" s="20">
        <f t="shared" si="101"/>
        <v>1.5234101053417631E-3</v>
      </c>
      <c r="O179" s="21">
        <f t="shared" si="102"/>
        <v>3.7785088032009063E-2</v>
      </c>
      <c r="P179" s="22">
        <f t="shared" si="103"/>
        <v>1.3417173397309061</v>
      </c>
      <c r="Q179" s="22">
        <f t="shared" si="104"/>
        <v>5.0696907795805296E-2</v>
      </c>
      <c r="R179" s="10">
        <v>1.401</v>
      </c>
      <c r="S179" s="10">
        <v>1.401</v>
      </c>
      <c r="T179" s="10">
        <v>27</v>
      </c>
      <c r="U179" s="10">
        <v>50540000</v>
      </c>
      <c r="V179" s="10">
        <v>50540000</v>
      </c>
    </row>
    <row r="180" spans="1:22">
      <c r="A180" s="94">
        <v>158</v>
      </c>
      <c r="B180" s="10" t="s">
        <v>173</v>
      </c>
      <c r="C180" s="10" t="s">
        <v>36</v>
      </c>
      <c r="D180" s="29">
        <v>5345117173.6000004</v>
      </c>
      <c r="E180" s="29">
        <v>45613794.210000001</v>
      </c>
      <c r="F180" s="29">
        <v>125303020.12</v>
      </c>
      <c r="G180" s="10">
        <v>10806448.42</v>
      </c>
      <c r="H180" s="12">
        <f t="shared" si="105"/>
        <v>160110365.91000003</v>
      </c>
      <c r="I180" s="10">
        <v>5035107027.5</v>
      </c>
      <c r="J180" s="13">
        <f t="shared" si="92"/>
        <v>6.2159812091401812E-2</v>
      </c>
      <c r="K180" s="10">
        <v>5320544253.6899996</v>
      </c>
      <c r="L180" s="13">
        <f t="shared" si="99"/>
        <v>6.6169406596153363E-2</v>
      </c>
      <c r="M180" s="13">
        <f t="shared" si="100"/>
        <v>5.668940593140144E-2</v>
      </c>
      <c r="N180" s="20">
        <f t="shared" si="101"/>
        <v>2.031079510804805E-3</v>
      </c>
      <c r="O180" s="21">
        <f t="shared" si="102"/>
        <v>3.0092854842614532E-2</v>
      </c>
      <c r="P180" s="22">
        <f t="shared" si="103"/>
        <v>6.1738815219441419</v>
      </c>
      <c r="Q180" s="22">
        <f t="shared" si="104"/>
        <v>0.18578972045536515</v>
      </c>
      <c r="R180" s="10">
        <v>5.97</v>
      </c>
      <c r="S180" s="10">
        <v>6.11</v>
      </c>
      <c r="T180" s="10">
        <v>3558</v>
      </c>
      <c r="U180" s="10">
        <v>824031847.69000006</v>
      </c>
      <c r="V180" s="10">
        <v>861782694.52999997</v>
      </c>
    </row>
    <row r="181" spans="1:22">
      <c r="A181" s="94">
        <v>159</v>
      </c>
      <c r="B181" s="25" t="s">
        <v>254</v>
      </c>
      <c r="C181" s="25" t="s">
        <v>255</v>
      </c>
      <c r="D181" s="17">
        <v>101730895.81</v>
      </c>
      <c r="E181" s="17">
        <v>2734796.96</v>
      </c>
      <c r="F181" s="17">
        <v>563575.65</v>
      </c>
      <c r="G181" s="17">
        <v>374197.15</v>
      </c>
      <c r="H181" s="12">
        <f t="shared" si="105"/>
        <v>2924175.46</v>
      </c>
      <c r="I181" s="17">
        <v>107761553.37</v>
      </c>
      <c r="J181" s="13">
        <f t="shared" si="92"/>
        <v>1.3303466781484951E-3</v>
      </c>
      <c r="K181" s="17">
        <v>99173951.489999995</v>
      </c>
      <c r="L181" s="13">
        <f t="shared" si="99"/>
        <v>1.2333853844628409E-3</v>
      </c>
      <c r="M181" s="13">
        <f t="shared" si="100"/>
        <v>-7.9690776640110428E-2</v>
      </c>
      <c r="N181" s="20">
        <f t="shared" si="101"/>
        <v>3.7731394623086228E-3</v>
      </c>
      <c r="O181" s="21">
        <f t="shared" si="102"/>
        <v>2.9485317626925991E-2</v>
      </c>
      <c r="P181" s="22">
        <f t="shared" si="103"/>
        <v>2.7695231668825868</v>
      </c>
      <c r="Q181" s="22">
        <f t="shared" si="104"/>
        <v>8.1660270250663025E-2</v>
      </c>
      <c r="R181" s="17">
        <v>2.7614999999999998</v>
      </c>
      <c r="S181" s="17">
        <v>2.7740999999999998</v>
      </c>
      <c r="T181" s="17">
        <v>111</v>
      </c>
      <c r="U181" s="17">
        <v>39127840.229999997</v>
      </c>
      <c r="V181" s="17">
        <v>35809034.810000002</v>
      </c>
    </row>
    <row r="182" spans="1:22">
      <c r="A182" s="94">
        <v>160</v>
      </c>
      <c r="B182" s="10" t="s">
        <v>174</v>
      </c>
      <c r="C182" s="10" t="s">
        <v>115</v>
      </c>
      <c r="D182" s="29">
        <v>943661313.13999999</v>
      </c>
      <c r="E182" s="29">
        <v>9441441.6600000001</v>
      </c>
      <c r="F182" s="29">
        <v>38114498.579999998</v>
      </c>
      <c r="G182" s="10">
        <v>1681397.9</v>
      </c>
      <c r="H182" s="12">
        <f t="shared" si="105"/>
        <v>45874542.339999996</v>
      </c>
      <c r="I182" s="10">
        <v>969825299.70000005</v>
      </c>
      <c r="J182" s="13">
        <f t="shared" si="92"/>
        <v>1.1972766032894312E-2</v>
      </c>
      <c r="K182" s="10">
        <v>937086133.09000003</v>
      </c>
      <c r="L182" s="13">
        <f t="shared" si="99"/>
        <v>1.1654152357260346E-2</v>
      </c>
      <c r="M182" s="13">
        <f t="shared" si="100"/>
        <v>-3.3757798048913913E-2</v>
      </c>
      <c r="N182" s="20">
        <f t="shared" si="101"/>
        <v>1.7942831940706077E-3</v>
      </c>
      <c r="O182" s="21">
        <f t="shared" si="102"/>
        <v>4.8954456500952294E-2</v>
      </c>
      <c r="P182" s="22">
        <f t="shared" si="103"/>
        <v>348.65934260746178</v>
      </c>
      <c r="Q182" s="22">
        <f t="shared" si="104"/>
        <v>17.068428621327612</v>
      </c>
      <c r="R182" s="10">
        <v>346.45330000000001</v>
      </c>
      <c r="S182" s="10">
        <v>350.26260000000002</v>
      </c>
      <c r="T182" s="10">
        <v>253</v>
      </c>
      <c r="U182" s="10">
        <v>2693357.83</v>
      </c>
      <c r="V182" s="10">
        <v>2687683.99</v>
      </c>
    </row>
    <row r="183" spans="1:22">
      <c r="A183" s="94">
        <v>161</v>
      </c>
      <c r="B183" s="25" t="s">
        <v>175</v>
      </c>
      <c r="C183" s="10" t="s">
        <v>32</v>
      </c>
      <c r="D183" s="29">
        <v>2243873073.1900001</v>
      </c>
      <c r="E183" s="29">
        <v>23790992.969999999</v>
      </c>
      <c r="F183" s="29">
        <v>10412770.74</v>
      </c>
      <c r="G183" s="10">
        <v>5616107.9000000004</v>
      </c>
      <c r="H183" s="12">
        <f t="shared" si="105"/>
        <v>28587655.810000002</v>
      </c>
      <c r="I183" s="10">
        <v>2253305811.8899999</v>
      </c>
      <c r="J183" s="13">
        <f t="shared" si="92"/>
        <v>2.7817693861631819E-2</v>
      </c>
      <c r="K183" s="10">
        <v>2152664565.73</v>
      </c>
      <c r="L183" s="13">
        <f t="shared" si="99"/>
        <v>2.6771798170108694E-2</v>
      </c>
      <c r="M183" s="13">
        <f t="shared" si="100"/>
        <v>-4.4663820431717273E-2</v>
      </c>
      <c r="N183" s="20">
        <f t="shared" si="101"/>
        <v>2.6089099014344097E-3</v>
      </c>
      <c r="O183" s="21">
        <f t="shared" si="102"/>
        <v>1.3280125601131688E-2</v>
      </c>
      <c r="P183" s="22">
        <f t="shared" si="103"/>
        <v>2885.8027558549502</v>
      </c>
      <c r="Q183" s="22">
        <f t="shared" si="104"/>
        <v>38.323823057845701</v>
      </c>
      <c r="R183" s="10">
        <v>552.22</v>
      </c>
      <c r="S183" s="10">
        <v>552.22</v>
      </c>
      <c r="T183" s="10">
        <v>823</v>
      </c>
      <c r="U183" s="10">
        <v>745950</v>
      </c>
      <c r="V183" s="10">
        <v>745950</v>
      </c>
    </row>
    <row r="184" spans="1:22">
      <c r="A184" s="94">
        <v>162</v>
      </c>
      <c r="B184" s="25" t="s">
        <v>176</v>
      </c>
      <c r="C184" s="10" t="s">
        <v>83</v>
      </c>
      <c r="D184" s="29">
        <v>35337861.210000001</v>
      </c>
      <c r="E184" s="29">
        <v>300991.78999999998</v>
      </c>
      <c r="F184" s="29">
        <v>1708619.3</v>
      </c>
      <c r="G184" s="10">
        <v>14275.4</v>
      </c>
      <c r="H184" s="12">
        <f t="shared" si="105"/>
        <v>1995335.6900000002</v>
      </c>
      <c r="I184" s="10">
        <v>49909455.149999999</v>
      </c>
      <c r="J184" s="13">
        <f t="shared" si="92"/>
        <v>6.1614625801680565E-4</v>
      </c>
      <c r="K184" s="10">
        <v>47553128.060000002</v>
      </c>
      <c r="L184" s="13">
        <f t="shared" si="99"/>
        <v>5.9139857042610428E-4</v>
      </c>
      <c r="M184" s="13">
        <f t="shared" si="100"/>
        <v>-4.7212037937865492E-2</v>
      </c>
      <c r="N184" s="20">
        <f t="shared" si="101"/>
        <v>3.0019896865644802E-4</v>
      </c>
      <c r="O184" s="21">
        <f t="shared" si="102"/>
        <v>4.1960135356025198E-2</v>
      </c>
      <c r="P184" s="22">
        <f t="shared" si="103"/>
        <v>2.6423020887795454</v>
      </c>
      <c r="Q184" s="22">
        <f t="shared" si="104"/>
        <v>0.11087135329669784</v>
      </c>
      <c r="R184" s="10">
        <v>2.54</v>
      </c>
      <c r="S184" s="10">
        <v>2.54</v>
      </c>
      <c r="T184" s="10">
        <v>8</v>
      </c>
      <c r="U184" s="10">
        <v>18379142.989999998</v>
      </c>
      <c r="V184" s="10">
        <v>17996855.190000001</v>
      </c>
    </row>
    <row r="185" spans="1:22">
      <c r="A185" s="94">
        <v>163</v>
      </c>
      <c r="B185" s="10" t="s">
        <v>177</v>
      </c>
      <c r="C185" s="10" t="s">
        <v>42</v>
      </c>
      <c r="D185" s="29">
        <v>382828525.72000003</v>
      </c>
      <c r="E185" s="29">
        <v>9483376.6600000001</v>
      </c>
      <c r="F185" s="29">
        <v>134101832.93000001</v>
      </c>
      <c r="G185" s="10">
        <v>584821.07999999996</v>
      </c>
      <c r="H185" s="12">
        <f t="shared" si="105"/>
        <v>143000388.50999999</v>
      </c>
      <c r="I185" s="10">
        <v>401087470.00999999</v>
      </c>
      <c r="J185" s="13">
        <f t="shared" si="92"/>
        <v>4.9515376002674969E-3</v>
      </c>
      <c r="K185" s="10">
        <v>383054579.62</v>
      </c>
      <c r="L185" s="13">
        <f t="shared" si="99"/>
        <v>4.7638912522559368E-3</v>
      </c>
      <c r="M185" s="13">
        <f t="shared" si="100"/>
        <v>-4.4959994361206013E-2</v>
      </c>
      <c r="N185" s="20">
        <f t="shared" si="101"/>
        <v>1.5267304220201662E-3</v>
      </c>
      <c r="O185" s="21">
        <f t="shared" si="102"/>
        <v>0.37331596100968184</v>
      </c>
      <c r="P185" s="22">
        <f t="shared" si="103"/>
        <v>3.209932448475199</v>
      </c>
      <c r="Q185" s="22">
        <f t="shared" si="104"/>
        <v>1.1983190167786799</v>
      </c>
      <c r="R185" s="10">
        <v>3.51</v>
      </c>
      <c r="S185" s="10">
        <v>3.58</v>
      </c>
      <c r="T185" s="10">
        <v>138</v>
      </c>
      <c r="U185" s="10">
        <v>117812780.20999999</v>
      </c>
      <c r="V185" s="10">
        <v>119334156.02</v>
      </c>
    </row>
    <row r="186" spans="1:22" ht="14.4">
      <c r="A186" s="94">
        <v>164</v>
      </c>
      <c r="B186" s="10" t="s">
        <v>306</v>
      </c>
      <c r="C186" s="10" t="s">
        <v>307</v>
      </c>
      <c r="D186" s="29">
        <v>200585459.21000001</v>
      </c>
      <c r="E186" s="29">
        <v>4443886.4400000004</v>
      </c>
      <c r="F186" s="29">
        <v>5539049.7000000002</v>
      </c>
      <c r="G186" s="10">
        <v>491696.17</v>
      </c>
      <c r="H186" s="12">
        <f t="shared" ref="H186" si="107">(E186+F186)-G186</f>
        <v>9491239.9700000007</v>
      </c>
      <c r="I186" s="10">
        <v>10921792.93</v>
      </c>
      <c r="J186" s="13">
        <f t="shared" si="92"/>
        <v>1.3483260485270803E-4</v>
      </c>
      <c r="K186" s="10">
        <v>202556826.72999999</v>
      </c>
      <c r="L186" s="13">
        <f t="shared" si="99"/>
        <v>2.5191154114409292E-3</v>
      </c>
      <c r="M186" s="13">
        <f t="shared" si="100"/>
        <v>17.546114912471609</v>
      </c>
      <c r="N186" s="20">
        <f t="shared" si="101"/>
        <v>2.4274480299566058E-3</v>
      </c>
      <c r="O186" s="21">
        <f t="shared" si="102"/>
        <v>4.6857171506993631E-2</v>
      </c>
      <c r="P186" s="22">
        <f t="shared" si="103"/>
        <v>108.44459660202571</v>
      </c>
      <c r="Q186" s="22">
        <f t="shared" si="104"/>
        <v>5.0814070619878571</v>
      </c>
      <c r="R186" s="10">
        <v>108.16</v>
      </c>
      <c r="S186" s="10">
        <v>108.64</v>
      </c>
      <c r="T186" s="10">
        <v>98</v>
      </c>
      <c r="U186" s="10">
        <v>3753391.26</v>
      </c>
      <c r="V186" s="127">
        <v>1867836.97</v>
      </c>
    </row>
    <row r="187" spans="1:22">
      <c r="A187" s="94">
        <v>165</v>
      </c>
      <c r="B187" s="25" t="s">
        <v>178</v>
      </c>
      <c r="C187" s="25" t="s">
        <v>46</v>
      </c>
      <c r="D187" s="29">
        <v>4427874798.3400002</v>
      </c>
      <c r="E187" s="29">
        <v>35184079.130000003</v>
      </c>
      <c r="F187" s="29">
        <v>194247309.28999999</v>
      </c>
      <c r="G187" s="10">
        <v>13721033.6</v>
      </c>
      <c r="H187" s="12">
        <f t="shared" si="105"/>
        <v>215710354.81999999</v>
      </c>
      <c r="I187" s="10">
        <v>4517833775.3199997</v>
      </c>
      <c r="J187" s="13">
        <f t="shared" si="92"/>
        <v>5.5773928339615537E-2</v>
      </c>
      <c r="K187" s="10">
        <v>4456534410.0900002</v>
      </c>
      <c r="L187" s="13">
        <f t="shared" si="99"/>
        <v>5.5424073803441977E-2</v>
      </c>
      <c r="M187" s="13">
        <f t="shared" si="100"/>
        <v>-1.3568309123028257E-2</v>
      </c>
      <c r="N187" s="20">
        <f t="shared" si="101"/>
        <v>3.0788573221681693E-3</v>
      </c>
      <c r="O187" s="21">
        <f t="shared" si="102"/>
        <v>4.8403161508550702E-2</v>
      </c>
      <c r="P187" s="22">
        <f t="shared" si="103"/>
        <v>9417.938311173506</v>
      </c>
      <c r="Q187" s="22">
        <f t="shared" si="104"/>
        <v>455.85798915329843</v>
      </c>
      <c r="R187" s="10">
        <v>9366.2000000000007</v>
      </c>
      <c r="S187" s="10">
        <v>9453.39</v>
      </c>
      <c r="T187" s="10">
        <v>3429</v>
      </c>
      <c r="U187" s="10">
        <v>464145.85</v>
      </c>
      <c r="V187" s="10">
        <v>473196.39</v>
      </c>
    </row>
    <row r="188" spans="1:22">
      <c r="A188" s="94">
        <v>166</v>
      </c>
      <c r="B188" s="25" t="s">
        <v>300</v>
      </c>
      <c r="C188" s="25" t="s">
        <v>298</v>
      </c>
      <c r="D188" s="29">
        <v>132633380.3</v>
      </c>
      <c r="E188" s="29">
        <v>6647461.7300000004</v>
      </c>
      <c r="F188" s="29">
        <v>15296147.4</v>
      </c>
      <c r="G188" s="10">
        <v>1385089.95</v>
      </c>
      <c r="H188" s="12">
        <f t="shared" si="105"/>
        <v>20558519.180000003</v>
      </c>
      <c r="I188" s="10">
        <v>153580750.66800001</v>
      </c>
      <c r="J188" s="13">
        <f t="shared" si="92"/>
        <v>1.8959975528304327E-3</v>
      </c>
      <c r="K188" s="10">
        <v>154582913.12</v>
      </c>
      <c r="L188" s="13">
        <f t="shared" si="99"/>
        <v>1.9224837053016081E-3</v>
      </c>
      <c r="M188" s="13">
        <f t="shared" si="100"/>
        <v>6.5253128900665154E-3</v>
      </c>
      <c r="N188" s="20">
        <f t="shared" si="101"/>
        <v>8.9601749769379676E-3</v>
      </c>
      <c r="O188" s="21">
        <f t="shared" si="102"/>
        <v>0.13299347751352561</v>
      </c>
      <c r="P188" s="22">
        <f t="shared" si="103"/>
        <v>1407.2960916917643</v>
      </c>
      <c r="Q188" s="22">
        <f t="shared" si="104"/>
        <v>187.16120112528111</v>
      </c>
      <c r="R188" s="10">
        <v>1395.1045999999999</v>
      </c>
      <c r="S188" s="10">
        <v>1415.1334999999999</v>
      </c>
      <c r="T188" s="10">
        <v>34</v>
      </c>
      <c r="U188" s="10">
        <v>1081844542</v>
      </c>
      <c r="V188" s="10">
        <v>109843.91559999999</v>
      </c>
    </row>
    <row r="189" spans="1:22">
      <c r="A189" s="94">
        <v>167</v>
      </c>
      <c r="B189" s="25" t="s">
        <v>224</v>
      </c>
      <c r="C189" s="25" t="s">
        <v>225</v>
      </c>
      <c r="D189" s="29">
        <v>731600883.38999999</v>
      </c>
      <c r="E189" s="29">
        <v>69059303.079999998</v>
      </c>
      <c r="F189" s="29">
        <v>0</v>
      </c>
      <c r="G189" s="10">
        <v>1161447.1200000001</v>
      </c>
      <c r="H189" s="12">
        <f t="shared" si="105"/>
        <v>67897855.959999993</v>
      </c>
      <c r="I189" s="10">
        <v>779315054.59000003</v>
      </c>
      <c r="J189" s="13">
        <f t="shared" si="92"/>
        <v>9.6208634868615896E-3</v>
      </c>
      <c r="K189" s="10">
        <v>729504704.33000004</v>
      </c>
      <c r="L189" s="13">
        <f t="shared" si="99"/>
        <v>9.0725480501624833E-3</v>
      </c>
      <c r="M189" s="13">
        <f t="shared" si="100"/>
        <v>-6.3915549900682156E-2</v>
      </c>
      <c r="N189" s="20">
        <f t="shared" si="101"/>
        <v>1.5921036740492434E-3</v>
      </c>
      <c r="O189" s="21">
        <f t="shared" si="102"/>
        <v>9.3073911048126151E-2</v>
      </c>
      <c r="P189" s="22">
        <f t="shared" si="103"/>
        <v>1.3913879540911693</v>
      </c>
      <c r="Q189" s="22">
        <f t="shared" si="104"/>
        <v>0.12950191867251573</v>
      </c>
      <c r="R189" s="10">
        <v>1.51</v>
      </c>
      <c r="S189" s="10">
        <v>1.51</v>
      </c>
      <c r="T189" s="10">
        <v>44</v>
      </c>
      <c r="U189" s="10">
        <v>524500000</v>
      </c>
      <c r="V189" s="10">
        <v>524300000</v>
      </c>
    </row>
    <row r="190" spans="1:22">
      <c r="A190" s="94">
        <v>168</v>
      </c>
      <c r="B190" s="25" t="s">
        <v>179</v>
      </c>
      <c r="C190" s="25" t="s">
        <v>50</v>
      </c>
      <c r="D190" s="29">
        <v>2706328976</v>
      </c>
      <c r="E190" s="29">
        <v>19420633</v>
      </c>
      <c r="F190" s="29">
        <v>113473702.59000039</v>
      </c>
      <c r="G190" s="10">
        <v>5392866</v>
      </c>
      <c r="H190" s="12">
        <f t="shared" si="105"/>
        <v>127501469.59000039</v>
      </c>
      <c r="I190" s="10">
        <v>3304944706.1743836</v>
      </c>
      <c r="J190" s="13">
        <f t="shared" si="92"/>
        <v>4.0800471725081493E-2</v>
      </c>
      <c r="K190" s="10">
        <v>3309991922.6599998</v>
      </c>
      <c r="L190" s="13">
        <f t="shared" si="99"/>
        <v>4.1164999465717084E-2</v>
      </c>
      <c r="M190" s="13">
        <f t="shared" si="100"/>
        <v>1.5271712341168267E-3</v>
      </c>
      <c r="N190" s="20">
        <f t="shared" si="101"/>
        <v>1.6292686284461219E-3</v>
      </c>
      <c r="O190" s="21">
        <f t="shared" si="102"/>
        <v>3.8520175447297383E-2</v>
      </c>
      <c r="P190" s="22">
        <f t="shared" si="103"/>
        <v>2.1990676329505039</v>
      </c>
      <c r="Q190" s="22">
        <f t="shared" si="104"/>
        <v>8.470847104172638E-2</v>
      </c>
      <c r="R190" s="10">
        <v>2.2000000000000002</v>
      </c>
      <c r="S190" s="10">
        <v>2.2200000000000002</v>
      </c>
      <c r="T190" s="10">
        <v>1539</v>
      </c>
      <c r="U190" s="10">
        <v>1483318492.1900001</v>
      </c>
      <c r="V190" s="10">
        <v>1505179683</v>
      </c>
    </row>
    <row r="191" spans="1:22">
      <c r="A191" s="94">
        <v>169</v>
      </c>
      <c r="B191" s="98" t="s">
        <v>180</v>
      </c>
      <c r="C191" s="25" t="s">
        <v>90</v>
      </c>
      <c r="D191" s="29">
        <v>9350838787.4799995</v>
      </c>
      <c r="E191" s="29">
        <v>84923967.469999999</v>
      </c>
      <c r="F191" s="29">
        <v>229426913.68000001</v>
      </c>
      <c r="G191" s="10">
        <v>22560909.27</v>
      </c>
      <c r="H191" s="12">
        <f t="shared" si="105"/>
        <v>291789971.88</v>
      </c>
      <c r="I191" s="10">
        <v>11965047975.309999</v>
      </c>
      <c r="J191" s="13">
        <f t="shared" si="92"/>
        <v>0.14771188174308916</v>
      </c>
      <c r="K191" s="10">
        <v>11797984119.51</v>
      </c>
      <c r="L191" s="13">
        <f t="shared" si="99"/>
        <v>0.14672664505654592</v>
      </c>
      <c r="M191" s="13">
        <f t="shared" si="100"/>
        <v>-1.3962656576449775E-2</v>
      </c>
      <c r="N191" s="20">
        <f t="shared" si="101"/>
        <v>1.9122681503437225E-3</v>
      </c>
      <c r="O191" s="21">
        <f t="shared" si="102"/>
        <v>2.4732188899752372E-2</v>
      </c>
      <c r="P191" s="22">
        <f t="shared" si="103"/>
        <v>684.2934865975634</v>
      </c>
      <c r="Q191" s="22">
        <f t="shared" si="104"/>
        <v>16.924075773401107</v>
      </c>
      <c r="R191" s="10">
        <v>678.74</v>
      </c>
      <c r="S191" s="10">
        <v>687.14</v>
      </c>
      <c r="T191" s="10">
        <v>38</v>
      </c>
      <c r="U191" s="10">
        <v>17241117.079999998</v>
      </c>
      <c r="V191" s="10">
        <v>17241117.079999998</v>
      </c>
    </row>
    <row r="192" spans="1:22">
      <c r="A192" s="94">
        <v>170</v>
      </c>
      <c r="B192" s="25" t="s">
        <v>181</v>
      </c>
      <c r="C192" s="25" t="s">
        <v>50</v>
      </c>
      <c r="D192" s="29">
        <v>1290688150.5599999</v>
      </c>
      <c r="E192" s="29">
        <v>16043446</v>
      </c>
      <c r="F192" s="29">
        <v>0</v>
      </c>
      <c r="G192" s="10">
        <v>3442694</v>
      </c>
      <c r="H192" s="12">
        <f t="shared" si="105"/>
        <v>12600752</v>
      </c>
      <c r="I192" s="10">
        <v>2129845399.4399996</v>
      </c>
      <c r="J192" s="13">
        <f t="shared" si="92"/>
        <v>2.6293540353731239E-2</v>
      </c>
      <c r="K192" s="10">
        <v>2132851612</v>
      </c>
      <c r="L192" s="13">
        <f t="shared" si="99"/>
        <v>2.6525392665573719E-2</v>
      </c>
      <c r="M192" s="13">
        <f t="shared" si="100"/>
        <v>1.411469846962058E-3</v>
      </c>
      <c r="N192" s="20">
        <f t="shared" si="101"/>
        <v>1.6141272935400065E-3</v>
      </c>
      <c r="O192" s="21">
        <f t="shared" si="102"/>
        <v>5.9079365526906614E-3</v>
      </c>
      <c r="P192" s="22">
        <f t="shared" si="103"/>
        <v>1.7482543650120681</v>
      </c>
      <c r="Q192" s="22">
        <f t="shared" si="104"/>
        <v>1.0328575866455799E-2</v>
      </c>
      <c r="R192" s="10">
        <v>1.75</v>
      </c>
      <c r="S192" s="10">
        <v>1.76</v>
      </c>
      <c r="T192" s="10">
        <v>389</v>
      </c>
      <c r="U192" s="10">
        <v>1196324072</v>
      </c>
      <c r="V192" s="10">
        <v>1219989296</v>
      </c>
    </row>
    <row r="193" spans="1:22">
      <c r="A193" s="94">
        <v>171</v>
      </c>
      <c r="B193" s="25" t="s">
        <v>182</v>
      </c>
      <c r="C193" s="25" t="s">
        <v>94</v>
      </c>
      <c r="D193" s="29">
        <v>5476265736.0500002</v>
      </c>
      <c r="E193" s="29">
        <v>31868524.600000001</v>
      </c>
      <c r="F193" s="29">
        <v>213522611.80000001</v>
      </c>
      <c r="G193" s="10">
        <v>47090725.950000003</v>
      </c>
      <c r="H193" s="12">
        <f t="shared" si="105"/>
        <v>198300410.44999999</v>
      </c>
      <c r="I193" s="10">
        <v>5767642963.1800003</v>
      </c>
      <c r="J193" s="13">
        <f t="shared" si="92"/>
        <v>7.1203174201358077E-2</v>
      </c>
      <c r="K193" s="10">
        <v>5581466282.2799997</v>
      </c>
      <c r="L193" s="13">
        <f t="shared" si="99"/>
        <v>6.9414385864522546E-2</v>
      </c>
      <c r="M193" s="13">
        <f t="shared" si="100"/>
        <v>-3.2279508646518532E-2</v>
      </c>
      <c r="N193" s="20">
        <f t="shared" si="101"/>
        <v>8.4369811745532378E-3</v>
      </c>
      <c r="O193" s="21">
        <f t="shared" si="102"/>
        <v>3.5528372012129279E-2</v>
      </c>
      <c r="P193" s="22">
        <f t="shared" si="103"/>
        <v>33.00949568812095</v>
      </c>
      <c r="Q193" s="22">
        <f t="shared" si="104"/>
        <v>1.1727736427403386</v>
      </c>
      <c r="R193" s="10">
        <v>33.009500000000003</v>
      </c>
      <c r="S193" s="10">
        <v>33.395499999999998</v>
      </c>
      <c r="T193" s="10">
        <v>6177</v>
      </c>
      <c r="U193" s="10">
        <v>168937633.84999999</v>
      </c>
      <c r="V193" s="10">
        <v>169086687.50999999</v>
      </c>
    </row>
    <row r="194" spans="1:22" ht="15" customHeight="1">
      <c r="A194" s="112" t="s">
        <v>51</v>
      </c>
      <c r="B194" s="112"/>
      <c r="C194" s="112"/>
      <c r="D194" s="112"/>
      <c r="E194" s="112"/>
      <c r="F194" s="112"/>
      <c r="G194" s="112"/>
      <c r="H194" s="112"/>
      <c r="I194" s="37">
        <f>SUM(I165:I193)</f>
        <v>81002610176.75238</v>
      </c>
      <c r="J194" s="35">
        <f>(I194/$I$237)</f>
        <v>1.1201042018606036E-2</v>
      </c>
      <c r="K194" s="37">
        <f>SUM(K165:K193)</f>
        <v>80407918513.800003</v>
      </c>
      <c r="L194" s="35">
        <f>(K194/$K$237)</f>
        <v>1.0906900023010058E-2</v>
      </c>
      <c r="M194" s="35">
        <f t="shared" si="94"/>
        <v>-7.3416358022874292E-3</v>
      </c>
      <c r="N194" s="20"/>
      <c r="O194" s="20"/>
      <c r="P194" s="36"/>
      <c r="Q194" s="36"/>
      <c r="R194" s="37"/>
      <c r="S194" s="37"/>
      <c r="T194" s="37">
        <f>SUM(T165:T193)</f>
        <v>75297</v>
      </c>
      <c r="U194" s="37"/>
      <c r="V194" s="40"/>
    </row>
    <row r="195" spans="1:22" ht="6" customHeight="1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</row>
    <row r="196" spans="1:22">
      <c r="A196" s="111" t="s">
        <v>183</v>
      </c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</row>
    <row r="197" spans="1:22">
      <c r="A197" s="94">
        <v>172</v>
      </c>
      <c r="B197" s="10" t="s">
        <v>184</v>
      </c>
      <c r="C197" s="25" t="s">
        <v>46</v>
      </c>
      <c r="D197" s="10">
        <v>6766237076.6099997</v>
      </c>
      <c r="E197" s="10">
        <v>113243919.34</v>
      </c>
      <c r="F197" s="25">
        <v>435033872.81999999</v>
      </c>
      <c r="G197" s="10">
        <v>25299554.760000002</v>
      </c>
      <c r="H197" s="12">
        <f>(E197+F197)-G197</f>
        <v>522978237.39999998</v>
      </c>
      <c r="I197" s="10">
        <v>7165981979.2600002</v>
      </c>
      <c r="J197" s="13">
        <f t="shared" ref="J197:J198" si="108">(I197/$I$199)</f>
        <v>0.83417966615889083</v>
      </c>
      <c r="K197" s="10">
        <v>6734719730.0299997</v>
      </c>
      <c r="L197" s="13">
        <f t="shared" ref="L197" si="109">(K197/$K$199)</f>
        <v>0.82832632920815874</v>
      </c>
      <c r="M197" s="13">
        <f t="shared" ref="M197" si="110">((K197-I197)/I197)</f>
        <v>-6.0181877442362065E-2</v>
      </c>
      <c r="N197" s="20">
        <f t="shared" ref="N197" si="111">(G197/K197)</f>
        <v>3.7565861348601813E-3</v>
      </c>
      <c r="O197" s="21">
        <f t="shared" ref="O197" si="112">H197/K197</f>
        <v>7.7654046250514183E-2</v>
      </c>
      <c r="P197" s="22">
        <f t="shared" ref="P197" si="113">K197/V197</f>
        <v>4.4049488546298132</v>
      </c>
      <c r="Q197" s="22">
        <f t="shared" ref="Q197" si="114">H197/V197</f>
        <v>0.34206210208857296</v>
      </c>
      <c r="R197" s="10">
        <v>4.37</v>
      </c>
      <c r="S197" s="10">
        <v>4.43</v>
      </c>
      <c r="T197" s="10">
        <v>11563</v>
      </c>
      <c r="U197" s="10">
        <v>1551273173.8</v>
      </c>
      <c r="V197" s="10">
        <v>1528898507.6300001</v>
      </c>
    </row>
    <row r="198" spans="1:22">
      <c r="A198" s="94">
        <v>173</v>
      </c>
      <c r="B198" s="10" t="s">
        <v>185</v>
      </c>
      <c r="C198" s="25" t="s">
        <v>94</v>
      </c>
      <c r="D198" s="10">
        <v>1390528459.01</v>
      </c>
      <c r="E198" s="10">
        <v>9966539.4900000002</v>
      </c>
      <c r="F198" s="10">
        <v>23256129.100000001</v>
      </c>
      <c r="G198" s="10">
        <v>10981375.439999999</v>
      </c>
      <c r="H198" s="12">
        <f>(E198+F198)-G198</f>
        <v>22241293.150000006</v>
      </c>
      <c r="I198" s="10">
        <v>1424471936.0899999</v>
      </c>
      <c r="J198" s="13">
        <f t="shared" si="108"/>
        <v>0.16582033384110911</v>
      </c>
      <c r="K198" s="10">
        <v>1395795373.2</v>
      </c>
      <c r="L198" s="13">
        <f t="shared" ref="L198" si="115">(K198/$K$199)</f>
        <v>0.17167367079184123</v>
      </c>
      <c r="M198" s="13">
        <f t="shared" ref="M198" si="116">((K198-I198)/I198)</f>
        <v>-2.0131363885422342E-2</v>
      </c>
      <c r="N198" s="20">
        <f t="shared" ref="N198" si="117">(G198/K198)</f>
        <v>7.8674680048724487E-3</v>
      </c>
      <c r="O198" s="21">
        <f t="shared" ref="O198" si="118">H198/K198</f>
        <v>1.5934494107835897E-2</v>
      </c>
      <c r="P198" s="22">
        <f t="shared" ref="P198" si="119">K198/V198</f>
        <v>39.351430621012334</v>
      </c>
      <c r="Q198" s="22">
        <f t="shared" ref="Q198" si="120">H198/V198</f>
        <v>0.62704513936543416</v>
      </c>
      <c r="R198" s="10">
        <v>39.239600000000003</v>
      </c>
      <c r="S198" s="10">
        <v>39.6</v>
      </c>
      <c r="T198" s="10">
        <v>1499</v>
      </c>
      <c r="U198" s="10">
        <v>35594143.420000002</v>
      </c>
      <c r="V198" s="10">
        <v>35470003.280000001</v>
      </c>
    </row>
    <row r="199" spans="1:22" ht="15" customHeight="1">
      <c r="A199" s="112" t="s">
        <v>51</v>
      </c>
      <c r="B199" s="112"/>
      <c r="C199" s="112"/>
      <c r="D199" s="112"/>
      <c r="E199" s="112"/>
      <c r="F199" s="112"/>
      <c r="G199" s="112"/>
      <c r="H199" s="112"/>
      <c r="I199" s="37">
        <f>SUM(I197:I198)</f>
        <v>8590453915.3500004</v>
      </c>
      <c r="J199" s="35">
        <f>(I199/$I$237)</f>
        <v>1.1878880823071262E-3</v>
      </c>
      <c r="K199" s="37">
        <f>SUM(K197:K198)</f>
        <v>8130515103.2299995</v>
      </c>
      <c r="L199" s="35">
        <f>(K199/$K$237)</f>
        <v>1.1028604769974667E-3</v>
      </c>
      <c r="M199" s="35">
        <f t="shared" ref="M199" si="121">((K199-I199)/I199)</f>
        <v>-5.3540687913842512E-2</v>
      </c>
      <c r="N199" s="20"/>
      <c r="O199" s="41"/>
      <c r="P199" s="36"/>
      <c r="Q199" s="36"/>
      <c r="R199" s="37"/>
      <c r="S199" s="37"/>
      <c r="T199" s="37">
        <f>SUM(T197:T198)</f>
        <v>13062</v>
      </c>
      <c r="U199" s="37"/>
      <c r="V199" s="40"/>
    </row>
    <row r="200" spans="1:22" ht="4.95" customHeight="1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</row>
    <row r="201" spans="1:22">
      <c r="A201" s="111" t="s">
        <v>186</v>
      </c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</row>
    <row r="202" spans="1:22" ht="13.05" customHeight="1">
      <c r="A202" s="122" t="s">
        <v>187</v>
      </c>
      <c r="B202" s="122"/>
      <c r="C202" s="122"/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</row>
    <row r="203" spans="1:22" ht="15" customHeight="1">
      <c r="A203" s="66">
        <v>174</v>
      </c>
      <c r="B203" s="88" t="s">
        <v>188</v>
      </c>
      <c r="C203" s="19" t="s">
        <v>118</v>
      </c>
      <c r="D203" s="79">
        <v>6338169438.0900002</v>
      </c>
      <c r="E203" s="29">
        <v>136826170.03</v>
      </c>
      <c r="F203" s="29">
        <v>186125865.68000001</v>
      </c>
      <c r="G203" s="17">
        <v>4147253.99</v>
      </c>
      <c r="H203" s="12">
        <f>(E203+F203)-G203</f>
        <v>318804781.72000003</v>
      </c>
      <c r="I203" s="29">
        <v>7768100849.2600002</v>
      </c>
      <c r="J203" s="13">
        <f>(I203/$I$227)</f>
        <v>0.10834370242391794</v>
      </c>
      <c r="K203" s="29">
        <v>8151831792.4700003</v>
      </c>
      <c r="L203" s="13">
        <f>(K203/$K$227)</f>
        <v>0.10954023595304181</v>
      </c>
      <c r="M203" s="13">
        <f>((K203-I203)/I203)</f>
        <v>4.9398295755461875E-2</v>
      </c>
      <c r="N203" s="20">
        <f>(G203/K203)</f>
        <v>5.0875117342716715E-4</v>
      </c>
      <c r="O203" s="21">
        <f>H203/K203</f>
        <v>3.9108361143379573E-2</v>
      </c>
      <c r="P203" s="22">
        <f>K203/V203</f>
        <v>2.924499939670361</v>
      </c>
      <c r="Q203" s="22">
        <f>H203/V203</f>
        <v>0.11437239980442025</v>
      </c>
      <c r="R203" s="29">
        <v>2.9</v>
      </c>
      <c r="S203" s="29">
        <v>2.95</v>
      </c>
      <c r="T203" s="29">
        <v>15350</v>
      </c>
      <c r="U203" s="10">
        <v>2644899860.04</v>
      </c>
      <c r="V203" s="10">
        <v>2787427581</v>
      </c>
    </row>
    <row r="204" spans="1:22">
      <c r="A204" s="66">
        <v>175</v>
      </c>
      <c r="B204" s="19" t="s">
        <v>189</v>
      </c>
      <c r="C204" s="19" t="s">
        <v>46</v>
      </c>
      <c r="D204" s="17">
        <v>3749957238.3499999</v>
      </c>
      <c r="E204" s="17">
        <v>95197776.430000007</v>
      </c>
      <c r="F204" s="17">
        <v>373234643.26999998</v>
      </c>
      <c r="G204" s="17">
        <v>10855677.65</v>
      </c>
      <c r="H204" s="12">
        <f>(E204+F204)-G204</f>
        <v>457576742.05000001</v>
      </c>
      <c r="I204" s="17">
        <v>3026663474.6100001</v>
      </c>
      <c r="J204" s="13">
        <f>(I204/$I$227)</f>
        <v>4.2213654687776804E-2</v>
      </c>
      <c r="K204" s="17">
        <v>3746552758.75</v>
      </c>
      <c r="L204" s="13">
        <f>(K204/$K$227)</f>
        <v>5.0344300968413906E-2</v>
      </c>
      <c r="M204" s="13">
        <f>((K204-I204)/I204)</f>
        <v>0.23784913327133636</v>
      </c>
      <c r="N204" s="20">
        <f>(G204/K204)</f>
        <v>2.8975109518067721E-3</v>
      </c>
      <c r="O204" s="21">
        <f>H204/K204</f>
        <v>0.12213273681555359</v>
      </c>
      <c r="P204" s="22">
        <f>K204/V204</f>
        <v>900.18698775675716</v>
      </c>
      <c r="Q204" s="22">
        <f>H204/V204</f>
        <v>109.94230046048199</v>
      </c>
      <c r="R204" s="17">
        <v>893</v>
      </c>
      <c r="S204" s="17">
        <v>905.11</v>
      </c>
      <c r="T204" s="17">
        <v>2351</v>
      </c>
      <c r="U204" s="17">
        <v>4692819.2699999996</v>
      </c>
      <c r="V204" s="17">
        <v>4161971.69</v>
      </c>
    </row>
    <row r="205" spans="1:22" ht="7.05" customHeight="1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</row>
    <row r="206" spans="1:22">
      <c r="A206" s="123" t="s">
        <v>145</v>
      </c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</row>
    <row r="207" spans="1:22">
      <c r="A207" s="95">
        <v>176</v>
      </c>
      <c r="B207" s="86" t="s">
        <v>271</v>
      </c>
      <c r="C207" s="87" t="s">
        <v>58</v>
      </c>
      <c r="D207" s="56">
        <v>668823689.40999997</v>
      </c>
      <c r="E207" s="56">
        <v>16734621.939999999</v>
      </c>
      <c r="F207" s="10">
        <v>0</v>
      </c>
      <c r="G207" s="56">
        <v>2584999.71</v>
      </c>
      <c r="H207" s="56">
        <f>(E207+F207)-G207</f>
        <v>14149622.23</v>
      </c>
      <c r="I207" s="56">
        <v>1223623553</v>
      </c>
      <c r="J207" s="13">
        <f t="shared" ref="J207:J220" si="122">(I207/$I$227)</f>
        <v>1.7066192712696073E-2</v>
      </c>
      <c r="K207" s="56">
        <v>1269152939</v>
      </c>
      <c r="L207" s="13">
        <f t="shared" ref="L207" si="123">(K207/$K$227)</f>
        <v>1.7054242032689501E-2</v>
      </c>
      <c r="M207" s="13">
        <f t="shared" ref="M207:M227" si="124">((K207-I207)/I207)</f>
        <v>3.7208654482315279E-2</v>
      </c>
      <c r="N207" s="20">
        <f>(G207/K207)</f>
        <v>2.036791335831276E-3</v>
      </c>
      <c r="O207" s="21">
        <f>H207/K207</f>
        <v>1.1148870869060801E-2</v>
      </c>
      <c r="P207" s="22">
        <f>K207/V207</f>
        <v>1.1366934163688391</v>
      </c>
      <c r="Q207" s="22">
        <f>H207/V207</f>
        <v>1.2672848116807751E-2</v>
      </c>
      <c r="R207" s="56">
        <v>1.1237999999999999</v>
      </c>
      <c r="S207" s="56">
        <v>1.1237999999999999</v>
      </c>
      <c r="T207" s="56">
        <v>723</v>
      </c>
      <c r="U207" s="56">
        <v>1088780378</v>
      </c>
      <c r="V207" s="56">
        <v>1116530562</v>
      </c>
    </row>
    <row r="208" spans="1:22">
      <c r="A208" s="95">
        <v>177</v>
      </c>
      <c r="B208" s="86" t="s">
        <v>190</v>
      </c>
      <c r="C208" s="87" t="s">
        <v>191</v>
      </c>
      <c r="D208" s="56">
        <v>270032759</v>
      </c>
      <c r="E208" s="56">
        <v>1476139</v>
      </c>
      <c r="F208" s="10">
        <v>0</v>
      </c>
      <c r="G208" s="56">
        <v>829704</v>
      </c>
      <c r="H208" s="56">
        <f>(E208+F208)-G208</f>
        <v>646435</v>
      </c>
      <c r="I208" s="56">
        <v>359857794</v>
      </c>
      <c r="J208" s="13">
        <f t="shared" si="122"/>
        <v>5.0190292974604785E-3</v>
      </c>
      <c r="K208" s="56">
        <v>369580641</v>
      </c>
      <c r="L208" s="13">
        <f t="shared" ref="L208:L220" si="125">(K208/$K$227)</f>
        <v>4.9662396930481587E-3</v>
      </c>
      <c r="M208" s="13">
        <f t="shared" ref="M208:M220" si="126">((K208-I208)/I208)</f>
        <v>2.7018581123186676E-2</v>
      </c>
      <c r="N208" s="20">
        <f t="shared" ref="N208:N220" si="127">(G208/K208)</f>
        <v>2.2449877183908016E-3</v>
      </c>
      <c r="O208" s="21">
        <f t="shared" ref="O208:O220" si="128">H208/K208</f>
        <v>1.7491040608915444E-3</v>
      </c>
      <c r="P208" s="22">
        <f t="shared" ref="P208:P220" si="129">K208/V208</f>
        <v>1124.7794901298623</v>
      </c>
      <c r="Q208" s="22">
        <f t="shared" ref="Q208:Q220" si="130">H208/V208</f>
        <v>1.9673563737936632</v>
      </c>
      <c r="R208" s="56">
        <v>1124.78</v>
      </c>
      <c r="S208" s="56">
        <v>1124.78</v>
      </c>
      <c r="T208" s="56">
        <v>22</v>
      </c>
      <c r="U208" s="56">
        <v>328581</v>
      </c>
      <c r="V208" s="56">
        <v>328580.53000000003</v>
      </c>
    </row>
    <row r="209" spans="1:22" ht="15" customHeight="1">
      <c r="A209" s="95">
        <v>178</v>
      </c>
      <c r="B209" s="86" t="s">
        <v>192</v>
      </c>
      <c r="C209" s="87" t="s">
        <v>62</v>
      </c>
      <c r="D209" s="56">
        <v>122568037.66</v>
      </c>
      <c r="E209" s="56">
        <v>3773967.08</v>
      </c>
      <c r="F209" s="10">
        <v>0</v>
      </c>
      <c r="G209" s="56">
        <v>519510.37</v>
      </c>
      <c r="H209" s="56">
        <f t="shared" ref="H209:H219" si="131">(E209+F209)-G209</f>
        <v>3254456.71</v>
      </c>
      <c r="I209" s="56">
        <v>316117500.19</v>
      </c>
      <c r="J209" s="13">
        <f t="shared" si="122"/>
        <v>4.4089721588566689E-3</v>
      </c>
      <c r="K209" s="56">
        <v>315225642.92000002</v>
      </c>
      <c r="L209" s="13">
        <f t="shared" si="125"/>
        <v>4.235844431407676E-3</v>
      </c>
      <c r="M209" s="13">
        <f t="shared" si="126"/>
        <v>-2.8212840777999855E-3</v>
      </c>
      <c r="N209" s="20">
        <f t="shared" si="127"/>
        <v>1.6480587213263125E-3</v>
      </c>
      <c r="O209" s="21">
        <f t="shared" si="128"/>
        <v>1.0324213093367968E-2</v>
      </c>
      <c r="P209" s="22">
        <f t="shared" si="129"/>
        <v>122.09723793739076</v>
      </c>
      <c r="Q209" s="22">
        <f t="shared" si="130"/>
        <v>1.260557902577274</v>
      </c>
      <c r="R209" s="56">
        <v>121.46</v>
      </c>
      <c r="S209" s="56">
        <v>121.46</v>
      </c>
      <c r="T209" s="56">
        <v>80</v>
      </c>
      <c r="U209" s="56">
        <v>2534456</v>
      </c>
      <c r="V209" s="56">
        <v>2581759</v>
      </c>
    </row>
    <row r="210" spans="1:22" ht="15" customHeight="1">
      <c r="A210" s="95">
        <v>179</v>
      </c>
      <c r="B210" s="86" t="s">
        <v>315</v>
      </c>
      <c r="C210" s="87" t="s">
        <v>316</v>
      </c>
      <c r="D210" s="56">
        <v>50455025</v>
      </c>
      <c r="E210" s="56">
        <v>17974.68</v>
      </c>
      <c r="F210" s="10">
        <v>28301.1</v>
      </c>
      <c r="G210" s="56">
        <v>108844.76</v>
      </c>
      <c r="H210" s="56">
        <f t="shared" ref="H210" si="132">(E210+F210)-G210</f>
        <v>-62568.979999999996</v>
      </c>
      <c r="I210" s="56">
        <v>51735067.799999997</v>
      </c>
      <c r="J210" s="13">
        <f t="shared" si="122"/>
        <v>7.2156230967809526E-4</v>
      </c>
      <c r="K210" s="56">
        <v>53656605.759999998</v>
      </c>
      <c r="L210" s="13">
        <f t="shared" si="125"/>
        <v>7.210106151624659E-4</v>
      </c>
      <c r="M210" s="13">
        <f t="shared" si="126"/>
        <v>3.7141885411813472E-2</v>
      </c>
      <c r="N210" s="20">
        <f t="shared" si="127"/>
        <v>2.0285435214976223E-3</v>
      </c>
      <c r="O210" s="21">
        <f t="shared" si="128"/>
        <v>-1.1661002240779832E-3</v>
      </c>
      <c r="P210" s="22">
        <f t="shared" si="129"/>
        <v>103.03519041401029</v>
      </c>
      <c r="Q210" s="22">
        <f t="shared" si="130"/>
        <v>-0.12014935862969506</v>
      </c>
      <c r="R210" s="56">
        <v>103.03</v>
      </c>
      <c r="S210" s="56">
        <v>103.03</v>
      </c>
      <c r="T210" s="56">
        <v>13</v>
      </c>
      <c r="U210" s="56">
        <v>508700</v>
      </c>
      <c r="V210" s="56">
        <v>520760</v>
      </c>
    </row>
    <row r="211" spans="1:22" ht="15" customHeight="1">
      <c r="A211" s="95">
        <v>180</v>
      </c>
      <c r="B211" s="86" t="s">
        <v>193</v>
      </c>
      <c r="C211" s="87" t="s">
        <v>168</v>
      </c>
      <c r="D211" s="56">
        <v>45974451.32</v>
      </c>
      <c r="E211" s="56">
        <v>702117.91</v>
      </c>
      <c r="F211" s="10">
        <v>0</v>
      </c>
      <c r="G211" s="56">
        <v>138706.84</v>
      </c>
      <c r="H211" s="56">
        <f t="shared" si="131"/>
        <v>563411.07000000007</v>
      </c>
      <c r="I211" s="56">
        <v>66932763.359999999</v>
      </c>
      <c r="J211" s="13">
        <f t="shared" si="122"/>
        <v>9.3352848226438368E-4</v>
      </c>
      <c r="K211" s="56">
        <v>67503164.150000006</v>
      </c>
      <c r="L211" s="13">
        <f t="shared" si="125"/>
        <v>9.0707373714435304E-4</v>
      </c>
      <c r="M211" s="13">
        <f t="shared" si="126"/>
        <v>8.5219967227721915E-3</v>
      </c>
      <c r="N211" s="20">
        <f t="shared" si="127"/>
        <v>2.054819825805158E-3</v>
      </c>
      <c r="O211" s="21">
        <f t="shared" si="128"/>
        <v>8.3464394164995594E-3</v>
      </c>
      <c r="P211" s="22">
        <f t="shared" si="129"/>
        <v>102.94039519634008</v>
      </c>
      <c r="Q211" s="22">
        <f t="shared" si="130"/>
        <v>0.85918577201677482</v>
      </c>
      <c r="R211" s="56">
        <v>101.29</v>
      </c>
      <c r="S211" s="56">
        <v>101.29</v>
      </c>
      <c r="T211" s="56">
        <v>21</v>
      </c>
      <c r="U211" s="56">
        <v>655750</v>
      </c>
      <c r="V211" s="56">
        <v>655750</v>
      </c>
    </row>
    <row r="212" spans="1:22" ht="15" customHeight="1">
      <c r="A212" s="95">
        <v>181</v>
      </c>
      <c r="B212" s="19" t="s">
        <v>258</v>
      </c>
      <c r="C212" s="88" t="s">
        <v>69</v>
      </c>
      <c r="D212" s="16">
        <v>239086114.38</v>
      </c>
      <c r="E212" s="29">
        <v>4122286.75</v>
      </c>
      <c r="F212" s="29">
        <v>0</v>
      </c>
      <c r="G212" s="10">
        <v>668692.39</v>
      </c>
      <c r="H212" s="12">
        <f t="shared" si="131"/>
        <v>3453594.36</v>
      </c>
      <c r="I212" s="17">
        <v>225738746.94</v>
      </c>
      <c r="J212" s="13">
        <f t="shared" si="122"/>
        <v>3.1484364194815156E-3</v>
      </c>
      <c r="K212" s="17">
        <v>233071356.75</v>
      </c>
      <c r="L212" s="13">
        <f t="shared" si="125"/>
        <v>3.1318962488742423E-3</v>
      </c>
      <c r="M212" s="13">
        <f t="shared" si="126"/>
        <v>3.2482725758856835E-2</v>
      </c>
      <c r="N212" s="20">
        <f t="shared" si="127"/>
        <v>2.8690457691772971E-3</v>
      </c>
      <c r="O212" s="21">
        <f t="shared" si="128"/>
        <v>1.4817755421162451E-2</v>
      </c>
      <c r="P212" s="22">
        <f t="shared" si="129"/>
        <v>1.0220517472195942</v>
      </c>
      <c r="Q212" s="22">
        <f t="shared" si="130"/>
        <v>1.5144512818071698E-2</v>
      </c>
      <c r="R212" s="10">
        <v>1.1559999999999999</v>
      </c>
      <c r="S212" s="10">
        <v>1.1559999999999999</v>
      </c>
      <c r="T212" s="10">
        <v>55</v>
      </c>
      <c r="U212" s="10">
        <v>210442180.69999999</v>
      </c>
      <c r="V212" s="10">
        <v>228042618.56999999</v>
      </c>
    </row>
    <row r="213" spans="1:22" ht="15" customHeight="1">
      <c r="A213" s="95">
        <v>182</v>
      </c>
      <c r="B213" s="87" t="s">
        <v>194</v>
      </c>
      <c r="C213" s="87" t="s">
        <v>73</v>
      </c>
      <c r="D213" s="56">
        <v>4833101188.1300001</v>
      </c>
      <c r="E213" s="56">
        <v>67859209.030000001</v>
      </c>
      <c r="F213" s="10">
        <v>0</v>
      </c>
      <c r="G213" s="56">
        <v>7718962.7800000003</v>
      </c>
      <c r="H213" s="56">
        <f t="shared" si="131"/>
        <v>60140246.25</v>
      </c>
      <c r="I213" s="56">
        <v>4873827085.6099997</v>
      </c>
      <c r="J213" s="13">
        <f t="shared" si="122"/>
        <v>6.797652111831988E-2</v>
      </c>
      <c r="K213" s="56">
        <v>4774867637.5500002</v>
      </c>
      <c r="L213" s="13">
        <f t="shared" si="125"/>
        <v>6.4162281678200511E-2</v>
      </c>
      <c r="M213" s="13">
        <f t="shared" si="126"/>
        <v>-2.0304259121579786E-2</v>
      </c>
      <c r="N213" s="20">
        <f t="shared" si="127"/>
        <v>1.6165815193069151E-3</v>
      </c>
      <c r="O213" s="21">
        <f t="shared" si="128"/>
        <v>1.2595165105112348E-2</v>
      </c>
      <c r="P213" s="22">
        <f t="shared" si="129"/>
        <v>140.53366475131386</v>
      </c>
      <c r="Q213" s="22">
        <f t="shared" si="130"/>
        <v>1.7700447103693056</v>
      </c>
      <c r="R213" s="56">
        <v>140.53</v>
      </c>
      <c r="S213" s="56">
        <v>140.53</v>
      </c>
      <c r="T213" s="56">
        <v>755</v>
      </c>
      <c r="U213" s="56">
        <v>30019712</v>
      </c>
      <c r="V213" s="56">
        <v>33976682</v>
      </c>
    </row>
    <row r="214" spans="1:22" ht="15" customHeight="1">
      <c r="A214" s="95">
        <v>183</v>
      </c>
      <c r="B214" s="87" t="s">
        <v>220</v>
      </c>
      <c r="C214" s="87" t="s">
        <v>60</v>
      </c>
      <c r="D214" s="56">
        <v>863072167.76999998</v>
      </c>
      <c r="E214" s="56">
        <v>9159962.3499999996</v>
      </c>
      <c r="F214" s="10">
        <v>0</v>
      </c>
      <c r="G214" s="56">
        <v>1225497.69</v>
      </c>
      <c r="H214" s="56">
        <f t="shared" si="131"/>
        <v>7934464.6600000001</v>
      </c>
      <c r="I214" s="56">
        <v>795316272.75999999</v>
      </c>
      <c r="J214" s="13">
        <f t="shared" si="122"/>
        <v>1.1092480808487112E-2</v>
      </c>
      <c r="K214" s="56">
        <v>857853023.17999995</v>
      </c>
      <c r="L214" s="13">
        <f t="shared" si="125"/>
        <v>1.1527399603481607E-2</v>
      </c>
      <c r="M214" s="13">
        <f t="shared" si="126"/>
        <v>7.8631297462300853E-2</v>
      </c>
      <c r="N214" s="20">
        <f t="shared" si="127"/>
        <v>1.4285637013403151E-3</v>
      </c>
      <c r="O214" s="21">
        <f t="shared" si="128"/>
        <v>9.2492122142176589E-3</v>
      </c>
      <c r="P214" s="22">
        <f t="shared" si="129"/>
        <v>1311.9157486806182</v>
      </c>
      <c r="Q214" s="22">
        <f t="shared" si="130"/>
        <v>12.134187166721278</v>
      </c>
      <c r="R214" s="56">
        <v>1311.92</v>
      </c>
      <c r="S214" s="56">
        <v>1311.92</v>
      </c>
      <c r="T214" s="56">
        <v>288</v>
      </c>
      <c r="U214" s="56">
        <v>605890.72</v>
      </c>
      <c r="V214" s="56">
        <v>653893.38</v>
      </c>
    </row>
    <row r="215" spans="1:22" ht="15" customHeight="1">
      <c r="A215" s="95">
        <v>184</v>
      </c>
      <c r="B215" s="86" t="s">
        <v>117</v>
      </c>
      <c r="C215" s="87" t="s">
        <v>118</v>
      </c>
      <c r="D215" s="56">
        <v>19136103285.060001</v>
      </c>
      <c r="E215" s="56">
        <v>443145602.01999998</v>
      </c>
      <c r="F215" s="10">
        <v>60000000</v>
      </c>
      <c r="G215" s="56">
        <v>58670791.719999999</v>
      </c>
      <c r="H215" s="56">
        <f t="shared" si="131"/>
        <v>444474810.29999995</v>
      </c>
      <c r="I215" s="56">
        <v>36490365201.580002</v>
      </c>
      <c r="J215" s="13">
        <f t="shared" si="122"/>
        <v>0.50894051782511163</v>
      </c>
      <c r="K215" s="56">
        <v>37652753782.790001</v>
      </c>
      <c r="L215" s="13">
        <f t="shared" si="125"/>
        <v>0.50595886159703074</v>
      </c>
      <c r="M215" s="13">
        <f t="shared" si="126"/>
        <v>3.1854671083414332E-2</v>
      </c>
      <c r="N215" s="20">
        <f t="shared" si="127"/>
        <v>1.5582071913905204E-3</v>
      </c>
      <c r="O215" s="21">
        <f t="shared" si="128"/>
        <v>1.180457644251127E-2</v>
      </c>
      <c r="P215" s="22">
        <f t="shared" si="129"/>
        <v>1285.2033625547758</v>
      </c>
      <c r="Q215" s="22">
        <f t="shared" si="130"/>
        <v>15.171281337450379</v>
      </c>
      <c r="R215" s="56">
        <v>1285.2</v>
      </c>
      <c r="S215" s="56">
        <v>1285.2</v>
      </c>
      <c r="T215" s="56">
        <v>11570</v>
      </c>
      <c r="U215" s="56">
        <v>28737187.77</v>
      </c>
      <c r="V215" s="56">
        <v>29297117.390000001</v>
      </c>
    </row>
    <row r="216" spans="1:22" ht="15" customHeight="1">
      <c r="A216" s="95">
        <v>185</v>
      </c>
      <c r="B216" s="89" t="s">
        <v>217</v>
      </c>
      <c r="C216" s="89" t="s">
        <v>218</v>
      </c>
      <c r="D216" s="56">
        <v>321229668.06999999</v>
      </c>
      <c r="E216" s="56">
        <v>5565120</v>
      </c>
      <c r="F216" s="10">
        <v>51422013.140000001</v>
      </c>
      <c r="G216" s="56">
        <v>1134671.21</v>
      </c>
      <c r="H216" s="56">
        <f>(E216+F216)-G216</f>
        <v>55852461.93</v>
      </c>
      <c r="I216" s="56">
        <v>369859169.81</v>
      </c>
      <c r="J216" s="13">
        <f t="shared" si="122"/>
        <v>5.1585210607132219E-3</v>
      </c>
      <c r="K216" s="56">
        <v>328878148.23000002</v>
      </c>
      <c r="L216" s="13">
        <f t="shared" si="125"/>
        <v>4.419299965216528E-3</v>
      </c>
      <c r="M216" s="13">
        <f t="shared" si="126"/>
        <v>-0.11080169136012581</v>
      </c>
      <c r="N216" s="20">
        <f t="shared" si="127"/>
        <v>3.4501264863802104E-3</v>
      </c>
      <c r="O216" s="21">
        <f t="shared" si="128"/>
        <v>0.16982722090413782</v>
      </c>
      <c r="P216" s="22">
        <f t="shared" si="129"/>
        <v>121.49111509763567</v>
      </c>
      <c r="Q216" s="22">
        <f t="shared" si="130"/>
        <v>20.63249844157621</v>
      </c>
      <c r="R216" s="56">
        <v>117.11</v>
      </c>
      <c r="S216" s="56">
        <v>117.95</v>
      </c>
      <c r="T216" s="56">
        <v>131</v>
      </c>
      <c r="U216" s="56">
        <v>3027544.44</v>
      </c>
      <c r="V216" s="56">
        <v>2707013.99</v>
      </c>
    </row>
    <row r="217" spans="1:22" ht="15" customHeight="1">
      <c r="A217" s="95">
        <v>186</v>
      </c>
      <c r="B217" s="89" t="s">
        <v>219</v>
      </c>
      <c r="C217" s="89" t="s">
        <v>218</v>
      </c>
      <c r="D217" s="56">
        <v>414988820.76999998</v>
      </c>
      <c r="E217" s="56">
        <v>1788493.14</v>
      </c>
      <c r="F217" s="10">
        <v>15477057.640000001</v>
      </c>
      <c r="G217" s="56">
        <v>692956.94</v>
      </c>
      <c r="H217" s="56">
        <f>(E217+F217)-G217</f>
        <v>16572593.840000002</v>
      </c>
      <c r="I217" s="56">
        <v>360430904.38999999</v>
      </c>
      <c r="J217" s="13">
        <f t="shared" si="122"/>
        <v>5.0270226156157293E-3</v>
      </c>
      <c r="K217" s="56">
        <v>434106607.97000003</v>
      </c>
      <c r="L217" s="13">
        <f t="shared" si="125"/>
        <v>5.8333073444588523E-3</v>
      </c>
      <c r="M217" s="13">
        <f t="shared" si="126"/>
        <v>0.20441006218567795</v>
      </c>
      <c r="N217" s="20">
        <f t="shared" si="127"/>
        <v>1.5962828652631069E-3</v>
      </c>
      <c r="O217" s="21">
        <f t="shared" si="128"/>
        <v>3.8176322441848869E-2</v>
      </c>
      <c r="P217" s="22">
        <f t="shared" si="129"/>
        <v>134.60927880038582</v>
      </c>
      <c r="Q217" s="22">
        <f t="shared" si="130"/>
        <v>5.138887231148261</v>
      </c>
      <c r="R217" s="56">
        <v>133.6</v>
      </c>
      <c r="S217" s="56">
        <v>133.6</v>
      </c>
      <c r="T217" s="56">
        <v>136</v>
      </c>
      <c r="U217" s="56">
        <v>2737634.65</v>
      </c>
      <c r="V217" s="56">
        <v>3224938.22</v>
      </c>
    </row>
    <row r="218" spans="1:22" ht="13.95" customHeight="1">
      <c r="A218" s="95">
        <v>187</v>
      </c>
      <c r="B218" s="87" t="s">
        <v>195</v>
      </c>
      <c r="C218" s="87" t="s">
        <v>143</v>
      </c>
      <c r="D218" s="56">
        <v>1507782280.8499999</v>
      </c>
      <c r="E218" s="56">
        <v>37933395.109999999</v>
      </c>
      <c r="F218" s="10">
        <v>0</v>
      </c>
      <c r="G218" s="56">
        <v>4656992.12</v>
      </c>
      <c r="H218" s="56">
        <f t="shared" si="131"/>
        <v>33276402.989999998</v>
      </c>
      <c r="I218" s="56">
        <v>2285998711</v>
      </c>
      <c r="J218" s="13">
        <f t="shared" si="122"/>
        <v>3.1883412547307199E-2</v>
      </c>
      <c r="K218" s="56">
        <v>2347361005</v>
      </c>
      <c r="L218" s="13">
        <f t="shared" si="125"/>
        <v>3.1542662422473632E-2</v>
      </c>
      <c r="M218" s="13">
        <f t="shared" si="126"/>
        <v>2.68426634296558E-2</v>
      </c>
      <c r="N218" s="20">
        <f t="shared" si="127"/>
        <v>1.98392667769481E-3</v>
      </c>
      <c r="O218" s="21">
        <f t="shared" si="128"/>
        <v>1.4176090903410061E-2</v>
      </c>
      <c r="P218" s="22">
        <f t="shared" si="129"/>
        <v>106.75424436349692</v>
      </c>
      <c r="Q218" s="22">
        <f t="shared" si="130"/>
        <v>1.5133578724217833</v>
      </c>
      <c r="R218" s="56">
        <v>106.75</v>
      </c>
      <c r="S218" s="56">
        <v>106.75</v>
      </c>
      <c r="T218" s="56">
        <v>738</v>
      </c>
      <c r="U218" s="56">
        <v>21725143</v>
      </c>
      <c r="V218" s="56">
        <v>21988456</v>
      </c>
    </row>
    <row r="219" spans="1:22">
      <c r="A219" s="95">
        <v>188</v>
      </c>
      <c r="B219" s="86" t="s">
        <v>196</v>
      </c>
      <c r="C219" s="86" t="s">
        <v>46</v>
      </c>
      <c r="D219" s="56">
        <v>5306818672.5</v>
      </c>
      <c r="E219" s="56">
        <v>47927662.640000001</v>
      </c>
      <c r="F219" s="10">
        <v>0</v>
      </c>
      <c r="G219" s="56">
        <v>8532380.5500000007</v>
      </c>
      <c r="H219" s="56">
        <f t="shared" si="131"/>
        <v>39395282.090000004</v>
      </c>
      <c r="I219" s="56">
        <v>5243770253</v>
      </c>
      <c r="J219" s="13">
        <f t="shared" si="122"/>
        <v>7.3136213714906348E-2</v>
      </c>
      <c r="K219" s="56">
        <v>5286464799.5500002</v>
      </c>
      <c r="L219" s="13">
        <f t="shared" si="125"/>
        <v>7.1036868306711687E-2</v>
      </c>
      <c r="M219" s="13">
        <f t="shared" si="126"/>
        <v>8.1419559763462792E-3</v>
      </c>
      <c r="N219" s="20">
        <f t="shared" si="127"/>
        <v>1.6140049869860674E-3</v>
      </c>
      <c r="O219" s="21">
        <f t="shared" si="128"/>
        <v>7.4521033590072231E-3</v>
      </c>
      <c r="P219" s="22">
        <f t="shared" si="129"/>
        <v>143.23902460258088</v>
      </c>
      <c r="Q219" s="22">
        <f t="shared" si="130"/>
        <v>1.0674320163818112</v>
      </c>
      <c r="R219" s="56">
        <v>143.24</v>
      </c>
      <c r="S219" s="56">
        <v>143.24</v>
      </c>
      <c r="T219" s="56">
        <v>1743</v>
      </c>
      <c r="U219" s="56">
        <v>36909651.600000001</v>
      </c>
      <c r="V219" s="56">
        <v>36906595.909999996</v>
      </c>
    </row>
    <row r="220" spans="1:22" ht="15" customHeight="1">
      <c r="A220" s="95">
        <v>189</v>
      </c>
      <c r="B220" s="87" t="s">
        <v>197</v>
      </c>
      <c r="C220" s="87" t="s">
        <v>50</v>
      </c>
      <c r="D220" s="56">
        <v>2926207190</v>
      </c>
      <c r="E220" s="56">
        <v>38585311</v>
      </c>
      <c r="F220" s="10">
        <v>0</v>
      </c>
      <c r="G220" s="56">
        <v>6264108</v>
      </c>
      <c r="H220" s="56">
        <f>(E220+F220)-G220</f>
        <v>32321203</v>
      </c>
      <c r="I220" s="56">
        <v>3880751819.2400007</v>
      </c>
      <c r="J220" s="13">
        <f t="shared" si="122"/>
        <v>5.4125844713366456E-2</v>
      </c>
      <c r="K220" s="56">
        <v>3854620077</v>
      </c>
      <c r="L220" s="13">
        <f t="shared" si="125"/>
        <v>5.1796455507575549E-2</v>
      </c>
      <c r="M220" s="13">
        <f t="shared" si="126"/>
        <v>-6.7336803426708992E-3</v>
      </c>
      <c r="N220" s="20">
        <f t="shared" si="127"/>
        <v>1.6250908973823623E-3</v>
      </c>
      <c r="O220" s="21">
        <f t="shared" si="128"/>
        <v>8.3850554281228069E-3</v>
      </c>
      <c r="P220" s="22">
        <f t="shared" si="129"/>
        <v>1.1879165377627072</v>
      </c>
      <c r="Q220" s="22">
        <f t="shared" si="130"/>
        <v>9.9607460131240395E-3</v>
      </c>
      <c r="R220" s="56">
        <v>1.19</v>
      </c>
      <c r="S220" s="56">
        <v>1.19</v>
      </c>
      <c r="T220" s="56">
        <v>207</v>
      </c>
      <c r="U220" s="56">
        <v>3291643192.2199998</v>
      </c>
      <c r="V220" s="56">
        <v>3244857660</v>
      </c>
    </row>
    <row r="221" spans="1:22" ht="4.95" customHeight="1">
      <c r="A221" s="66"/>
      <c r="B221" s="19"/>
      <c r="C221" s="19"/>
      <c r="D221" s="11"/>
      <c r="E221" s="11"/>
      <c r="F221" s="11"/>
      <c r="G221" s="31"/>
      <c r="H221" s="12"/>
      <c r="I221" s="23"/>
      <c r="J221" s="13"/>
      <c r="K221" s="32"/>
      <c r="L221" s="13"/>
      <c r="M221" s="13"/>
      <c r="N221" s="20"/>
      <c r="O221" s="21"/>
      <c r="P221" s="22"/>
      <c r="Q221" s="22"/>
      <c r="R221" s="12"/>
      <c r="S221" s="12"/>
      <c r="T221" s="42"/>
      <c r="U221" s="31"/>
      <c r="V221" s="42"/>
    </row>
    <row r="222" spans="1:22" ht="15" customHeight="1">
      <c r="A222" s="122" t="s">
        <v>215</v>
      </c>
      <c r="B222" s="124"/>
      <c r="C222" s="124"/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</row>
    <row r="223" spans="1:22" ht="15" customHeight="1">
      <c r="A223" s="93">
        <v>190</v>
      </c>
      <c r="B223" s="85" t="s">
        <v>303</v>
      </c>
      <c r="C223" s="85" t="s">
        <v>304</v>
      </c>
      <c r="D223" s="64">
        <v>385670403.05000001</v>
      </c>
      <c r="E223" s="16">
        <v>4327374.78</v>
      </c>
      <c r="F223" s="16">
        <v>666573.02</v>
      </c>
      <c r="G223" s="16">
        <v>1141026.96</v>
      </c>
      <c r="H223" s="16">
        <f>(E223+F223)-G223</f>
        <v>3852920.8400000008</v>
      </c>
      <c r="I223" s="58">
        <v>369307703.02999997</v>
      </c>
      <c r="J223" s="59">
        <f t="shared" ref="J223:J226" si="133">(I223/$I$227)</f>
        <v>5.1508296115587359E-3</v>
      </c>
      <c r="K223" s="58">
        <v>381426177.89999998</v>
      </c>
      <c r="L223" s="13">
        <f t="shared" ref="L223" si="134">(K223/$K$227)</f>
        <v>5.1254140896807099E-3</v>
      </c>
      <c r="M223" s="13">
        <f>((K223-I223)/I223)</f>
        <v>3.2814032229962951E-2</v>
      </c>
      <c r="N223" s="20">
        <f t="shared" ref="N223" si="135">(G223/K223)</f>
        <v>2.9914752214493983E-3</v>
      </c>
      <c r="O223" s="21">
        <f t="shared" ref="O223" si="136">H223/K223</f>
        <v>1.0101353979458999E-2</v>
      </c>
      <c r="P223" s="22">
        <f t="shared" ref="P223" si="137">K223/V223</f>
        <v>103.27265138531267</v>
      </c>
      <c r="Q223" s="22">
        <f t="shared" ref="Q223" si="138">H223/V223</f>
        <v>1.0431936080403101</v>
      </c>
      <c r="R223" s="58">
        <v>103.27</v>
      </c>
      <c r="S223" s="58">
        <v>103.27</v>
      </c>
      <c r="T223" s="58">
        <v>108</v>
      </c>
      <c r="U223" s="58">
        <v>3566200</v>
      </c>
      <c r="V223" s="58">
        <v>3693390</v>
      </c>
    </row>
    <row r="224" spans="1:22" ht="15" customHeight="1">
      <c r="A224" s="99">
        <v>191</v>
      </c>
      <c r="B224" s="100" t="s">
        <v>280</v>
      </c>
      <c r="C224" s="90" t="s">
        <v>58</v>
      </c>
      <c r="D224" s="16">
        <v>2347538839.21</v>
      </c>
      <c r="E224" s="16">
        <v>27831834.399999999</v>
      </c>
      <c r="F224" s="16">
        <v>102778650.02</v>
      </c>
      <c r="G224" s="16">
        <v>14331555.75</v>
      </c>
      <c r="H224" s="16">
        <f>(E224+F224)-G224</f>
        <v>116278928.66999999</v>
      </c>
      <c r="I224" s="58">
        <v>3575795089</v>
      </c>
      <c r="J224" s="59">
        <f t="shared" si="133"/>
        <v>4.9872534686316389E-2</v>
      </c>
      <c r="K224" s="58">
        <v>3872314110</v>
      </c>
      <c r="L224" s="13">
        <f t="shared" ref="L224:L226" si="139">(K224/$K$227)</f>
        <v>5.2034219067855492E-2</v>
      </c>
      <c r="M224" s="13">
        <f t="shared" ref="M224:M226" si="140">((K224-I224)/I224)</f>
        <v>8.2923941003264792E-2</v>
      </c>
      <c r="N224" s="20">
        <f t="shared" ref="N224:N226" si="141">(G224/K224)</f>
        <v>3.7010313065744555E-3</v>
      </c>
      <c r="O224" s="21">
        <f t="shared" ref="O224:O226" si="142">H224/K224</f>
        <v>3.002827905146362E-2</v>
      </c>
      <c r="P224" s="22">
        <f t="shared" ref="P224:P226" si="143">K224/V224</f>
        <v>101.40125348178474</v>
      </c>
      <c r="Q224" s="22">
        <f t="shared" ref="Q224:Q226" si="144">H224/V224</f>
        <v>3.0449051357192292</v>
      </c>
      <c r="R224" s="58">
        <v>100.8943</v>
      </c>
      <c r="S224" s="58">
        <v>103.9363</v>
      </c>
      <c r="T224" s="58">
        <v>3385</v>
      </c>
      <c r="U224" s="58">
        <v>34609187</v>
      </c>
      <c r="V224" s="58">
        <v>38188030</v>
      </c>
    </row>
    <row r="225" spans="1:22" ht="15" customHeight="1">
      <c r="A225" s="97">
        <v>192</v>
      </c>
      <c r="B225" s="10" t="s">
        <v>216</v>
      </c>
      <c r="C225" s="25" t="s">
        <v>118</v>
      </c>
      <c r="D225" s="16">
        <v>153653167.66999999</v>
      </c>
      <c r="E225" s="16">
        <v>3798829.22</v>
      </c>
      <c r="F225" s="16">
        <v>7360000</v>
      </c>
      <c r="G225" s="10">
        <v>662382.02</v>
      </c>
      <c r="H225" s="12">
        <f>(E225+F225)-G225</f>
        <v>10496447.200000001</v>
      </c>
      <c r="I225" s="17">
        <v>276437105.33999997</v>
      </c>
      <c r="J225" s="59">
        <f t="shared" si="133"/>
        <v>3.8555394762594146E-3</v>
      </c>
      <c r="K225" s="17">
        <v>276168260.51999998</v>
      </c>
      <c r="L225" s="13">
        <f t="shared" si="139"/>
        <v>3.7110108734144673E-3</v>
      </c>
      <c r="M225" s="13">
        <f t="shared" si="140"/>
        <v>-9.7253521617270188E-4</v>
      </c>
      <c r="N225" s="20">
        <f t="shared" si="141"/>
        <v>2.3984726512481713E-3</v>
      </c>
      <c r="O225" s="21">
        <f t="shared" si="142"/>
        <v>3.8007434960976819E-2</v>
      </c>
      <c r="P225" s="22">
        <f t="shared" si="143"/>
        <v>1217.8493401029195</v>
      </c>
      <c r="Q225" s="22">
        <f t="shared" si="144"/>
        <v>46.287329586230257</v>
      </c>
      <c r="R225" s="12">
        <v>1217.8499999999999</v>
      </c>
      <c r="S225" s="12">
        <v>1217.8499999999999</v>
      </c>
      <c r="T225" s="10">
        <v>167</v>
      </c>
      <c r="U225" s="10">
        <v>224729.42</v>
      </c>
      <c r="V225" s="10">
        <v>226767.18</v>
      </c>
    </row>
    <row r="226" spans="1:22" ht="15" customHeight="1">
      <c r="A226" s="97">
        <v>193</v>
      </c>
      <c r="B226" s="10" t="s">
        <v>278</v>
      </c>
      <c r="C226" s="10" t="s">
        <v>279</v>
      </c>
      <c r="D226" s="17">
        <v>45000000</v>
      </c>
      <c r="E226" s="17">
        <v>3484657.53</v>
      </c>
      <c r="F226" s="17">
        <v>0</v>
      </c>
      <c r="G226" s="17">
        <v>35962.199999999997</v>
      </c>
      <c r="H226" s="17">
        <f>(E226+F226)-G226</f>
        <v>3448695.3299999996</v>
      </c>
      <c r="I226" s="17">
        <v>138054620.21000001</v>
      </c>
      <c r="J226" s="59">
        <f t="shared" si="133"/>
        <v>1.9254833299060614E-3</v>
      </c>
      <c r="K226" s="17">
        <v>145218673.94</v>
      </c>
      <c r="L226" s="13">
        <f t="shared" si="139"/>
        <v>1.9513758641179647E-3</v>
      </c>
      <c r="M226" s="13">
        <f t="shared" si="140"/>
        <v>5.189289369021103E-2</v>
      </c>
      <c r="N226" s="20">
        <f t="shared" si="141"/>
        <v>2.4764170491502007E-4</v>
      </c>
      <c r="O226" s="21">
        <f t="shared" si="142"/>
        <v>2.3748291018170962E-2</v>
      </c>
      <c r="P226" s="22">
        <f t="shared" si="143"/>
        <v>113.07989713544404</v>
      </c>
      <c r="Q226" s="22">
        <f t="shared" si="144"/>
        <v>2.6854543054773621</v>
      </c>
      <c r="R226" s="17">
        <v>111.93</v>
      </c>
      <c r="S226" s="17">
        <v>114.23</v>
      </c>
      <c r="T226" s="17">
        <v>313</v>
      </c>
      <c r="U226" s="17">
        <v>1236320</v>
      </c>
      <c r="V226" s="17">
        <v>1284213</v>
      </c>
    </row>
    <row r="227" spans="1:22" ht="15" customHeight="1">
      <c r="A227" s="112" t="s">
        <v>51</v>
      </c>
      <c r="B227" s="112"/>
      <c r="C227" s="112"/>
      <c r="D227" s="112"/>
      <c r="E227" s="112"/>
      <c r="F227" s="112"/>
      <c r="G227" s="112"/>
      <c r="H227" s="112"/>
      <c r="I227" s="37">
        <f>SUM(I203:I226)</f>
        <v>71698683684.12999</v>
      </c>
      <c r="J227" s="35">
        <f>(I227/$I$237)</f>
        <v>9.9144949387713864E-3</v>
      </c>
      <c r="K227" s="37">
        <f>SUM(K203:K226)</f>
        <v>74418607204.430008</v>
      </c>
      <c r="L227" s="35">
        <f>(K227/$K$237)</f>
        <v>1.009448228026286E-2</v>
      </c>
      <c r="M227" s="35">
        <f t="shared" si="124"/>
        <v>3.7935473575535873E-2</v>
      </c>
      <c r="N227" s="20"/>
      <c r="O227" s="20"/>
      <c r="P227" s="36"/>
      <c r="Q227" s="36"/>
      <c r="R227" s="37"/>
      <c r="S227" s="37"/>
      <c r="T227" s="37">
        <f>SUM(T203:T226)</f>
        <v>38156</v>
      </c>
      <c r="U227" s="37"/>
      <c r="V227" s="37"/>
    </row>
    <row r="228" spans="1:22" ht="15" customHeight="1">
      <c r="A228" s="121" t="s">
        <v>294</v>
      </c>
      <c r="B228" s="121"/>
      <c r="C228" s="121"/>
      <c r="D228" s="121"/>
      <c r="E228" s="121"/>
      <c r="F228" s="121"/>
      <c r="G228" s="121"/>
      <c r="H228" s="121"/>
      <c r="I228" s="75">
        <f>SUM(I24,I69,I111,I153,I162,I194,I199,I227)</f>
        <v>7213150778345.9795</v>
      </c>
      <c r="J228" s="76"/>
      <c r="K228" s="75">
        <f>SUM(K24,K69,K111,K153,K162,K194,K199,K227)</f>
        <v>7353586762159.2354</v>
      </c>
      <c r="L228" s="76"/>
      <c r="M228" s="76"/>
      <c r="N228" s="77"/>
      <c r="O228" s="77"/>
      <c r="P228" s="78"/>
      <c r="Q228" s="78"/>
      <c r="R228" s="75"/>
      <c r="S228" s="75"/>
      <c r="T228" s="75">
        <f>SUM(T24,T69,T111,T153,T162,T194,T199,T227)</f>
        <v>1016465</v>
      </c>
      <c r="U228" s="75"/>
      <c r="V228" s="75"/>
    </row>
    <row r="229" spans="1:22" s="6" customFormat="1" ht="6.6" customHeight="1">
      <c r="A229" s="65"/>
      <c r="B229" s="65"/>
      <c r="C229" s="65"/>
      <c r="D229" s="65"/>
      <c r="E229" s="65"/>
      <c r="F229" s="65"/>
      <c r="G229" s="65"/>
      <c r="H229" s="65"/>
      <c r="I229" s="37"/>
      <c r="J229" s="61"/>
      <c r="K229" s="37"/>
      <c r="L229" s="61"/>
      <c r="M229" s="61"/>
      <c r="N229" s="62"/>
      <c r="O229" s="62"/>
      <c r="P229" s="63"/>
      <c r="Q229" s="63"/>
      <c r="R229" s="37"/>
      <c r="S229" s="37"/>
      <c r="T229" s="37"/>
      <c r="U229" s="37"/>
      <c r="V229" s="37"/>
    </row>
    <row r="230" spans="1:22" s="6" customFormat="1" ht="15" customHeight="1">
      <c r="A230" s="108" t="s">
        <v>282</v>
      </c>
      <c r="B230" s="108"/>
      <c r="C230" s="108"/>
      <c r="D230" s="108"/>
      <c r="E230" s="108"/>
      <c r="F230" s="108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</row>
    <row r="231" spans="1:22" s="6" customFormat="1" ht="15" customHeight="1">
      <c r="A231" s="96">
        <v>1</v>
      </c>
      <c r="B231" s="25" t="s">
        <v>283</v>
      </c>
      <c r="C231" s="25" t="s">
        <v>58</v>
      </c>
      <c r="D231" s="17">
        <f>871120.49*FX_RATE</f>
        <v>1260286687.055629</v>
      </c>
      <c r="E231" s="16">
        <f>13775.4*FX_RATE</f>
        <v>19929451.124339998</v>
      </c>
      <c r="F231" s="16">
        <f>2265.02*FX_RATE</f>
        <v>3276899.791342</v>
      </c>
      <c r="G231" s="16">
        <f>2562.93*FX_RATE</f>
        <v>3707898.7303529996</v>
      </c>
      <c r="H231" s="17">
        <f>(E231+F231)-G231</f>
        <v>19498452.185328998</v>
      </c>
      <c r="I231" s="10">
        <v>1778775856.4933002</v>
      </c>
      <c r="J231" s="13">
        <f>(I231/$I$236)</f>
        <v>9.5878933755901868E-2</v>
      </c>
      <c r="K231" s="10">
        <f>1269353*FX_RATE</f>
        <v>1836426424.8613</v>
      </c>
      <c r="L231" s="13">
        <f>(K231/$K$236)</f>
        <v>9.8628296916013214E-2</v>
      </c>
      <c r="M231" s="13">
        <f>((K231-I231)/I231)</f>
        <v>3.2410248968441031E-2</v>
      </c>
      <c r="N231" s="20">
        <f t="shared" ref="N231" si="145">(G231/K231)</f>
        <v>2.0190837379357829E-3</v>
      </c>
      <c r="O231" s="21">
        <f t="shared" ref="O231" si="146">H231/K231</f>
        <v>1.0617605977218314E-2</v>
      </c>
      <c r="P231" s="22">
        <f t="shared" ref="P231" si="147">K231/V231</f>
        <v>1500.8204581190162</v>
      </c>
      <c r="Q231" s="22">
        <f t="shared" ref="Q231" si="148">H231/V231</f>
        <v>15.935120266855995</v>
      </c>
      <c r="R231" s="10">
        <f>1.0374*FX_RATE</f>
        <v>1500.8502545400002</v>
      </c>
      <c r="S231" s="10">
        <f>1.0374*FX_RATE</f>
        <v>1500.8502545400002</v>
      </c>
      <c r="T231" s="10">
        <v>49</v>
      </c>
      <c r="U231" s="10">
        <v>1219685</v>
      </c>
      <c r="V231" s="10">
        <v>1223615</v>
      </c>
    </row>
    <row r="232" spans="1:22" s="6" customFormat="1" ht="15" customHeight="1">
      <c r="A232" s="96">
        <v>2</v>
      </c>
      <c r="B232" s="25" t="s">
        <v>284</v>
      </c>
      <c r="C232" s="25" t="s">
        <v>285</v>
      </c>
      <c r="D232" s="16">
        <v>3465811017.0500002</v>
      </c>
      <c r="E232" s="16">
        <v>75111527.480000004</v>
      </c>
      <c r="F232" s="104">
        <v>0</v>
      </c>
      <c r="G232" s="16">
        <v>7995274.6900000004</v>
      </c>
      <c r="H232" s="17">
        <f>(E232+F232)-G232</f>
        <v>67116252.790000007</v>
      </c>
      <c r="I232" s="10">
        <v>4092074972.02</v>
      </c>
      <c r="J232" s="13">
        <f t="shared" ref="J232:J235" si="149">(I232/$I$236)</f>
        <v>0.22056954716034921</v>
      </c>
      <c r="K232" s="10">
        <v>4012135040.23</v>
      </c>
      <c r="L232" s="13">
        <f t="shared" ref="L232:L235" si="150">(K232/$K$236)</f>
        <v>0.21547830104047425</v>
      </c>
      <c r="M232" s="13">
        <f t="shared" ref="M232:M235" si="151">((K232-I232)/I232)</f>
        <v>-1.9535304787081809E-2</v>
      </c>
      <c r="N232" s="20">
        <f t="shared" ref="N232:N235" si="152">(G232/K232)</f>
        <v>1.9927730771349267E-3</v>
      </c>
      <c r="O232" s="21">
        <f t="shared" ref="O232:O235" si="153">H232/K232</f>
        <v>1.6728313508149639E-2</v>
      </c>
      <c r="P232" s="22">
        <f t="shared" ref="P232:P235" si="154">K232/V232</f>
        <v>120.90133674740547</v>
      </c>
      <c r="Q232" s="22">
        <f t="shared" ref="Q232:Q235" si="155">H232/V232</f>
        <v>2.0224754646649714</v>
      </c>
      <c r="R232" s="10">
        <v>123.3</v>
      </c>
      <c r="S232" s="10">
        <v>123.3</v>
      </c>
      <c r="T232" s="10">
        <v>9</v>
      </c>
      <c r="U232" s="10">
        <v>33185200</v>
      </c>
      <c r="V232" s="10">
        <v>33185200</v>
      </c>
    </row>
    <row r="233" spans="1:22" s="6" customFormat="1" ht="15" customHeight="1">
      <c r="A233" s="96">
        <v>3</v>
      </c>
      <c r="B233" s="25" t="s">
        <v>286</v>
      </c>
      <c r="C233" s="25" t="s">
        <v>135</v>
      </c>
      <c r="D233" s="16">
        <v>664544079.28999996</v>
      </c>
      <c r="E233" s="16">
        <v>3638846.33</v>
      </c>
      <c r="F233" s="16">
        <v>7298439.75</v>
      </c>
      <c r="G233" s="16">
        <v>639848.31000000006</v>
      </c>
      <c r="H233" s="17">
        <f>(E233+F233)-G233</f>
        <v>10297437.77</v>
      </c>
      <c r="I233" s="10">
        <v>572434162.01999998</v>
      </c>
      <c r="J233" s="13">
        <f t="shared" si="149"/>
        <v>3.0855139448615232E-2</v>
      </c>
      <c r="K233" s="10">
        <v>663348600.14999998</v>
      </c>
      <c r="L233" s="13">
        <f t="shared" si="150"/>
        <v>3.5626225918284356E-2</v>
      </c>
      <c r="M233" s="13">
        <f t="shared" si="151"/>
        <v>0.15882077653992913</v>
      </c>
      <c r="N233" s="20">
        <f t="shared" si="152"/>
        <v>9.6457324226705856E-4</v>
      </c>
      <c r="O233" s="21">
        <f t="shared" si="153"/>
        <v>1.5523418256511715E-2</v>
      </c>
      <c r="P233" s="22">
        <f t="shared" si="154"/>
        <v>159042.83991627666</v>
      </c>
      <c r="Q233" s="22">
        <f t="shared" si="155"/>
        <v>2468.888524723799</v>
      </c>
      <c r="R233" s="10">
        <f>109.87*FX_RATE</f>
        <v>158953.554527</v>
      </c>
      <c r="S233" s="10">
        <f>109.87*FX_RATE</f>
        <v>158953.554527</v>
      </c>
      <c r="T233" s="10">
        <v>4</v>
      </c>
      <c r="U233" s="10">
        <v>3709.97</v>
      </c>
      <c r="V233" s="10">
        <v>4170.88</v>
      </c>
    </row>
    <row r="234" spans="1:22" ht="15" customHeight="1">
      <c r="A234" s="96">
        <v>4</v>
      </c>
      <c r="B234" s="25" t="s">
        <v>287</v>
      </c>
      <c r="C234" s="25" t="s">
        <v>288</v>
      </c>
      <c r="D234" s="16">
        <v>11683528905.76</v>
      </c>
      <c r="E234" s="16">
        <v>214665189.46000001</v>
      </c>
      <c r="F234" s="104">
        <v>0</v>
      </c>
      <c r="G234" s="16">
        <v>23168732.649999999</v>
      </c>
      <c r="H234" s="17">
        <f>(E234+F234)-G234</f>
        <v>191496456.81</v>
      </c>
      <c r="I234" s="10">
        <v>11940821773.620001</v>
      </c>
      <c r="J234" s="13">
        <f t="shared" si="149"/>
        <v>0.64362986243863207</v>
      </c>
      <c r="K234" s="10">
        <v>11940821773.620001</v>
      </c>
      <c r="L234" s="13">
        <f t="shared" si="150"/>
        <v>0.64130144250060961</v>
      </c>
      <c r="M234" s="13">
        <f t="shared" si="151"/>
        <v>0</v>
      </c>
      <c r="N234" s="20">
        <f t="shared" si="152"/>
        <v>1.9402963287824138E-3</v>
      </c>
      <c r="O234" s="21">
        <f t="shared" si="153"/>
        <v>1.6037125454217847E-2</v>
      </c>
      <c r="P234" s="22">
        <f t="shared" si="154"/>
        <v>1.1448534778159156</v>
      </c>
      <c r="Q234" s="22">
        <f t="shared" si="155"/>
        <v>1.8360158850431449E-2</v>
      </c>
      <c r="R234" s="10">
        <v>1.1100000000000001</v>
      </c>
      <c r="S234" s="10">
        <v>1.1100000000000001</v>
      </c>
      <c r="T234" s="10">
        <v>16</v>
      </c>
      <c r="U234" s="10">
        <v>10430000000</v>
      </c>
      <c r="V234" s="10">
        <v>10430000000</v>
      </c>
    </row>
    <row r="235" spans="1:22" ht="15" customHeight="1">
      <c r="A235" s="96">
        <v>5</v>
      </c>
      <c r="B235" s="25" t="s">
        <v>289</v>
      </c>
      <c r="C235" s="25" t="s">
        <v>50</v>
      </c>
      <c r="D235" s="17">
        <v>166701024</v>
      </c>
      <c r="E235" s="16">
        <v>2270721</v>
      </c>
      <c r="F235" s="16">
        <v>2965849</v>
      </c>
      <c r="G235" s="16">
        <v>572450</v>
      </c>
      <c r="H235" s="17">
        <f>(E235+F235)-G235</f>
        <v>4664120</v>
      </c>
      <c r="I235" s="10">
        <v>168204852.30547944</v>
      </c>
      <c r="J235" s="13">
        <f t="shared" si="149"/>
        <v>9.0665171965015733E-3</v>
      </c>
      <c r="K235" s="10">
        <v>166939009</v>
      </c>
      <c r="L235" s="13">
        <f t="shared" si="150"/>
        <v>8.9657336246185583E-3</v>
      </c>
      <c r="M235" s="13">
        <f t="shared" si="151"/>
        <v>-7.5256051661370593E-3</v>
      </c>
      <c r="N235" s="20">
        <f t="shared" si="152"/>
        <v>3.4290966708685807E-3</v>
      </c>
      <c r="O235" s="21">
        <f t="shared" si="153"/>
        <v>2.7939066057352718E-2</v>
      </c>
      <c r="P235" s="22">
        <f t="shared" si="154"/>
        <v>1.0986048683023044</v>
      </c>
      <c r="Q235" s="22">
        <f t="shared" si="155"/>
        <v>3.069399398642737E-2</v>
      </c>
      <c r="R235" s="10">
        <v>1.1000000000000001</v>
      </c>
      <c r="S235" s="10">
        <v>1.1000000000000001</v>
      </c>
      <c r="T235" s="10">
        <v>15</v>
      </c>
      <c r="U235" s="10">
        <v>151955461</v>
      </c>
      <c r="V235" s="10">
        <v>151955460.80000001</v>
      </c>
    </row>
    <row r="236" spans="1:22" ht="15" customHeight="1">
      <c r="A236" s="106" t="s">
        <v>51</v>
      </c>
      <c r="B236" s="106"/>
      <c r="C236" s="106"/>
      <c r="D236" s="106"/>
      <c r="E236" s="106"/>
      <c r="F236" s="106"/>
      <c r="G236" s="106"/>
      <c r="H236" s="106"/>
      <c r="I236" s="80">
        <f>SUM(I231:I235)</f>
        <v>18552311616.458782</v>
      </c>
      <c r="J236" s="81">
        <f>(I236/$I$237)</f>
        <v>2.5654138984507373E-3</v>
      </c>
      <c r="K236" s="80">
        <f>SUM(K231:K235)</f>
        <v>18619670847.861301</v>
      </c>
      <c r="L236" s="35">
        <f>(K236/$K$237)</f>
        <v>2.5256578226698413E-3</v>
      </c>
      <c r="M236" s="61"/>
      <c r="N236" s="62"/>
      <c r="O236" s="62"/>
      <c r="P236" s="63"/>
      <c r="Q236" s="63"/>
      <c r="R236" s="37"/>
      <c r="S236" s="37"/>
      <c r="T236" s="37">
        <f>SUM(T231:T235)</f>
        <v>93</v>
      </c>
      <c r="U236" s="37"/>
      <c r="V236" s="37"/>
    </row>
    <row r="237" spans="1:22" ht="15.6" customHeight="1">
      <c r="A237" s="107" t="s">
        <v>198</v>
      </c>
      <c r="B237" s="107"/>
      <c r="C237" s="107"/>
      <c r="D237" s="107"/>
      <c r="E237" s="107"/>
      <c r="F237" s="107"/>
      <c r="G237" s="107"/>
      <c r="H237" s="107"/>
      <c r="I237" s="73">
        <f>I228+I236</f>
        <v>7231703089962.4385</v>
      </c>
      <c r="J237" s="72"/>
      <c r="K237" s="73">
        <f>K228+K236</f>
        <v>7372206433007.0967</v>
      </c>
      <c r="L237" s="72"/>
      <c r="M237" s="72"/>
      <c r="N237" s="72"/>
      <c r="O237" s="72"/>
      <c r="P237" s="72"/>
      <c r="Q237" s="72"/>
      <c r="R237" s="74"/>
      <c r="S237" s="74"/>
      <c r="T237" s="73">
        <f>T228+T236</f>
        <v>1016558</v>
      </c>
      <c r="U237" s="74"/>
      <c r="V237" s="74"/>
    </row>
    <row r="238" spans="1:22" ht="4.95" customHeight="1">
      <c r="A238" s="57"/>
      <c r="B238" s="14"/>
      <c r="C238" s="14"/>
      <c r="D238" s="6"/>
      <c r="E238" s="6"/>
      <c r="F238" s="6"/>
      <c r="G238" s="6"/>
      <c r="H238" s="7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>
      <c r="A239" s="103" t="s">
        <v>199</v>
      </c>
      <c r="B239" s="43" t="s">
        <v>319</v>
      </c>
      <c r="C239" s="60">
        <v>1446.7420999999999</v>
      </c>
      <c r="D239" s="82"/>
      <c r="E239" s="6"/>
      <c r="F239" s="6"/>
      <c r="G239" s="6"/>
      <c r="H239" s="7"/>
      <c r="I239" s="8"/>
      <c r="J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9"/>
    </row>
  </sheetData>
  <sheetProtection algorithmName="SHA-512" hashValue="XBUMu8Bez00z+RH4Ohnt8G1NAroRJrZ7Us0Es6ZbmpiRoOGm8iavYmrAbN/4QdYrIJeT+O2fOdei9pWn27z8tg==" saltValue="KTzSsXkiHt5OPKNjwdy4hw==" spinCount="100000" sheet="1" objects="1" scenarios="1"/>
  <mergeCells count="36">
    <mergeCell ref="A196:V196"/>
    <mergeCell ref="A199:H199"/>
    <mergeCell ref="A227:H227"/>
    <mergeCell ref="A228:H228"/>
    <mergeCell ref="A200:V200"/>
    <mergeCell ref="A201:V201"/>
    <mergeCell ref="A202:V202"/>
    <mergeCell ref="A205:V205"/>
    <mergeCell ref="A206:V206"/>
    <mergeCell ref="A222:V222"/>
    <mergeCell ref="A162:H162"/>
    <mergeCell ref="A163:V163"/>
    <mergeCell ref="A164:V164"/>
    <mergeCell ref="A194:H194"/>
    <mergeCell ref="A195:V195"/>
    <mergeCell ref="A132:V132"/>
    <mergeCell ref="A133:V133"/>
    <mergeCell ref="A153:H153"/>
    <mergeCell ref="A154:V154"/>
    <mergeCell ref="A155:V155"/>
    <mergeCell ref="A236:H236"/>
    <mergeCell ref="A237:H237"/>
    <mergeCell ref="A230:V230"/>
    <mergeCell ref="A1:V1"/>
    <mergeCell ref="A3:V3"/>
    <mergeCell ref="A4:V4"/>
    <mergeCell ref="A24:H24"/>
    <mergeCell ref="A25:V25"/>
    <mergeCell ref="A26:V26"/>
    <mergeCell ref="A69:H69"/>
    <mergeCell ref="A70:V70"/>
    <mergeCell ref="A71:V71"/>
    <mergeCell ref="A111:H111"/>
    <mergeCell ref="A112:V112"/>
    <mergeCell ref="A113:V113"/>
    <mergeCell ref="A114:V114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4 J69 J111 J153 J162 J194 J199 J227 J2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J9" sqref="J9"/>
    </sheetView>
  </sheetViews>
  <sheetFormatPr defaultColWidth="9" defaultRowHeight="14.4"/>
  <cols>
    <col min="1" max="1" width="34" customWidth="1"/>
    <col min="2" max="2" width="11" customWidth="1"/>
    <col min="3" max="3" width="11.5546875" customWidth="1"/>
  </cols>
  <sheetData>
    <row r="1" spans="1:5">
      <c r="A1" s="137"/>
      <c r="B1" s="137"/>
      <c r="C1" s="137"/>
      <c r="D1" s="137"/>
      <c r="E1" s="2"/>
    </row>
    <row r="2" spans="1:5">
      <c r="A2" s="137"/>
      <c r="B2" s="137"/>
      <c r="C2" s="137"/>
      <c r="D2" s="137"/>
      <c r="E2" s="2"/>
    </row>
    <row r="3" spans="1:5">
      <c r="A3" s="145"/>
      <c r="B3" s="145"/>
      <c r="C3" s="145"/>
      <c r="D3" s="137"/>
      <c r="E3" s="2"/>
    </row>
    <row r="4" spans="1:5" ht="33" customHeight="1">
      <c r="A4" s="146" t="s">
        <v>200</v>
      </c>
      <c r="B4" s="147" t="s">
        <v>321</v>
      </c>
      <c r="C4" s="147" t="s">
        <v>322</v>
      </c>
      <c r="D4" s="137"/>
      <c r="E4" s="2"/>
    </row>
    <row r="5" spans="1:5" ht="19.05" customHeight="1">
      <c r="A5" s="148" t="s">
        <v>20</v>
      </c>
      <c r="B5" s="149">
        <v>80.026944757741362</v>
      </c>
      <c r="C5" s="150">
        <f>November!K24/1000000000</f>
        <v>76.687557108239986</v>
      </c>
      <c r="D5" s="137"/>
      <c r="E5" s="2"/>
    </row>
    <row r="6" spans="1:5">
      <c r="A6" s="146" t="s">
        <v>52</v>
      </c>
      <c r="B6" s="151">
        <v>4358.4102246460734</v>
      </c>
      <c r="C6" s="150">
        <f>November!K69/1000000000</f>
        <v>4485.8453789347277</v>
      </c>
      <c r="D6" s="137"/>
      <c r="E6" s="2"/>
    </row>
    <row r="7" spans="1:5">
      <c r="A7" s="146" t="s">
        <v>201</v>
      </c>
      <c r="B7" s="149">
        <v>241.31955482041843</v>
      </c>
      <c r="C7" s="150">
        <f>November!K111/1000000000</f>
        <v>241.37287576415</v>
      </c>
      <c r="D7" s="137"/>
      <c r="E7" s="2"/>
    </row>
    <row r="8" spans="1:5">
      <c r="A8" s="146" t="s">
        <v>202</v>
      </c>
      <c r="B8" s="151">
        <v>1893.5907993101837</v>
      </c>
      <c r="C8" s="150">
        <f>November!K153/1000000000</f>
        <v>1903.5428744500064</v>
      </c>
      <c r="D8" s="137"/>
      <c r="E8" s="2"/>
    </row>
    <row r="9" spans="1:5">
      <c r="A9" s="146" t="s">
        <v>203</v>
      </c>
      <c r="B9" s="149">
        <v>478.51150703533</v>
      </c>
      <c r="C9" s="150">
        <f>November!K162/1000000000</f>
        <v>483.18103508065002</v>
      </c>
      <c r="D9" s="137"/>
      <c r="E9" s="2"/>
    </row>
    <row r="10" spans="1:5">
      <c r="A10" s="146" t="s">
        <v>160</v>
      </c>
      <c r="B10" s="149">
        <v>81.002610176752384</v>
      </c>
      <c r="C10" s="150">
        <f>November!K194/1000000000</f>
        <v>80.407918513799999</v>
      </c>
      <c r="D10" s="137"/>
      <c r="E10" s="2"/>
    </row>
    <row r="11" spans="1:5">
      <c r="A11" s="146" t="s">
        <v>183</v>
      </c>
      <c r="B11" s="149">
        <v>8.5904539153500004</v>
      </c>
      <c r="C11" s="150">
        <f>November!K199/1000000000</f>
        <v>8.1305151032299996</v>
      </c>
      <c r="D11" s="137"/>
      <c r="E11" s="2"/>
    </row>
    <row r="12" spans="1:5">
      <c r="A12" s="146" t="s">
        <v>204</v>
      </c>
      <c r="B12" s="149">
        <v>71.698683684129989</v>
      </c>
      <c r="C12" s="150">
        <f>November!K227/1000000000</f>
        <v>74.418607204430003</v>
      </c>
      <c r="D12" s="137"/>
      <c r="E12" s="2"/>
    </row>
    <row r="13" spans="1:5">
      <c r="A13" s="152" t="s">
        <v>282</v>
      </c>
      <c r="B13" s="149">
        <v>18.55231161645878</v>
      </c>
      <c r="C13" s="149">
        <f>November!K236/1000000000</f>
        <v>18.6196708478613</v>
      </c>
      <c r="D13" s="137"/>
      <c r="E13" s="2"/>
    </row>
    <row r="14" spans="1:5">
      <c r="A14" s="145"/>
      <c r="B14" s="145"/>
      <c r="C14" s="145"/>
      <c r="D14" s="137"/>
      <c r="E14" s="2"/>
    </row>
    <row r="15" spans="1:5">
      <c r="A15" s="145"/>
      <c r="B15" s="145"/>
      <c r="C15" s="145"/>
      <c r="D15" s="137"/>
      <c r="E15" s="2"/>
    </row>
    <row r="16" spans="1:5">
      <c r="A16" s="145"/>
      <c r="B16" s="153"/>
      <c r="C16" s="145"/>
      <c r="D16" s="137"/>
      <c r="E16" s="2"/>
    </row>
    <row r="17" spans="1:5">
      <c r="A17" s="154"/>
      <c r="B17" s="155"/>
      <c r="C17" s="156"/>
      <c r="D17" s="137"/>
      <c r="E17" s="2"/>
    </row>
    <row r="18" spans="1:5" ht="15.6">
      <c r="A18" s="67"/>
      <c r="B18" s="49"/>
      <c r="C18" s="50"/>
      <c r="D18" s="2"/>
      <c r="E18" s="2"/>
    </row>
    <row r="19" spans="1:5">
      <c r="A19" s="51"/>
      <c r="B19" s="48"/>
      <c r="C19" s="52"/>
      <c r="D19" s="2"/>
      <c r="E19" s="2"/>
    </row>
    <row r="20" spans="1:5">
      <c r="A20" s="51"/>
      <c r="B20" s="49"/>
      <c r="C20" s="50"/>
      <c r="D20" s="2"/>
      <c r="E20" s="2"/>
    </row>
    <row r="21" spans="1:5">
      <c r="A21" s="51"/>
      <c r="B21" s="48"/>
      <c r="C21" s="52"/>
      <c r="D21" s="2"/>
      <c r="E21" s="2"/>
    </row>
    <row r="22" spans="1:5">
      <c r="A22" s="51"/>
      <c r="B22" s="53"/>
      <c r="C22" s="54"/>
      <c r="D22" s="2"/>
      <c r="E22" s="2"/>
    </row>
    <row r="23" spans="1:5">
      <c r="A23" s="51"/>
      <c r="B23" s="48"/>
      <c r="C23" s="52"/>
      <c r="D23" s="2"/>
      <c r="E23" s="2"/>
    </row>
    <row r="24" spans="1:5">
      <c r="A24" s="51"/>
      <c r="B24" s="48"/>
      <c r="C24" s="47"/>
      <c r="D24" s="2"/>
      <c r="E24" s="2"/>
    </row>
    <row r="25" spans="1:5">
      <c r="A25" s="51"/>
      <c r="B25" s="48"/>
      <c r="C25" s="48"/>
      <c r="D25" s="2"/>
      <c r="E25" s="2"/>
    </row>
    <row r="26" spans="1:5">
      <c r="A26" s="51"/>
      <c r="B26" s="48"/>
      <c r="C26" s="48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</sheetData>
  <sheetProtection algorithmName="SHA-512" hashValue="EGynT/HEYtEkNxK1dgtbBElDS2MVnh2gl6bUH+bbEoyrpw0sfEIHGmZPwAh4mo0yXelgMR5zp5Se7HXnH1RxHA==" saltValue="T/yxWvFS6X/VjqFyr51im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>
      <selection activeCell="K12" sqref="K12"/>
    </sheetView>
  </sheetViews>
  <sheetFormatPr defaultColWidth="9" defaultRowHeight="14.4"/>
  <cols>
    <col min="1" max="1" width="26.77734375" customWidth="1"/>
    <col min="2" max="2" width="21.21875" customWidth="1"/>
  </cols>
  <sheetData>
    <row r="1" spans="1:6">
      <c r="A1" s="135" t="s">
        <v>200</v>
      </c>
      <c r="B1" s="136" t="s">
        <v>322</v>
      </c>
      <c r="C1" s="137"/>
      <c r="D1" s="137"/>
      <c r="E1" s="2"/>
      <c r="F1" s="2"/>
    </row>
    <row r="2" spans="1:6">
      <c r="A2" s="135" t="s">
        <v>183</v>
      </c>
      <c r="B2" s="138">
        <f>November!K199</f>
        <v>8130515103.2299995</v>
      </c>
      <c r="C2" s="137"/>
      <c r="D2" s="137"/>
      <c r="E2" s="2"/>
      <c r="F2" s="2"/>
    </row>
    <row r="3" spans="1:6">
      <c r="A3" s="135" t="s">
        <v>282</v>
      </c>
      <c r="B3" s="138">
        <f>November!K236</f>
        <v>18619670847.861301</v>
      </c>
      <c r="C3" s="137"/>
      <c r="D3" s="137"/>
      <c r="E3" s="2"/>
      <c r="F3" s="2"/>
    </row>
    <row r="4" spans="1:6">
      <c r="A4" s="135" t="s">
        <v>204</v>
      </c>
      <c r="B4" s="139">
        <f>November!K227</f>
        <v>74418607204.430008</v>
      </c>
      <c r="C4" s="137"/>
      <c r="D4" s="137"/>
      <c r="E4" s="2"/>
      <c r="F4" s="2"/>
    </row>
    <row r="5" spans="1:6">
      <c r="A5" s="135" t="s">
        <v>20</v>
      </c>
      <c r="B5" s="140">
        <f>November!K24</f>
        <v>76687557108.23999</v>
      </c>
      <c r="C5" s="137"/>
      <c r="D5" s="137"/>
      <c r="E5" s="2"/>
      <c r="F5" s="2"/>
    </row>
    <row r="6" spans="1:6">
      <c r="A6" s="135" t="s">
        <v>160</v>
      </c>
      <c r="B6" s="140">
        <f>November!K194</f>
        <v>80407918513.800003</v>
      </c>
      <c r="C6" s="137"/>
      <c r="D6" s="137"/>
      <c r="E6" s="2"/>
      <c r="F6" s="2"/>
    </row>
    <row r="7" spans="1:6">
      <c r="A7" s="135" t="s">
        <v>201</v>
      </c>
      <c r="B7" s="141">
        <f>November!K111</f>
        <v>241372875764.14999</v>
      </c>
      <c r="C7" s="137"/>
      <c r="D7" s="137"/>
      <c r="E7" s="2"/>
      <c r="F7" s="2"/>
    </row>
    <row r="8" spans="1:6">
      <c r="A8" s="135" t="s">
        <v>203</v>
      </c>
      <c r="B8" s="141">
        <f>November!K162</f>
        <v>483181035080.65002</v>
      </c>
      <c r="C8" s="137"/>
      <c r="D8" s="137"/>
      <c r="E8" s="2"/>
      <c r="F8" s="2"/>
    </row>
    <row r="9" spans="1:6">
      <c r="A9" s="135" t="s">
        <v>202</v>
      </c>
      <c r="B9" s="140">
        <f>November!K153</f>
        <v>1903542874450.0063</v>
      </c>
      <c r="C9" s="137"/>
      <c r="D9" s="137"/>
      <c r="E9" s="2"/>
      <c r="F9" s="2"/>
    </row>
    <row r="10" spans="1:6">
      <c r="A10" s="135" t="s">
        <v>52</v>
      </c>
      <c r="B10" s="140">
        <f>November!K69</f>
        <v>4485845378934.7275</v>
      </c>
      <c r="C10" s="137"/>
      <c r="D10" s="137"/>
      <c r="E10" s="2"/>
      <c r="F10" s="2"/>
    </row>
    <row r="11" spans="1:6">
      <c r="A11" s="137"/>
      <c r="B11" s="137"/>
      <c r="C11" s="137"/>
      <c r="D11" s="137"/>
      <c r="E11" s="2"/>
      <c r="F11" s="2"/>
    </row>
    <row r="12" spans="1:6">
      <c r="A12" s="142"/>
      <c r="B12" s="137"/>
      <c r="C12" s="137"/>
      <c r="D12" s="137"/>
      <c r="E12" s="2"/>
      <c r="F12" s="2"/>
    </row>
    <row r="13" spans="1:6">
      <c r="A13" s="143"/>
      <c r="B13" s="137"/>
      <c r="C13" s="137"/>
      <c r="D13" s="137"/>
      <c r="E13" s="2"/>
      <c r="F13" s="2"/>
    </row>
    <row r="14" spans="1:6" ht="15" customHeight="1">
      <c r="A14" s="137"/>
      <c r="B14" s="144"/>
      <c r="C14" s="137"/>
      <c r="D14" s="137"/>
      <c r="E14" s="2"/>
      <c r="F14" s="2"/>
    </row>
    <row r="15" spans="1:6">
      <c r="A15" s="137"/>
      <c r="B15" s="144"/>
      <c r="C15" s="137"/>
      <c r="D15" s="137"/>
      <c r="E15" s="2"/>
      <c r="F15" s="2"/>
    </row>
    <row r="16" spans="1:6">
      <c r="A16" s="69"/>
      <c r="B16" s="68"/>
      <c r="C16" s="2"/>
      <c r="D16" s="2"/>
      <c r="E16" s="2"/>
      <c r="F16" s="2"/>
    </row>
    <row r="17" spans="1:6">
      <c r="A17" s="70"/>
      <c r="B17" s="68"/>
      <c r="C17" s="2"/>
      <c r="D17" s="2"/>
      <c r="E17" s="2"/>
      <c r="F17" s="2"/>
    </row>
    <row r="18" spans="1:6">
      <c r="A18" s="70"/>
      <c r="B18" s="68"/>
      <c r="C18" s="2"/>
      <c r="D18" s="2"/>
      <c r="E18" s="2"/>
      <c r="F18" s="2"/>
    </row>
    <row r="19" spans="1:6">
      <c r="A19" s="69"/>
      <c r="B19" s="68"/>
      <c r="C19" s="2"/>
      <c r="D19" s="2"/>
      <c r="E19" s="2"/>
      <c r="F19" s="2"/>
    </row>
    <row r="20" spans="1:6">
      <c r="A20" s="23"/>
      <c r="B20" s="68"/>
      <c r="C20" s="2"/>
      <c r="D20" s="2"/>
      <c r="E20" s="2"/>
      <c r="F20" s="2"/>
    </row>
    <row r="21" spans="1:6">
      <c r="A21" s="71"/>
      <c r="B21" s="68"/>
      <c r="C21" s="2"/>
      <c r="D21" s="2"/>
      <c r="E21" s="2"/>
      <c r="F21" s="2"/>
    </row>
    <row r="22" spans="1:6">
      <c r="A22" s="51"/>
      <c r="B22" s="102"/>
      <c r="C22" s="2"/>
      <c r="D22" s="2"/>
      <c r="E22" s="2"/>
      <c r="F22" s="2"/>
    </row>
    <row r="23" spans="1:6">
      <c r="A23" s="2"/>
      <c r="B23" s="49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/>
      <c r="C26" s="2"/>
      <c r="D26" s="2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</row>
    <row r="33" spans="1:17" ht="16.05" customHeight="1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"/>
    </row>
    <row r="34" spans="1:17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"/>
    </row>
  </sheetData>
  <sheetProtection algorithmName="SHA-512" hashValue="7S2DQ8HRZMB8LTcrlchD/8Vj8uHZCLNcRoYGo9DC5+m5iqU8ydz8thRM6RsxBuyckQBZ0q/RCkbzmFpR64Jlaw==" saltValue="SsUeClzETc7fIStRuRlT+Q==" spinCount="100000" sheet="1" objects="1" scenarios="1"/>
  <sortState ref="A13:A19">
    <sortCondition ref="A12:A1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G8" sqref="G8"/>
    </sheetView>
  </sheetViews>
  <sheetFormatPr defaultColWidth="9" defaultRowHeight="14.4"/>
  <cols>
    <col min="1" max="1" width="34.77734375" customWidth="1"/>
    <col min="2" max="2" width="15" customWidth="1"/>
  </cols>
  <sheetData>
    <row r="1" spans="1:5">
      <c r="A1" s="2"/>
      <c r="B1" s="2"/>
      <c r="C1" s="2"/>
      <c r="D1" s="2"/>
      <c r="E1" s="2"/>
    </row>
    <row r="2" spans="1:5">
      <c r="A2" s="128"/>
      <c r="B2" s="128"/>
      <c r="C2" s="128"/>
      <c r="D2" s="128"/>
      <c r="E2" s="2"/>
    </row>
    <row r="3" spans="1:5">
      <c r="A3" s="128"/>
      <c r="B3" s="128"/>
      <c r="C3" s="128"/>
      <c r="D3" s="128"/>
      <c r="E3" s="2"/>
    </row>
    <row r="4" spans="1:5">
      <c r="A4" s="128"/>
      <c r="B4" s="128"/>
      <c r="C4" s="128"/>
      <c r="D4" s="128"/>
      <c r="E4" s="2"/>
    </row>
    <row r="5" spans="1:5" ht="15.6">
      <c r="A5" s="129" t="s">
        <v>200</v>
      </c>
      <c r="B5" s="130" t="s">
        <v>205</v>
      </c>
      <c r="C5" s="128"/>
      <c r="D5" s="128"/>
      <c r="E5" s="2"/>
    </row>
    <row r="6" spans="1:5">
      <c r="A6" s="131" t="s">
        <v>20</v>
      </c>
      <c r="B6" s="132">
        <f>November!T24</f>
        <v>62717</v>
      </c>
      <c r="C6" s="128"/>
      <c r="D6" s="128"/>
      <c r="E6" s="2"/>
    </row>
    <row r="7" spans="1:5">
      <c r="A7" s="131" t="s">
        <v>52</v>
      </c>
      <c r="B7" s="132">
        <f>November!T69</f>
        <v>529020</v>
      </c>
      <c r="C7" s="128"/>
      <c r="D7" s="128"/>
      <c r="E7" s="2"/>
    </row>
    <row r="8" spans="1:5">
      <c r="A8" s="131" t="s">
        <v>201</v>
      </c>
      <c r="B8" s="132">
        <f>November!T111</f>
        <v>51484</v>
      </c>
      <c r="C8" s="128"/>
      <c r="D8" s="128"/>
      <c r="E8" s="2"/>
    </row>
    <row r="9" spans="1:5">
      <c r="A9" s="131" t="s">
        <v>202</v>
      </c>
      <c r="B9" s="132">
        <f>November!T153</f>
        <v>24890</v>
      </c>
      <c r="C9" s="128"/>
      <c r="D9" s="128"/>
      <c r="E9" s="2"/>
    </row>
    <row r="10" spans="1:5">
      <c r="A10" s="131" t="s">
        <v>203</v>
      </c>
      <c r="B10" s="132">
        <f>November!T162</f>
        <v>221839</v>
      </c>
      <c r="C10" s="128"/>
      <c r="D10" s="128"/>
      <c r="E10" s="2"/>
    </row>
    <row r="11" spans="1:5">
      <c r="A11" s="131" t="s">
        <v>160</v>
      </c>
      <c r="B11" s="132">
        <f>November!T194</f>
        <v>75297</v>
      </c>
      <c r="C11" s="128"/>
      <c r="D11" s="128"/>
      <c r="E11" s="2"/>
    </row>
    <row r="12" spans="1:5">
      <c r="A12" s="131" t="s">
        <v>183</v>
      </c>
      <c r="B12" s="132">
        <f>November!T199</f>
        <v>13062</v>
      </c>
      <c r="C12" s="128"/>
      <c r="D12" s="128"/>
      <c r="E12" s="2"/>
    </row>
    <row r="13" spans="1:5">
      <c r="A13" s="131" t="s">
        <v>204</v>
      </c>
      <c r="B13" s="132">
        <f>November!T227</f>
        <v>38156</v>
      </c>
      <c r="C13" s="128"/>
      <c r="D13" s="128"/>
      <c r="E13" s="2"/>
    </row>
    <row r="14" spans="1:5">
      <c r="A14" s="133" t="s">
        <v>282</v>
      </c>
      <c r="B14" s="134">
        <f>November!T236</f>
        <v>93</v>
      </c>
      <c r="C14" s="128"/>
      <c r="D14" s="128"/>
      <c r="E14" s="2"/>
    </row>
    <row r="15" spans="1:5">
      <c r="A15" s="128"/>
      <c r="B15" s="128"/>
      <c r="C15" s="128"/>
      <c r="D15" s="128"/>
      <c r="E15" s="2"/>
    </row>
    <row r="16" spans="1:5">
      <c r="A16" s="128"/>
      <c r="B16" s="128"/>
      <c r="C16" s="128"/>
      <c r="D16" s="128"/>
      <c r="E16" s="2"/>
    </row>
    <row r="17" spans="1:5">
      <c r="A17" s="128"/>
      <c r="B17" s="128"/>
      <c r="C17" s="128"/>
      <c r="D17" s="128"/>
      <c r="E17" s="2"/>
    </row>
    <row r="18" spans="1:5">
      <c r="A18" s="128"/>
      <c r="B18" s="128"/>
      <c r="C18" s="128"/>
      <c r="D18" s="128"/>
      <c r="E18" s="2"/>
    </row>
    <row r="19" spans="1:5">
      <c r="A19" s="128"/>
      <c r="B19" s="128"/>
      <c r="C19" s="128"/>
      <c r="D19" s="128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</sheetData>
  <sheetProtection algorithmName="SHA-512" hashValue="920LRHlIfcXxWi1OWMdxU8vQgjt8YnECnGC33FsWwWnAdxOqWfeWDVz6Od7RizpKAom1EuPxYg0yFHbw58w4ng==" saltValue="EH6XGMeRxh5zGgW91S0+4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November</vt:lpstr>
      <vt:lpstr>NAV Comparison</vt:lpstr>
      <vt:lpstr>Market Share</vt:lpstr>
      <vt:lpstr>Unitholders</vt:lpstr>
      <vt:lpstr>November!_Hlk34300669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2025-09-10T13:51:24Z</cp:lastPrinted>
  <dcterms:created xsi:type="dcterms:W3CDTF">2023-10-09T09:40:00Z</dcterms:created>
  <dcterms:modified xsi:type="dcterms:W3CDTF">2026-02-24T12:32:24Z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