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Valuation'!$W$139</definedName>
    <definedName name="NFEM_RATE" localSheetId="0">'Weekly Valuation'!$W$139</definedName>
  </definedNames>
  <calcPr calcId="162913"/>
</workbook>
</file>

<file path=xl/calcChain.xml><?xml version="1.0" encoding="utf-8"?>
<calcChain xmlns="http://schemas.openxmlformats.org/spreadsheetml/2006/main">
  <c r="R32" i="1" l="1"/>
  <c r="S32" i="1"/>
  <c r="T32" i="1"/>
  <c r="U32" i="1"/>
  <c r="V32" i="1"/>
  <c r="K158" i="1"/>
  <c r="N127" i="1" l="1"/>
  <c r="M127" i="1"/>
  <c r="K127" i="1"/>
  <c r="N143" i="1"/>
  <c r="M143" i="1"/>
  <c r="K143" i="1"/>
  <c r="K125" i="1"/>
  <c r="K141" i="1" l="1"/>
  <c r="N139" i="1"/>
  <c r="M139" i="1"/>
  <c r="K139" i="1"/>
  <c r="N124" i="1"/>
  <c r="M124" i="1"/>
  <c r="K124" i="1"/>
  <c r="K157" i="1"/>
  <c r="N153" i="1"/>
  <c r="M153" i="1"/>
  <c r="K153" i="1"/>
  <c r="N151" i="1"/>
  <c r="M151" i="1"/>
  <c r="K151" i="1"/>
  <c r="N121" i="1"/>
  <c r="M121" i="1"/>
  <c r="K121" i="1"/>
  <c r="N140" i="1"/>
  <c r="M140" i="1"/>
  <c r="K140" i="1"/>
  <c r="N135" i="1"/>
  <c r="M135" i="1"/>
  <c r="K135" i="1"/>
  <c r="N148" i="1"/>
  <c r="M148" i="1"/>
  <c r="K148" i="1"/>
  <c r="K147" i="1"/>
  <c r="M149" i="1"/>
  <c r="N154" i="1" l="1"/>
  <c r="M154" i="1"/>
  <c r="K154" i="1"/>
  <c r="N136" i="1"/>
  <c r="M136" i="1"/>
  <c r="K136" i="1"/>
  <c r="K133" i="1"/>
  <c r="N155" i="1"/>
  <c r="M155" i="1"/>
  <c r="K155" i="1"/>
  <c r="N239" i="1"/>
  <c r="M239" i="1"/>
  <c r="K239" i="1"/>
  <c r="N130" i="1"/>
  <c r="M130" i="1"/>
  <c r="K130" i="1"/>
  <c r="N129" i="1"/>
  <c r="M129" i="1"/>
  <c r="K129" i="1"/>
  <c r="N134" i="1"/>
  <c r="M134" i="1"/>
  <c r="K134" i="1"/>
  <c r="N126" i="1"/>
  <c r="M126" i="1"/>
  <c r="K126" i="1"/>
  <c r="N132" i="1"/>
  <c r="M132" i="1"/>
  <c r="K132" i="1"/>
  <c r="N150" i="1"/>
  <c r="M150" i="1"/>
  <c r="K150" i="1"/>
  <c r="N156" i="1"/>
  <c r="M156" i="1"/>
  <c r="K156" i="1"/>
  <c r="N237" i="1"/>
  <c r="M237" i="1"/>
  <c r="K237" i="1"/>
  <c r="N123" i="1"/>
  <c r="M123" i="1"/>
  <c r="K123" i="1"/>
  <c r="N122" i="1"/>
  <c r="M122" i="1"/>
  <c r="K122" i="1"/>
  <c r="K145" i="1" l="1"/>
  <c r="K131" i="1"/>
  <c r="M125" i="1" l="1"/>
  <c r="N125" i="1" l="1"/>
  <c r="N157" i="1" l="1"/>
  <c r="M157" i="1"/>
  <c r="N149" i="1" l="1"/>
  <c r="V65" i="1" l="1"/>
  <c r="U65" i="1"/>
  <c r="T65" i="1"/>
  <c r="S65" i="1"/>
  <c r="R65" i="1"/>
  <c r="H205" i="1" l="1"/>
  <c r="O205" i="1"/>
  <c r="K205" i="1"/>
  <c r="D205" i="1"/>
  <c r="V202" i="1" l="1"/>
  <c r="U202" i="1"/>
  <c r="T202" i="1"/>
  <c r="S202" i="1"/>
  <c r="R202" i="1"/>
  <c r="L202" i="1"/>
  <c r="N147" i="1" l="1"/>
  <c r="M147" i="1"/>
  <c r="S194" i="1" l="1"/>
  <c r="N133" i="1" l="1"/>
  <c r="M133" i="1"/>
  <c r="S83" i="1" l="1"/>
  <c r="I11" i="4" l="1"/>
  <c r="L229" i="1" l="1"/>
  <c r="R229" i="1"/>
  <c r="R256" i="1" l="1"/>
  <c r="R154" i="1"/>
  <c r="J11" i="4" l="1"/>
  <c r="K199" i="1"/>
  <c r="L173" i="1" s="1"/>
  <c r="L188" i="1" l="1"/>
  <c r="N145" i="1"/>
  <c r="S216" i="1"/>
  <c r="S165" i="1"/>
  <c r="M145" i="1" l="1"/>
  <c r="R36" i="1" l="1"/>
  <c r="V24" i="1"/>
  <c r="U24" i="1"/>
  <c r="T24" i="1"/>
  <c r="S24" i="1"/>
  <c r="R24" i="1"/>
  <c r="L203" i="1" l="1"/>
  <c r="L230" i="1" l="1"/>
  <c r="N131" i="1"/>
  <c r="V192" i="1" l="1"/>
  <c r="U192" i="1"/>
  <c r="T192" i="1"/>
  <c r="S192" i="1"/>
  <c r="R192" i="1"/>
  <c r="R145" i="1" l="1"/>
  <c r="S134" i="1"/>
  <c r="S130" i="1"/>
  <c r="S129" i="1"/>
  <c r="S239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2" i="1"/>
  <c r="U262" i="1"/>
  <c r="S262" i="1"/>
  <c r="O262" i="1"/>
  <c r="K262" i="1"/>
  <c r="L261" i="1" s="1"/>
  <c r="H262" i="1"/>
  <c r="D262" i="1"/>
  <c r="E260" i="1" s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O247" i="1"/>
  <c r="K247" i="1"/>
  <c r="L246" i="1" s="1"/>
  <c r="H247" i="1"/>
  <c r="D247" i="1"/>
  <c r="E246" i="1" s="1"/>
  <c r="V246" i="1"/>
  <c r="U246" i="1"/>
  <c r="T246" i="1"/>
  <c r="S246" i="1"/>
  <c r="R246" i="1"/>
  <c r="V245" i="1"/>
  <c r="U245" i="1"/>
  <c r="T245" i="1"/>
  <c r="S245" i="1"/>
  <c r="R245" i="1"/>
  <c r="O242" i="1"/>
  <c r="H242" i="1"/>
  <c r="D242" i="1"/>
  <c r="B21" i="2" s="1"/>
  <c r="B11" i="2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R239" i="1"/>
  <c r="V238" i="1"/>
  <c r="U238" i="1"/>
  <c r="T238" i="1"/>
  <c r="S238" i="1"/>
  <c r="R238" i="1"/>
  <c r="V237" i="1"/>
  <c r="U237" i="1"/>
  <c r="T237" i="1"/>
  <c r="S237" i="1"/>
  <c r="K242" i="1"/>
  <c r="V233" i="1"/>
  <c r="U233" i="1"/>
  <c r="S233" i="1"/>
  <c r="O233" i="1"/>
  <c r="K233" i="1"/>
  <c r="L219" i="1" s="1"/>
  <c r="H233" i="1"/>
  <c r="D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5" i="1"/>
  <c r="U205" i="1"/>
  <c r="S205" i="1"/>
  <c r="B2" i="3"/>
  <c r="B19" i="2"/>
  <c r="B9" i="2" s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D199" i="1"/>
  <c r="E170" i="1" s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7" i="1"/>
  <c r="U167" i="1"/>
  <c r="S167" i="1"/>
  <c r="O167" i="1"/>
  <c r="K167" i="1"/>
  <c r="L163" i="1" s="1"/>
  <c r="H167" i="1"/>
  <c r="D167" i="1"/>
  <c r="B17" i="2" s="1"/>
  <c r="B7" i="2" s="1"/>
  <c r="V166" i="1"/>
  <c r="U166" i="1"/>
  <c r="T166" i="1"/>
  <c r="S166" i="1"/>
  <c r="R166" i="1"/>
  <c r="V165" i="1"/>
  <c r="U165" i="1"/>
  <c r="T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58" i="1"/>
  <c r="U158" i="1"/>
  <c r="S158" i="1"/>
  <c r="O158" i="1"/>
  <c r="H158" i="1"/>
  <c r="D158" i="1"/>
  <c r="B16" i="2" s="1"/>
  <c r="B6" i="2" s="1"/>
  <c r="V157" i="1"/>
  <c r="U157" i="1"/>
  <c r="T157" i="1"/>
  <c r="R157" i="1"/>
  <c r="S157" i="1"/>
  <c r="V156" i="1"/>
  <c r="U156" i="1"/>
  <c r="T156" i="1"/>
  <c r="R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N141" i="1"/>
  <c r="S141" i="1" s="1"/>
  <c r="M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T136" i="1"/>
  <c r="S136" i="1"/>
  <c r="R136" i="1"/>
  <c r="V135" i="1"/>
  <c r="U135" i="1"/>
  <c r="T135" i="1"/>
  <c r="S135" i="1"/>
  <c r="R135" i="1"/>
  <c r="V134" i="1"/>
  <c r="U134" i="1"/>
  <c r="T134" i="1"/>
  <c r="R134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S131" i="1"/>
  <c r="M131" i="1"/>
  <c r="V130" i="1"/>
  <c r="U130" i="1"/>
  <c r="T130" i="1"/>
  <c r="V129" i="1"/>
  <c r="U129" i="1"/>
  <c r="T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6" i="1"/>
  <c r="U116" i="1"/>
  <c r="S116" i="1"/>
  <c r="O116" i="1"/>
  <c r="K116" i="1"/>
  <c r="H116" i="1"/>
  <c r="D116" i="1"/>
  <c r="B15" i="2" s="1"/>
  <c r="B5" i="2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4" i="1"/>
  <c r="U74" i="1"/>
  <c r="S74" i="1"/>
  <c r="O74" i="1"/>
  <c r="K74" i="1"/>
  <c r="H74" i="1"/>
  <c r="D74" i="1"/>
  <c r="B14" i="2" s="1"/>
  <c r="B4" i="2" s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8" i="1" l="1"/>
  <c r="L32" i="1"/>
  <c r="L96" i="1"/>
  <c r="L84" i="1"/>
  <c r="L64" i="1"/>
  <c r="L65" i="1"/>
  <c r="L22" i="1"/>
  <c r="L34" i="1"/>
  <c r="E65" i="1"/>
  <c r="L47" i="1"/>
  <c r="L73" i="1"/>
  <c r="L101" i="1"/>
  <c r="L115" i="1"/>
  <c r="L224" i="1"/>
  <c r="L231" i="1"/>
  <c r="B3" i="3"/>
  <c r="C21" i="2"/>
  <c r="C11" i="2" s="1"/>
  <c r="L70" i="1"/>
  <c r="L58" i="1"/>
  <c r="L66" i="1"/>
  <c r="F13" i="4"/>
  <c r="L72" i="1"/>
  <c r="L40" i="1"/>
  <c r="E36" i="1"/>
  <c r="E24" i="1"/>
  <c r="E9" i="1"/>
  <c r="L80" i="1"/>
  <c r="L12" i="1"/>
  <c r="L24" i="1"/>
  <c r="E7" i="1"/>
  <c r="E11" i="1"/>
  <c r="E15" i="1"/>
  <c r="L30" i="1"/>
  <c r="E101" i="1"/>
  <c r="L216" i="1"/>
  <c r="E114" i="1"/>
  <c r="E21" i="1"/>
  <c r="E19" i="1"/>
  <c r="T199" i="1"/>
  <c r="E17" i="1"/>
  <c r="E100" i="1"/>
  <c r="E178" i="1"/>
  <c r="E176" i="1"/>
  <c r="E174" i="1"/>
  <c r="E172" i="1"/>
  <c r="L165" i="1"/>
  <c r="L192" i="1"/>
  <c r="L182" i="1"/>
  <c r="L46" i="1"/>
  <c r="E245" i="1"/>
  <c r="E96" i="1"/>
  <c r="E98" i="1"/>
  <c r="E94" i="1"/>
  <c r="E78" i="1"/>
  <c r="E92" i="1"/>
  <c r="E90" i="1"/>
  <c r="E102" i="1"/>
  <c r="B18" i="2"/>
  <c r="B8" i="2" s="1"/>
  <c r="E192" i="1"/>
  <c r="E163" i="1"/>
  <c r="E161" i="1"/>
  <c r="E59" i="1"/>
  <c r="E61" i="1"/>
  <c r="E68" i="1"/>
  <c r="E164" i="1"/>
  <c r="E166" i="1"/>
  <c r="E88" i="1"/>
  <c r="E112" i="1"/>
  <c r="E86" i="1"/>
  <c r="E110" i="1"/>
  <c r="E66" i="1"/>
  <c r="E84" i="1"/>
  <c r="E108" i="1"/>
  <c r="L60" i="1"/>
  <c r="L62" i="1"/>
  <c r="L67" i="1"/>
  <c r="L69" i="1"/>
  <c r="E82" i="1"/>
  <c r="E106" i="1"/>
  <c r="E63" i="1"/>
  <c r="E80" i="1"/>
  <c r="E104" i="1"/>
  <c r="E70" i="1"/>
  <c r="L71" i="1"/>
  <c r="E72" i="1"/>
  <c r="B5" i="3"/>
  <c r="L79" i="1"/>
  <c r="L33" i="1"/>
  <c r="B20" i="2"/>
  <c r="B10" i="2" s="1"/>
  <c r="E239" i="1"/>
  <c r="T205" i="1"/>
  <c r="E229" i="1"/>
  <c r="E204" i="1"/>
  <c r="E180" i="1"/>
  <c r="E165" i="1"/>
  <c r="E23" i="1"/>
  <c r="D13" i="4"/>
  <c r="T233" i="1"/>
  <c r="L87" i="1"/>
  <c r="E53" i="1"/>
  <c r="L54" i="1"/>
  <c r="E55" i="1"/>
  <c r="L56" i="1"/>
  <c r="E57" i="1"/>
  <c r="L36" i="1"/>
  <c r="B6" i="3"/>
  <c r="L180" i="1"/>
  <c r="E156" i="1"/>
  <c r="L127" i="1"/>
  <c r="T262" i="1"/>
  <c r="R262" i="1"/>
  <c r="E251" i="1"/>
  <c r="E253" i="1"/>
  <c r="E255" i="1"/>
  <c r="E257" i="1"/>
  <c r="E261" i="1"/>
  <c r="E259" i="1"/>
  <c r="E250" i="1"/>
  <c r="E252" i="1"/>
  <c r="E254" i="1"/>
  <c r="E256" i="1"/>
  <c r="E258" i="1"/>
  <c r="R247" i="1"/>
  <c r="E215" i="1"/>
  <c r="E213" i="1"/>
  <c r="E209" i="1"/>
  <c r="E231" i="1"/>
  <c r="E225" i="1"/>
  <c r="E223" i="1"/>
  <c r="E221" i="1"/>
  <c r="E219" i="1"/>
  <c r="E203" i="1"/>
  <c r="E197" i="1"/>
  <c r="E195" i="1"/>
  <c r="E193" i="1"/>
  <c r="E190" i="1"/>
  <c r="E188" i="1"/>
  <c r="E171" i="1"/>
  <c r="E173" i="1"/>
  <c r="E186" i="1"/>
  <c r="E184" i="1"/>
  <c r="E182" i="1"/>
  <c r="T167" i="1"/>
  <c r="T158" i="1"/>
  <c r="E132" i="1"/>
  <c r="E147" i="1"/>
  <c r="E149" i="1"/>
  <c r="E120" i="1"/>
  <c r="E122" i="1"/>
  <c r="E130" i="1"/>
  <c r="E128" i="1"/>
  <c r="E136" i="1"/>
  <c r="E153" i="1"/>
  <c r="E124" i="1"/>
  <c r="E140" i="1"/>
  <c r="E142" i="1"/>
  <c r="E144" i="1"/>
  <c r="E155" i="1"/>
  <c r="E146" i="1"/>
  <c r="E131" i="1"/>
  <c r="E148" i="1"/>
  <c r="E157" i="1"/>
  <c r="E121" i="1"/>
  <c r="E133" i="1"/>
  <c r="E150" i="1"/>
  <c r="E123" i="1"/>
  <c r="E127" i="1"/>
  <c r="E129" i="1"/>
  <c r="E135" i="1"/>
  <c r="E152" i="1"/>
  <c r="E154" i="1"/>
  <c r="E134" i="1"/>
  <c r="E151" i="1"/>
  <c r="E125" i="1"/>
  <c r="E139" i="1"/>
  <c r="E141" i="1"/>
  <c r="E145" i="1"/>
  <c r="H234" i="1"/>
  <c r="H263" i="1" s="1"/>
  <c r="T116" i="1"/>
  <c r="R116" i="1"/>
  <c r="E83" i="1"/>
  <c r="E85" i="1"/>
  <c r="E87" i="1"/>
  <c r="E103" i="1"/>
  <c r="E105" i="1"/>
  <c r="E107" i="1"/>
  <c r="E109" i="1"/>
  <c r="E111" i="1"/>
  <c r="E113" i="1"/>
  <c r="E115" i="1"/>
  <c r="E77" i="1"/>
  <c r="E79" i="1"/>
  <c r="E89" i="1"/>
  <c r="E91" i="1"/>
  <c r="E93" i="1"/>
  <c r="E95" i="1"/>
  <c r="E97" i="1"/>
  <c r="E99" i="1"/>
  <c r="T74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9" i="1"/>
  <c r="L210" i="1"/>
  <c r="L215" i="1"/>
  <c r="L217" i="1"/>
  <c r="L218" i="1"/>
  <c r="L221" i="1"/>
  <c r="L222" i="1"/>
  <c r="L225" i="1"/>
  <c r="L226" i="1"/>
  <c r="L232" i="1"/>
  <c r="L95" i="1"/>
  <c r="L107" i="1"/>
  <c r="L77" i="1"/>
  <c r="L83" i="1"/>
  <c r="L91" i="1"/>
  <c r="L99" i="1"/>
  <c r="L103" i="1"/>
  <c r="L111" i="1"/>
  <c r="L81" i="1"/>
  <c r="L85" i="1"/>
  <c r="L89" i="1"/>
  <c r="L93" i="1"/>
  <c r="L97" i="1"/>
  <c r="L105" i="1"/>
  <c r="L109" i="1"/>
  <c r="L113" i="1"/>
  <c r="L176" i="1"/>
  <c r="L177" i="1"/>
  <c r="L181" i="1"/>
  <c r="L184" i="1"/>
  <c r="L185" i="1"/>
  <c r="L189" i="1"/>
  <c r="L193" i="1"/>
  <c r="L194" i="1"/>
  <c r="L197" i="1"/>
  <c r="L198" i="1"/>
  <c r="L171" i="1"/>
  <c r="L253" i="1"/>
  <c r="L257" i="1"/>
  <c r="L251" i="1"/>
  <c r="L255" i="1"/>
  <c r="L259" i="1"/>
  <c r="L250" i="1"/>
  <c r="L252" i="1"/>
  <c r="L254" i="1"/>
  <c r="L256" i="1"/>
  <c r="L258" i="1"/>
  <c r="L260" i="1"/>
  <c r="L52" i="1"/>
  <c r="L170" i="1"/>
  <c r="L172" i="1"/>
  <c r="L174" i="1"/>
  <c r="L175" i="1"/>
  <c r="L178" i="1"/>
  <c r="L179" i="1"/>
  <c r="L183" i="1"/>
  <c r="L186" i="1"/>
  <c r="L187" i="1"/>
  <c r="L190" i="1"/>
  <c r="L191" i="1"/>
  <c r="L195" i="1"/>
  <c r="L196" i="1"/>
  <c r="E29" i="1"/>
  <c r="E31" i="1"/>
  <c r="E34" i="1"/>
  <c r="L35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8" i="1"/>
  <c r="E81" i="1"/>
  <c r="L82" i="1"/>
  <c r="L86" i="1"/>
  <c r="L88" i="1"/>
  <c r="L90" i="1"/>
  <c r="L92" i="1"/>
  <c r="L94" i="1"/>
  <c r="L98" i="1"/>
  <c r="L100" i="1"/>
  <c r="L102" i="1"/>
  <c r="L104" i="1"/>
  <c r="L106" i="1"/>
  <c r="L108" i="1"/>
  <c r="L110" i="1"/>
  <c r="L112" i="1"/>
  <c r="L114" i="1"/>
  <c r="L37" i="1"/>
  <c r="E38" i="1"/>
  <c r="L39" i="1"/>
  <c r="E40" i="1"/>
  <c r="L41" i="1"/>
  <c r="L42" i="1"/>
  <c r="E43" i="1"/>
  <c r="L44" i="1"/>
  <c r="E45" i="1"/>
  <c r="E47" i="1"/>
  <c r="L48" i="1"/>
  <c r="E49" i="1"/>
  <c r="L50" i="1"/>
  <c r="E51" i="1"/>
  <c r="O234" i="1"/>
  <c r="O263" i="1" s="1"/>
  <c r="L213" i="1"/>
  <c r="L214" i="1"/>
  <c r="L220" i="1"/>
  <c r="L223" i="1"/>
  <c r="L18" i="1"/>
  <c r="L20" i="1"/>
  <c r="L29" i="1"/>
  <c r="E30" i="1"/>
  <c r="L31" i="1"/>
  <c r="E33" i="1"/>
  <c r="E35" i="1"/>
  <c r="E37" i="1"/>
  <c r="E39" i="1"/>
  <c r="E41" i="1"/>
  <c r="L43" i="1"/>
  <c r="E44" i="1"/>
  <c r="L45" i="1"/>
  <c r="E46" i="1"/>
  <c r="E48" i="1"/>
  <c r="L49" i="1"/>
  <c r="E50" i="1"/>
  <c r="L51" i="1"/>
  <c r="L53" i="1"/>
  <c r="E54" i="1"/>
  <c r="L55" i="1"/>
  <c r="E56" i="1"/>
  <c r="L57" i="1"/>
  <c r="E58" i="1"/>
  <c r="L59" i="1"/>
  <c r="E60" i="1"/>
  <c r="L61" i="1"/>
  <c r="E62" i="1"/>
  <c r="L63" i="1"/>
  <c r="E64" i="1"/>
  <c r="E67" i="1"/>
  <c r="L68" i="1"/>
  <c r="E69" i="1"/>
  <c r="E71" i="1"/>
  <c r="E73" i="1"/>
  <c r="B4" i="3"/>
  <c r="C13" i="2"/>
  <c r="C3" i="2" s="1"/>
  <c r="R74" i="1"/>
  <c r="R120" i="1"/>
  <c r="R121" i="1"/>
  <c r="R122" i="1"/>
  <c r="R129" i="1"/>
  <c r="R130" i="1"/>
  <c r="R131" i="1"/>
  <c r="R155" i="1"/>
  <c r="B7" i="3"/>
  <c r="C17" i="2"/>
  <c r="C7" i="2" s="1"/>
  <c r="R167" i="1"/>
  <c r="L166" i="1"/>
  <c r="L164" i="1"/>
  <c r="L162" i="1"/>
  <c r="L161" i="1"/>
  <c r="L240" i="1"/>
  <c r="L237" i="1"/>
  <c r="R242" i="1"/>
  <c r="L241" i="1"/>
  <c r="L238" i="1"/>
  <c r="L25" i="1"/>
  <c r="B13" i="2"/>
  <c r="B3" i="2" s="1"/>
  <c r="D234" i="1"/>
  <c r="E233" i="1" s="1"/>
  <c r="R26" i="1"/>
  <c r="T26" i="1"/>
  <c r="B10" i="3"/>
  <c r="C14" i="2"/>
  <c r="C4" i="2" s="1"/>
  <c r="B8" i="3"/>
  <c r="C15" i="2"/>
  <c r="C5" i="2" s="1"/>
  <c r="L142" i="1"/>
  <c r="E143" i="1"/>
  <c r="L143" i="1"/>
  <c r="E175" i="1"/>
  <c r="E177" i="1"/>
  <c r="E179" i="1"/>
  <c r="E181" i="1"/>
  <c r="E183" i="1"/>
  <c r="E185" i="1"/>
  <c r="E187" i="1"/>
  <c r="E189" i="1"/>
  <c r="E191" i="1"/>
  <c r="E194" i="1"/>
  <c r="E196" i="1"/>
  <c r="E198" i="1"/>
  <c r="L204" i="1"/>
  <c r="R205" i="1"/>
  <c r="E210" i="1"/>
  <c r="E214" i="1"/>
  <c r="E217" i="1"/>
  <c r="E220" i="1"/>
  <c r="E222" i="1"/>
  <c r="E224" i="1"/>
  <c r="E226" i="1"/>
  <c r="E230" i="1"/>
  <c r="E232" i="1"/>
  <c r="R237" i="1"/>
  <c r="L239" i="1"/>
  <c r="E240" i="1"/>
  <c r="L245" i="1"/>
  <c r="C18" i="2"/>
  <c r="C8" i="2" s="1"/>
  <c r="C19" i="2"/>
  <c r="C9" i="2" s="1"/>
  <c r="C20" i="2"/>
  <c r="C10" i="2" s="1"/>
  <c r="C13" i="4"/>
  <c r="E13" i="4"/>
  <c r="G13" i="4"/>
  <c r="I13" i="4"/>
  <c r="R199" i="1"/>
  <c r="R233" i="1"/>
  <c r="E237" i="1"/>
  <c r="E238" i="1"/>
  <c r="E241" i="1"/>
  <c r="B9" i="3" l="1"/>
  <c r="L157" i="1"/>
  <c r="L145" i="1"/>
  <c r="L133" i="1"/>
  <c r="L122" i="1"/>
  <c r="L147" i="1"/>
  <c r="L131" i="1"/>
  <c r="L124" i="1"/>
  <c r="L139" i="1"/>
  <c r="L154" i="1"/>
  <c r="L151" i="1"/>
  <c r="K234" i="1"/>
  <c r="L158" i="1" s="1"/>
  <c r="L121" i="1"/>
  <c r="L149" i="1"/>
  <c r="L128" i="1"/>
  <c r="L135" i="1"/>
  <c r="L141" i="1"/>
  <c r="L152" i="1"/>
  <c r="C16" i="2"/>
  <c r="C6" i="2" s="1"/>
  <c r="L156" i="1"/>
  <c r="L120" i="1"/>
  <c r="L150" i="1"/>
  <c r="L126" i="1"/>
  <c r="L155" i="1"/>
  <c r="L129" i="1"/>
  <c r="L130" i="1"/>
  <c r="L144" i="1"/>
  <c r="L123" i="1"/>
  <c r="L125" i="1"/>
  <c r="L132" i="1"/>
  <c r="L134" i="1"/>
  <c r="L136" i="1"/>
  <c r="L140" i="1"/>
  <c r="L146" i="1"/>
  <c r="L148" i="1"/>
  <c r="L153" i="1"/>
  <c r="R158" i="1"/>
  <c r="E199" i="1"/>
  <c r="E116" i="1"/>
  <c r="D263" i="1"/>
  <c r="E205" i="1"/>
  <c r="E158" i="1"/>
  <c r="E167" i="1"/>
  <c r="E26" i="1"/>
  <c r="E74" i="1"/>
  <c r="L205" i="1" l="1"/>
  <c r="R234" i="1"/>
  <c r="L74" i="1"/>
  <c r="L233" i="1"/>
  <c r="L167" i="1"/>
  <c r="L199" i="1"/>
  <c r="K263" i="1"/>
  <c r="L116" i="1"/>
  <c r="L26" i="1"/>
</calcChain>
</file>

<file path=xl/sharedStrings.xml><?xml version="1.0" encoding="utf-8"?>
<sst xmlns="http://schemas.openxmlformats.org/spreadsheetml/2006/main" count="542" uniqueCount="341">
  <si>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</si>
  <si>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</si>
  <si>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</si>
  <si>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</si>
  <si>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</si>
  <si>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</si>
  <si>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</si>
  <si>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</si>
  <si>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</si>
  <si>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</si>
  <si>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</si>
  <si>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</si>
  <si>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</si>
  <si>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</si>
  <si>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</si>
  <si>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</si>
  <si>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</si>
  <si>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</si>
  <si>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</si>
  <si>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</si>
  <si>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</si>
  <si>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</si>
  <si>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</si>
  <si>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</si>
  <si>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</si>
  <si>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</si>
  <si>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</si>
  <si>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</si>
  <si>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</si>
  <si>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</si>
  <si>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</si>
  <si>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</si>
  <si>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</si>
  <si>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</si>
  <si>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</si>
  <si>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</si>
  <si>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</si>
  <si>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</si>
  <si>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</si>
  <si>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</si>
  <si>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</si>
  <si>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</si>
  <si>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</si>
  <si>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</si>
  <si>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</si>
  <si>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</si>
  <si>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</si>
  <si>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</si>
  <si>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</si>
  <si>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</si>
  <si>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</si>
  <si>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</si>
  <si>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</si>
  <si>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</si>
  <si>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</si>
  <si>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</si>
  <si>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</si>
  <si>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</si>
  <si>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</si>
  <si>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</si>
  <si>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</si>
  <si>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</si>
  <si>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</si>
  <si>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</si>
  <si>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</si>
  <si>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</si>
  <si>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</si>
  <si>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</si>
  <si>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</si>
  <si>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</si>
  <si>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</si>
  <si>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</si>
  <si>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</si>
  <si>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</si>
  <si>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</si>
  <si>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</si>
  <si>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</si>
  <si>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</si>
  <si>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</si>
  <si>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</si>
  <si>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</si>
  <si>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</si>
  <si>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</si>
  <si>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</si>
  <si>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</si>
  <si>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</si>
  <si>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</si>
  <si>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</si>
  <si>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</si>
  <si>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</si>
  <si>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</si>
  <si>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</si>
  <si>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</si>
  <si>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</si>
  <si>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</si>
  <si>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</si>
  <si>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</si>
  <si>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</si>
  <si>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</si>
  <si>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</si>
  <si>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</si>
  <si>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</si>
  <si>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</si>
  <si>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</si>
  <si>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</si>
  <si>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</si>
  <si>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</si>
  <si>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</si>
  <si>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</si>
  <si>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</si>
  <si>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</si>
  <si>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</si>
  <si>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</si>
  <si>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</si>
  <si>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</si>
  <si>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</si>
  <si>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</si>
  <si>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</si>
  <si>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</si>
  <si>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</si>
  <si>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</si>
  <si>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</si>
  <si>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</si>
  <si>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</si>
  <si>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</si>
  <si>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</si>
  <si>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</si>
  <si>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</si>
  <si>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</si>
  <si>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</si>
  <si>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</si>
  <si>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</si>
  <si>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</si>
  <si>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</si>
  <si>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</si>
  <si>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</si>
  <si>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</si>
  <si>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</si>
  <si>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</si>
  <si>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</si>
  <si>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</si>
  <si>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</si>
  <si>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</si>
  <si>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</si>
  <si>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</si>
  <si>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</si>
  <si>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</si>
  <si>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</si>
  <si>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</si>
  <si>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</si>
  <si>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</si>
  <si>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</si>
  <si>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</si>
  <si>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</si>
  <si>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</si>
  <si>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</si>
  <si>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</si>
  <si>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</si>
  <si>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</si>
  <si>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</si>
  <si>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</si>
  <si>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</si>
  <si>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</si>
  <si>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</si>
  <si>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</si>
  <si>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</si>
  <si>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</si>
  <si>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</si>
  <si>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</si>
  <si>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</si>
  <si>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</si>
  <si>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</si>
  <si>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</si>
  <si>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</si>
  <si>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</si>
  <si>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</si>
  <si>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</si>
  <si>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</si>
  <si>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</si>
  <si>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</si>
  <si>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</si>
  <si>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</si>
  <si>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</si>
  <si>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</si>
  <si>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</si>
  <si>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</si>
  <si>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</si>
  <si>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</si>
  <si>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</si>
  <si>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</si>
  <si>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</si>
  <si>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</si>
  <si>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</si>
  <si>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</si>
  <si>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</si>
  <si>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</si>
  <si>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</si>
  <si>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</si>
  <si>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</si>
  <si>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</si>
  <si>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</si>
  <si>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</si>
  <si>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</si>
  <si>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</si>
  <si>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</si>
  <si>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</si>
  <si>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</si>
  <si>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</si>
  <si>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</si>
  <si>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</si>
  <si>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</si>
  <si>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</si>
  <si>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</si>
  <si>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</si>
  <si>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</si>
  <si>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</si>
  <si>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</si>
  <si>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</si>
  <si>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</si>
  <si>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</si>
  <si>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</si>
  <si>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</si>
  <si>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</si>
  <si>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</si>
  <si>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</si>
  <si>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</si>
  <si>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</si>
  <si>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</si>
  <si>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</si>
  <si>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</si>
  <si>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</si>
  <si>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</si>
  <si>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</si>
  <si>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</si>
  <si>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</si>
  <si>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</si>
  <si>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</si>
  <si>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</si>
  <si>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</si>
  <si>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</si>
  <si>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</si>
  <si>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</si>
  <si>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</si>
  <si>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</si>
  <si>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</si>
  <si>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</si>
  <si>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</si>
  <si>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</si>
  <si>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</si>
  <si>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</si>
  <si>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</si>
  <si>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</si>
  <si>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</si>
  <si>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</si>
  <si>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</si>
  <si>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</si>
  <si>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</si>
  <si>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</si>
  <si>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</si>
  <si>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</si>
  <si>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</si>
  <si>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</si>
  <si>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</si>
  <si>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</si>
  <si>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</si>
  <si>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</si>
  <si>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</si>
  <si>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</si>
  <si>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</si>
  <si>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</si>
  <si>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</si>
  <si>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</si>
  <si>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</si>
  <si>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</si>
  <si>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</si>
  <si>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</si>
  <si>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</si>
  <si>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</si>
  <si>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</si>
  <si>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</si>
  <si>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</si>
  <si>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</si>
  <si>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</si>
  <si>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</si>
  <si>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</si>
  <si>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</si>
  <si>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</si>
  <si>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</si>
  <si>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</si>
  <si>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</si>
  <si>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</si>
  <si>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</si>
  <si>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</si>
  <si>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</si>
  <si>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</si>
  <si>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</si>
  <si>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</si>
  <si>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</si>
  <si>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</si>
  <si>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</si>
  <si>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</si>
  <si>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</si>
  <si>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</si>
  <si>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</si>
  <si>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</si>
  <si>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</si>
  <si>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</si>
  <si>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</si>
  <si>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</si>
  <si>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</si>
  <si>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</si>
  <si>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</si>
  <si>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</si>
  <si>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</si>
  <si>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</si>
  <si>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</si>
  <si>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</si>
  <si>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</si>
  <si>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</si>
  <si>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</si>
  <si>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</si>
  <si>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</si>
  <si>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</si>
  <si>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</si>
  <si>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</si>
  <si>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</si>
  <si>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</si>
  <si>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</si>
  <si>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</si>
  <si>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</si>
  <si>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</si>
  <si>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</si>
  <si>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</si>
  <si>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NAV, Unit Price and Yield as at Week Ended February 27, 2026</t>
  </si>
  <si>
    <t>Apel Wealth Money Market Fund</t>
  </si>
  <si>
    <t>Apel Wealth Management Limited</t>
  </si>
  <si>
    <t>Week Ended February 27, 2026</t>
  </si>
  <si>
    <t>WEEKLY VALUATION REPORT OF COLLECTIVE INVESTMENT SCHEMES AS AT WEEK ENDED FRIDAY, MARCH 6, 2026</t>
  </si>
  <si>
    <t>NAV, Unit Price and Yield as at Week Ended March 6, 2026</t>
  </si>
  <si>
    <t>NFEM RATE NG₦/US$ as at 6th March, 2026 = N1393.2556</t>
  </si>
  <si>
    <t>Week Ended March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</si>
</sst>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27,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148.19165443143802</c:v>
                </c:pt>
                <c:pt idx="1">
                  <c:v>5290.967255505765</c:v>
                </c:pt>
                <c:pt idx="2">
                  <c:v>246.07228482023424</c:v>
                </c:pt>
                <c:pt idx="3">
                  <c:v>1833.9156884632009</c:v>
                </c:pt>
                <c:pt idx="4">
                  <c:v>491.07240982121351</c:v>
                </c:pt>
                <c:pt idx="5" formatCode="_-* #,##0.00_-;\-* #,##0.00_-;_-* &quot;-&quot;??_-;_-@_-">
                  <c:v>115.75145513497435</c:v>
                </c:pt>
                <c:pt idx="6">
                  <c:v>14.050360664833526</c:v>
                </c:pt>
                <c:pt idx="7">
                  <c:v>104.38017091545008</c:v>
                </c:pt>
                <c:pt idx="8">
                  <c:v>19.763627528168037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159.21165209274878</c:v>
                </c:pt>
                <c:pt idx="1">
                  <c:v>5336.29018162787</c:v>
                </c:pt>
                <c:pt idx="2">
                  <c:v>242.89563584556709</c:v>
                </c:pt>
                <c:pt idx="3">
                  <c:v>1871.1974691522844</c:v>
                </c:pt>
                <c:pt idx="4">
                  <c:v>492.23205353179839</c:v>
                </c:pt>
                <c:pt idx="5" formatCode="_-* #,##0.00_-;\-* #,##0.00_-;_-* &quot;-&quot;??_-;_-@_-">
                  <c:v>119.28443493617971</c:v>
                </c:pt>
                <c:pt idx="6">
                  <c:v>14.784118823610147</c:v>
                </c:pt>
                <c:pt idx="7">
                  <c:v>108.41465688162793</c:v>
                </c:pt>
                <c:pt idx="8">
                  <c:v>31.18008880819108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14784118823.610147</c:v>
                </c:pt>
                <c:pt idx="1">
                  <c:v>31180088808.191078</c:v>
                </c:pt>
                <c:pt idx="2">
                  <c:v>159211652092.74878</c:v>
                </c:pt>
                <c:pt idx="3" formatCode="_-* #,##0.00_-;\-* #,##0.00_-;_-* &quot;-&quot;??_-;_-@_-">
                  <c:v>108414656881.62793</c:v>
                </c:pt>
                <c:pt idx="4">
                  <c:v>119284434936.1797</c:v>
                </c:pt>
                <c:pt idx="5">
                  <c:v>492232053531.7984</c:v>
                </c:pt>
                <c:pt idx="6">
                  <c:v>242895635845.56708</c:v>
                </c:pt>
                <c:pt idx="7">
                  <c:v>1871197469152.2844</c:v>
                </c:pt>
                <c:pt idx="8">
                  <c:v>5336290181627.8701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8029.3427073122812</c:v>
                </c:pt>
                <c:pt idx="1">
                  <c:v>8056.134516783889</c:v>
                </c:pt>
                <c:pt idx="2">
                  <c:v>8081.3813988736874</c:v>
                </c:pt>
                <c:pt idx="3">
                  <c:v>8107.597332853632</c:v>
                </c:pt>
                <c:pt idx="4">
                  <c:v>8176.5089785345672</c:v>
                </c:pt>
                <c:pt idx="5">
                  <c:v>8210.0158947677137</c:v>
                </c:pt>
                <c:pt idx="6">
                  <c:v>8264.1649072852797</c:v>
                </c:pt>
                <c:pt idx="7">
                  <c:v>8375.4902916998781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19.377061801090001</c:v>
                </c:pt>
                <c:pt idx="1">
                  <c:v>19.447744548879999</c:v>
                </c:pt>
                <c:pt idx="2">
                  <c:v>19.641137987049994</c:v>
                </c:pt>
                <c:pt idx="3">
                  <c:v>20.41173907228</c:v>
                </c:pt>
                <c:pt idx="4">
                  <c:v>21.462872515840001</c:v>
                </c:pt>
                <c:pt idx="5">
                  <c:v>23.060251227759998</c:v>
                </c:pt>
                <c:pt idx="6">
                  <c:v>23.429388175410001</c:v>
                </c:pt>
                <c:pt idx="7">
                  <c:v>23.933072983509998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1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8" t="s">
        <v>337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5" ht="14.4" customHeight="1">
      <c r="A2" s="24"/>
      <c r="B2" s="25"/>
      <c r="C2" s="26"/>
      <c r="D2" s="189" t="s">
        <v>333</v>
      </c>
      <c r="E2" s="189"/>
      <c r="F2" s="189"/>
      <c r="G2" s="189"/>
      <c r="H2" s="189"/>
      <c r="I2" s="189"/>
      <c r="J2" s="189"/>
      <c r="K2" s="189" t="s">
        <v>338</v>
      </c>
      <c r="L2" s="189"/>
      <c r="M2" s="189"/>
      <c r="N2" s="189"/>
      <c r="O2" s="189"/>
      <c r="P2" s="189"/>
      <c r="Q2" s="189"/>
      <c r="R2" s="189" t="s">
        <v>0</v>
      </c>
      <c r="S2" s="189"/>
      <c r="T2" s="189"/>
      <c r="U2" s="189" t="s">
        <v>1</v>
      </c>
      <c r="V2" s="189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56" t="s">
        <v>5</v>
      </c>
      <c r="L3" s="31" t="s">
        <v>6</v>
      </c>
      <c r="M3" s="31" t="s">
        <v>12</v>
      </c>
      <c r="N3" s="31" t="s">
        <v>8</v>
      </c>
      <c r="O3" s="31" t="s">
        <v>9</v>
      </c>
      <c r="P3" s="31" t="s">
        <v>10</v>
      </c>
      <c r="Q3" s="31" t="s">
        <v>11</v>
      </c>
      <c r="R3" s="30" t="s">
        <v>13</v>
      </c>
      <c r="S3" s="31" t="s">
        <v>14</v>
      </c>
      <c r="T3" s="31" t="s">
        <v>15</v>
      </c>
      <c r="U3" s="31" t="s">
        <v>16</v>
      </c>
      <c r="V3" s="31" t="s">
        <v>17</v>
      </c>
    </row>
    <row r="4" spans="1:25" ht="5.25" customHeight="1">
      <c r="A4" s="32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5" ht="15" customHeight="1">
      <c r="A5" s="191" t="s">
        <v>18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5">
      <c r="A6" s="184">
        <v>1</v>
      </c>
      <c r="B6" s="149" t="s">
        <v>19</v>
      </c>
      <c r="C6" s="148" t="s">
        <v>20</v>
      </c>
      <c r="D6" s="145">
        <v>9074690830.9599991</v>
      </c>
      <c r="E6" s="143">
        <f t="shared" ref="E6:E24" si="0">(D6/$D$26)</f>
        <v>6.1236180038454685E-2</v>
      </c>
      <c r="F6" s="145">
        <v>773.23519999999996</v>
      </c>
      <c r="G6" s="145">
        <v>778.44690000000003</v>
      </c>
      <c r="H6" s="37">
        <v>1695</v>
      </c>
      <c r="I6" s="58">
        <v>2.0000000000000001E-4</v>
      </c>
      <c r="J6" s="58">
        <v>0.24929999999999999</v>
      </c>
      <c r="K6" s="145">
        <v>9676600468.7099991</v>
      </c>
      <c r="L6" s="143">
        <f t="shared" ref="L6:L25" si="1">(K6/$K$26)</f>
        <v>6.0778217809541311E-2</v>
      </c>
      <c r="M6" s="145">
        <v>784.52560000000005</v>
      </c>
      <c r="N6" s="145">
        <v>789.68920000000003</v>
      </c>
      <c r="O6" s="37">
        <v>1695</v>
      </c>
      <c r="P6" s="58">
        <v>1.46E-2</v>
      </c>
      <c r="Q6" s="58">
        <v>0.26750000000000002</v>
      </c>
      <c r="R6" s="63">
        <f>((K6-D6)/D6)</f>
        <v>6.6328390571331983E-2</v>
      </c>
      <c r="S6" s="63">
        <f>((N6-G6)/G6)</f>
        <v>1.444196129498364E-2</v>
      </c>
      <c r="T6" s="63">
        <f>((O6-H6)/H6)</f>
        <v>0</v>
      </c>
      <c r="U6" s="63">
        <f>P6-I6</f>
        <v>1.44E-2</v>
      </c>
      <c r="V6" s="64">
        <f>Q6-J6</f>
        <v>1.8200000000000022E-2</v>
      </c>
      <c r="W6" s="146"/>
    </row>
    <row r="7" spans="1:25">
      <c r="A7" s="184">
        <v>2</v>
      </c>
      <c r="B7" s="149" t="s">
        <v>21</v>
      </c>
      <c r="C7" s="148" t="s">
        <v>22</v>
      </c>
      <c r="D7" s="33">
        <v>1718764501.1500001</v>
      </c>
      <c r="E7" s="34">
        <f t="shared" si="0"/>
        <v>1.1598254353420417E-2</v>
      </c>
      <c r="F7" s="33">
        <v>526.96339999999998</v>
      </c>
      <c r="G7" s="33">
        <v>533.60829999999999</v>
      </c>
      <c r="H7" s="35">
        <v>697</v>
      </c>
      <c r="I7" s="57">
        <v>-2.1949999999999999E-3</v>
      </c>
      <c r="J7" s="57">
        <v>0.2863</v>
      </c>
      <c r="K7" s="33">
        <v>1753965723.2</v>
      </c>
      <c r="L7" s="34">
        <f t="shared" si="1"/>
        <v>1.1016566313740825E-2</v>
      </c>
      <c r="M7" s="33">
        <v>529.64170000000001</v>
      </c>
      <c r="N7" s="33">
        <v>536.10820000000001</v>
      </c>
      <c r="O7" s="35">
        <v>712</v>
      </c>
      <c r="P7" s="57">
        <v>8.0800000000000002E-4</v>
      </c>
      <c r="Q7" s="57">
        <v>0.29289999999999999</v>
      </c>
      <c r="R7" s="62">
        <f t="shared" ref="R7:R26" si="2">((K7-D7)/D7)</f>
        <v>2.0480538215937861E-2</v>
      </c>
      <c r="S7" s="62">
        <f t="shared" ref="S7:S26" si="3">((N7-G7)/G7)</f>
        <v>4.6848971427169055E-3</v>
      </c>
      <c r="T7" s="62">
        <f t="shared" ref="T7:T26" si="4">((O7-H7)/H7)</f>
        <v>2.1520803443328552E-2</v>
      </c>
      <c r="U7" s="63">
        <f t="shared" ref="U7:U26" si="5">P7-I7</f>
        <v>3.003E-3</v>
      </c>
      <c r="V7" s="64">
        <f t="shared" ref="V7:V26" si="6">Q7-J7</f>
        <v>6.5999999999999948E-3</v>
      </c>
    </row>
    <row r="8" spans="1:25">
      <c r="A8" s="184">
        <v>3</v>
      </c>
      <c r="B8" s="149" t="s">
        <v>23</v>
      </c>
      <c r="C8" s="148" t="s">
        <v>24</v>
      </c>
      <c r="D8" s="33">
        <v>11470595487.969999</v>
      </c>
      <c r="E8" s="34">
        <f t="shared" si="0"/>
        <v>7.7403788573512128E-2</v>
      </c>
      <c r="F8" s="33">
        <v>64.528099999999995</v>
      </c>
      <c r="G8" s="36">
        <v>66.473699999999994</v>
      </c>
      <c r="H8" s="37">
        <v>9277</v>
      </c>
      <c r="I8" s="58">
        <v>-0.26429999999999998</v>
      </c>
      <c r="J8" s="58">
        <v>1.3741000000000001</v>
      </c>
      <c r="K8" s="33">
        <v>12331830990.040001</v>
      </c>
      <c r="L8" s="34">
        <f t="shared" si="1"/>
        <v>7.7455580844397562E-2</v>
      </c>
      <c r="M8" s="33">
        <v>66.281400000000005</v>
      </c>
      <c r="N8" s="36">
        <v>68.279899999999998</v>
      </c>
      <c r="O8" s="37">
        <v>9505</v>
      </c>
      <c r="P8" s="58">
        <v>1.4168000000000001</v>
      </c>
      <c r="Q8" s="58">
        <v>1.4119999999999999</v>
      </c>
      <c r="R8" s="62">
        <f t="shared" si="2"/>
        <v>7.5082021938027405E-2</v>
      </c>
      <c r="S8" s="62">
        <f t="shared" si="3"/>
        <v>2.7171648336108929E-2</v>
      </c>
      <c r="T8" s="62">
        <f t="shared" si="4"/>
        <v>2.4576910639215264E-2</v>
      </c>
      <c r="U8" s="63">
        <f t="shared" si="5"/>
        <v>1.6811</v>
      </c>
      <c r="V8" s="64">
        <f t="shared" si="6"/>
        <v>3.7899999999999823E-2</v>
      </c>
      <c r="X8" s="65"/>
      <c r="Y8" s="65"/>
    </row>
    <row r="9" spans="1:25">
      <c r="A9" s="184">
        <v>4</v>
      </c>
      <c r="B9" s="149" t="s">
        <v>25</v>
      </c>
      <c r="C9" s="148" t="s">
        <v>26</v>
      </c>
      <c r="D9" s="33">
        <v>1828212123.3</v>
      </c>
      <c r="E9" s="34">
        <f t="shared" si="0"/>
        <v>1.2336808913526476E-2</v>
      </c>
      <c r="F9" s="33">
        <v>315.93</v>
      </c>
      <c r="G9" s="33">
        <v>315.93</v>
      </c>
      <c r="H9" s="35">
        <v>2402</v>
      </c>
      <c r="I9" s="57">
        <v>4.0000000000000002E-4</v>
      </c>
      <c r="J9" s="57">
        <v>0.26240000000000002</v>
      </c>
      <c r="K9" s="33">
        <v>2001318838.1700001</v>
      </c>
      <c r="L9" s="34">
        <f t="shared" si="1"/>
        <v>1.2570178199043694E-2</v>
      </c>
      <c r="M9" s="33">
        <v>321.42099999999999</v>
      </c>
      <c r="N9" s="33">
        <v>321.42</v>
      </c>
      <c r="O9" s="35">
        <v>2438</v>
      </c>
      <c r="P9" s="57">
        <v>0.20269999999999999</v>
      </c>
      <c r="Q9" s="57">
        <v>0.2843</v>
      </c>
      <c r="R9" s="62">
        <f t="shared" si="2"/>
        <v>9.4686340093585647E-2</v>
      </c>
      <c r="S9" s="62">
        <f t="shared" si="3"/>
        <v>1.7377267116133348E-2</v>
      </c>
      <c r="T9" s="62">
        <f t="shared" si="4"/>
        <v>1.498751040799334E-2</v>
      </c>
      <c r="U9" s="63">
        <f t="shared" si="5"/>
        <v>0.20229999999999998</v>
      </c>
      <c r="V9" s="64">
        <f t="shared" si="6"/>
        <v>2.1899999999999975E-2</v>
      </c>
    </row>
    <row r="10" spans="1:25">
      <c r="A10" s="184">
        <v>5</v>
      </c>
      <c r="B10" s="149" t="s">
        <v>27</v>
      </c>
      <c r="C10" s="148" t="s">
        <v>28</v>
      </c>
      <c r="D10" s="33">
        <v>4752047426.8599997</v>
      </c>
      <c r="E10" s="34">
        <f t="shared" si="0"/>
        <v>3.2066903126846256E-2</v>
      </c>
      <c r="F10" s="33">
        <v>2.3338000000000001</v>
      </c>
      <c r="G10" s="33">
        <v>2.3609</v>
      </c>
      <c r="H10" s="35">
        <v>1442</v>
      </c>
      <c r="I10" s="57">
        <v>-1.14E-2</v>
      </c>
      <c r="J10" s="57">
        <v>0.2611</v>
      </c>
      <c r="K10" s="33">
        <v>5183473559.25</v>
      </c>
      <c r="L10" s="34">
        <f t="shared" si="1"/>
        <v>3.2557124375735803E-2</v>
      </c>
      <c r="M10" s="33">
        <v>2.4140999999999999</v>
      </c>
      <c r="N10" s="33">
        <v>2.4417</v>
      </c>
      <c r="O10" s="35">
        <v>1615</v>
      </c>
      <c r="P10" s="57">
        <v>3.4299999999999997E-2</v>
      </c>
      <c r="Q10" s="57">
        <v>0.30430000000000001</v>
      </c>
      <c r="R10" s="62">
        <f t="shared" si="2"/>
        <v>9.0787421428382684E-2</v>
      </c>
      <c r="S10" s="62">
        <f t="shared" si="3"/>
        <v>3.4224236519971189E-2</v>
      </c>
      <c r="T10" s="62">
        <f t="shared" si="4"/>
        <v>0.11997226074895978</v>
      </c>
      <c r="U10" s="63">
        <f t="shared" si="5"/>
        <v>4.5699999999999998E-2</v>
      </c>
      <c r="V10" s="64">
        <f t="shared" si="6"/>
        <v>4.3200000000000016E-2</v>
      </c>
    </row>
    <row r="11" spans="1:25">
      <c r="A11" s="184">
        <v>6</v>
      </c>
      <c r="B11" s="149" t="s">
        <v>29</v>
      </c>
      <c r="C11" s="148" t="s">
        <v>30</v>
      </c>
      <c r="D11" s="38">
        <v>484194786.89999998</v>
      </c>
      <c r="E11" s="34">
        <f t="shared" si="0"/>
        <v>3.2673552958005225E-3</v>
      </c>
      <c r="F11" s="33">
        <v>266.97730000000001</v>
      </c>
      <c r="G11" s="33">
        <v>267.59609999999998</v>
      </c>
      <c r="H11" s="37">
        <v>159</v>
      </c>
      <c r="I11" s="58">
        <v>1.1205E-2</v>
      </c>
      <c r="J11" s="58">
        <v>0.24690000000000001</v>
      </c>
      <c r="K11" s="38">
        <v>502427271.31</v>
      </c>
      <c r="L11" s="34">
        <f t="shared" si="1"/>
        <v>3.1557192247292985E-3</v>
      </c>
      <c r="M11" s="33">
        <v>270.57389999999998</v>
      </c>
      <c r="N11" s="33">
        <v>272.63659999999999</v>
      </c>
      <c r="O11" s="37">
        <v>165</v>
      </c>
      <c r="P11" s="58">
        <v>5.3E-3</v>
      </c>
      <c r="Q11" s="58">
        <v>0.2737</v>
      </c>
      <c r="R11" s="62">
        <f t="shared" si="2"/>
        <v>3.7655267886569699E-2</v>
      </c>
      <c r="S11" s="62">
        <f t="shared" si="3"/>
        <v>1.8836223696832684E-2</v>
      </c>
      <c r="T11" s="62">
        <f t="shared" si="4"/>
        <v>3.7735849056603772E-2</v>
      </c>
      <c r="U11" s="63">
        <f t="shared" si="5"/>
        <v>-5.9049999999999997E-3</v>
      </c>
      <c r="V11" s="64">
        <f t="shared" si="6"/>
        <v>2.679999999999999E-2</v>
      </c>
    </row>
    <row r="12" spans="1:25">
      <c r="A12" s="184">
        <v>7</v>
      </c>
      <c r="B12" s="149" t="s">
        <v>31</v>
      </c>
      <c r="C12" s="148" t="s">
        <v>32</v>
      </c>
      <c r="D12" s="33">
        <v>4833820605.6199999</v>
      </c>
      <c r="E12" s="34">
        <f t="shared" si="0"/>
        <v>3.2618710035769279E-2</v>
      </c>
      <c r="F12" s="33">
        <v>564.37</v>
      </c>
      <c r="G12" s="33">
        <v>572.63</v>
      </c>
      <c r="H12" s="37">
        <v>1967</v>
      </c>
      <c r="I12" s="58">
        <v>1.41E-2</v>
      </c>
      <c r="J12" s="58">
        <v>0.245</v>
      </c>
      <c r="K12" s="33">
        <v>5100584572.7200003</v>
      </c>
      <c r="L12" s="34">
        <f t="shared" si="1"/>
        <v>3.203650301768525E-2</v>
      </c>
      <c r="M12" s="33">
        <v>571.38</v>
      </c>
      <c r="N12" s="33">
        <v>579.79</v>
      </c>
      <c r="O12" s="37">
        <v>1976</v>
      </c>
      <c r="P12" s="58">
        <v>1.2500000000000001E-2</v>
      </c>
      <c r="Q12" s="58">
        <v>0.26040000000000002</v>
      </c>
      <c r="R12" s="62">
        <f t="shared" si="2"/>
        <v>5.5186981244163172E-2</v>
      </c>
      <c r="S12" s="62">
        <f t="shared" si="3"/>
        <v>1.2503710947732337E-2</v>
      </c>
      <c r="T12" s="62">
        <f t="shared" si="4"/>
        <v>4.5754956786985259E-3</v>
      </c>
      <c r="U12" s="63">
        <f t="shared" si="5"/>
        <v>-1.599999999999999E-3</v>
      </c>
      <c r="V12" s="64">
        <f t="shared" si="6"/>
        <v>1.5400000000000025E-2</v>
      </c>
    </row>
    <row r="13" spans="1:25">
      <c r="A13" s="184">
        <v>8</v>
      </c>
      <c r="B13" s="149" t="s">
        <v>33</v>
      </c>
      <c r="C13" s="148" t="s">
        <v>34</v>
      </c>
      <c r="D13" s="39">
        <v>599242424.49000001</v>
      </c>
      <c r="E13" s="34">
        <f t="shared" si="0"/>
        <v>4.04369886272674E-3</v>
      </c>
      <c r="F13" s="33">
        <v>298.29000000000002</v>
      </c>
      <c r="G13" s="33">
        <v>312.41000000000003</v>
      </c>
      <c r="H13" s="35">
        <v>2469</v>
      </c>
      <c r="I13" s="57">
        <v>-3.4099999999999998E-3</v>
      </c>
      <c r="J13" s="57">
        <v>0.1804</v>
      </c>
      <c r="K13" s="39">
        <v>577707579.70000005</v>
      </c>
      <c r="L13" s="34">
        <f t="shared" si="1"/>
        <v>3.6285508761849691E-3</v>
      </c>
      <c r="M13" s="33">
        <v>288.55</v>
      </c>
      <c r="N13" s="33">
        <v>303.02</v>
      </c>
      <c r="O13" s="35">
        <v>2469</v>
      </c>
      <c r="P13" s="57">
        <v>6.2600000000000003E-2</v>
      </c>
      <c r="Q13" s="57">
        <v>0.31587999999999999</v>
      </c>
      <c r="R13" s="62">
        <f t="shared" si="2"/>
        <v>-3.5936782694128706E-2</v>
      </c>
      <c r="S13" s="62">
        <f t="shared" si="3"/>
        <v>-3.0056656317019436E-2</v>
      </c>
      <c r="T13" s="62">
        <f t="shared" si="4"/>
        <v>0</v>
      </c>
      <c r="U13" s="63">
        <f t="shared" si="5"/>
        <v>6.6009999999999999E-2</v>
      </c>
      <c r="V13" s="64">
        <f t="shared" si="6"/>
        <v>0.13547999999999999</v>
      </c>
    </row>
    <row r="14" spans="1:25">
      <c r="A14" s="184">
        <v>9</v>
      </c>
      <c r="B14" s="149" t="s">
        <v>35</v>
      </c>
      <c r="C14" s="148" t="s">
        <v>36</v>
      </c>
      <c r="D14" s="38">
        <v>113111348.57799999</v>
      </c>
      <c r="E14" s="34">
        <f t="shared" si="0"/>
        <v>7.6327745318702689E-4</v>
      </c>
      <c r="F14" s="33">
        <v>402.83179999999999</v>
      </c>
      <c r="G14" s="33">
        <v>416.81479999999999</v>
      </c>
      <c r="H14" s="35">
        <v>34</v>
      </c>
      <c r="I14" s="57">
        <v>-8.9999999999999998E-4</v>
      </c>
      <c r="J14" s="57">
        <v>0.27289999999999998</v>
      </c>
      <c r="K14" s="38">
        <v>116995777.7788</v>
      </c>
      <c r="L14" s="34">
        <f t="shared" si="1"/>
        <v>7.3484431724032408E-4</v>
      </c>
      <c r="M14" s="33">
        <v>408.61770000000001</v>
      </c>
      <c r="N14" s="33">
        <v>422.70060000000001</v>
      </c>
      <c r="O14" s="35">
        <v>34</v>
      </c>
      <c r="P14" s="57">
        <v>1.4200000000000001E-2</v>
      </c>
      <c r="Q14" s="57">
        <v>0.29099999999999998</v>
      </c>
      <c r="R14" s="62">
        <f t="shared" si="2"/>
        <v>3.4341639894085021E-2</v>
      </c>
      <c r="S14" s="62">
        <f t="shared" si="3"/>
        <v>1.4120899737725286E-2</v>
      </c>
      <c r="T14" s="62">
        <f t="shared" si="4"/>
        <v>0</v>
      </c>
      <c r="U14" s="63">
        <f t="shared" si="5"/>
        <v>1.5100000000000001E-2</v>
      </c>
      <c r="V14" s="64">
        <f t="shared" si="6"/>
        <v>1.8100000000000005E-2</v>
      </c>
    </row>
    <row r="15" spans="1:25" ht="14.25" customHeight="1">
      <c r="A15" s="184">
        <v>10</v>
      </c>
      <c r="B15" s="149" t="s">
        <v>37</v>
      </c>
      <c r="C15" s="148" t="s">
        <v>38</v>
      </c>
      <c r="D15" s="39">
        <v>12764088294.530001</v>
      </c>
      <c r="E15" s="34">
        <f t="shared" si="0"/>
        <v>8.6132301737918734E-2</v>
      </c>
      <c r="F15" s="33">
        <v>5.1193</v>
      </c>
      <c r="G15" s="33">
        <v>5.1455000000000002</v>
      </c>
      <c r="H15" s="35">
        <v>6898</v>
      </c>
      <c r="I15" s="57">
        <v>9.1999999999999998E-3</v>
      </c>
      <c r="J15" s="57">
        <v>0.2868</v>
      </c>
      <c r="K15" s="39">
        <v>14308554778.459999</v>
      </c>
      <c r="L15" s="34">
        <f t="shared" si="1"/>
        <v>8.9871278831555296E-2</v>
      </c>
      <c r="M15" s="33">
        <v>5.2485429999999997</v>
      </c>
      <c r="N15" s="33">
        <v>5.2746899999999997</v>
      </c>
      <c r="O15" s="35">
        <v>7322</v>
      </c>
      <c r="P15" s="57">
        <v>2.52E-2</v>
      </c>
      <c r="Q15" s="57">
        <v>0.31929999999999997</v>
      </c>
      <c r="R15" s="62">
        <f t="shared" si="2"/>
        <v>0.12100092449155757</v>
      </c>
      <c r="S15" s="62">
        <f t="shared" si="3"/>
        <v>2.5107375376542507E-2</v>
      </c>
      <c r="T15" s="62">
        <f t="shared" si="4"/>
        <v>6.1467091910698754E-2</v>
      </c>
      <c r="U15" s="63">
        <f t="shared" si="5"/>
        <v>1.6E-2</v>
      </c>
      <c r="V15" s="64">
        <f t="shared" si="6"/>
        <v>3.2499999999999973E-2</v>
      </c>
    </row>
    <row r="16" spans="1:25" ht="14.25" customHeight="1">
      <c r="A16" s="186">
        <v>11</v>
      </c>
      <c r="B16" s="149" t="s">
        <v>39</v>
      </c>
      <c r="C16" s="148" t="s">
        <v>40</v>
      </c>
      <c r="D16" s="39">
        <v>362700197.00999999</v>
      </c>
      <c r="E16" s="34">
        <f t="shared" si="0"/>
        <v>2.4475075766011234E-3</v>
      </c>
      <c r="F16" s="33">
        <v>36.159999999999997</v>
      </c>
      <c r="G16" s="33">
        <v>36.47</v>
      </c>
      <c r="H16" s="35">
        <v>115</v>
      </c>
      <c r="I16" s="57">
        <v>0</v>
      </c>
      <c r="J16" s="57">
        <v>0.37</v>
      </c>
      <c r="K16" s="39">
        <v>385449596.25999999</v>
      </c>
      <c r="L16" s="34">
        <f t="shared" si="1"/>
        <v>2.4209886097749695E-3</v>
      </c>
      <c r="M16" s="33">
        <v>38.630000000000003</v>
      </c>
      <c r="N16" s="33">
        <v>38.950000000000003</v>
      </c>
      <c r="O16" s="35">
        <v>123</v>
      </c>
      <c r="P16" s="57">
        <v>0.08</v>
      </c>
      <c r="Q16" s="57">
        <v>0.47</v>
      </c>
      <c r="R16" s="62">
        <f t="shared" ref="R16" si="7">((K16-D16)/D16)</f>
        <v>6.2722323940101909E-2</v>
      </c>
      <c r="S16" s="62">
        <f t="shared" ref="S16" si="8">((N16-G16)/G16)</f>
        <v>6.8001096791883847E-2</v>
      </c>
      <c r="T16" s="62">
        <f t="shared" ref="T16" si="9">((O16-H16)/H16)</f>
        <v>6.9565217391304349E-2</v>
      </c>
      <c r="U16" s="63">
        <f t="shared" ref="U16" si="10">P16-I16</f>
        <v>0.08</v>
      </c>
      <c r="V16" s="64">
        <f t="shared" ref="V16" si="11">Q16-J16</f>
        <v>9.9999999999999978E-2</v>
      </c>
    </row>
    <row r="17" spans="1:22">
      <c r="A17" s="184">
        <v>12</v>
      </c>
      <c r="B17" s="149" t="s">
        <v>41</v>
      </c>
      <c r="C17" s="148" t="s">
        <v>42</v>
      </c>
      <c r="D17" s="40">
        <v>3713062891.2800002</v>
      </c>
      <c r="E17" s="34">
        <f t="shared" si="0"/>
        <v>2.5055816439365528E-2</v>
      </c>
      <c r="F17" s="33">
        <v>7.22</v>
      </c>
      <c r="G17" s="33">
        <v>7.38</v>
      </c>
      <c r="H17" s="35">
        <v>3757</v>
      </c>
      <c r="I17" s="57">
        <v>0.2034</v>
      </c>
      <c r="J17" s="57">
        <v>0.30530000000000002</v>
      </c>
      <c r="K17" s="40">
        <v>3830744088.9000001</v>
      </c>
      <c r="L17" s="34">
        <f t="shared" si="1"/>
        <v>2.4060701830217801E-2</v>
      </c>
      <c r="M17" s="33">
        <v>7.44</v>
      </c>
      <c r="N17" s="33">
        <v>7.61</v>
      </c>
      <c r="O17" s="35">
        <v>3765</v>
      </c>
      <c r="P17" s="57">
        <v>0.24010000000000001</v>
      </c>
      <c r="Q17" s="57">
        <v>0.34510000000000002</v>
      </c>
      <c r="R17" s="62">
        <f t="shared" si="2"/>
        <v>3.1693833653173534E-2</v>
      </c>
      <c r="S17" s="62">
        <f t="shared" si="3"/>
        <v>3.116531165311659E-2</v>
      </c>
      <c r="T17" s="62">
        <f t="shared" si="4"/>
        <v>2.129358530742614E-3</v>
      </c>
      <c r="U17" s="63">
        <f t="shared" si="5"/>
        <v>3.670000000000001E-2</v>
      </c>
      <c r="V17" s="64">
        <f t="shared" si="6"/>
        <v>3.9800000000000002E-2</v>
      </c>
    </row>
    <row r="18" spans="1:22">
      <c r="A18" s="184">
        <v>13</v>
      </c>
      <c r="B18" s="149" t="s">
        <v>43</v>
      </c>
      <c r="C18" s="148" t="s">
        <v>44</v>
      </c>
      <c r="D18" s="33">
        <v>6556260252.6000004</v>
      </c>
      <c r="E18" s="34">
        <f t="shared" si="0"/>
        <v>4.4241764340604645E-2</v>
      </c>
      <c r="F18" s="33">
        <v>41.954718999999997</v>
      </c>
      <c r="G18" s="33">
        <v>42.109686000000004</v>
      </c>
      <c r="H18" s="35">
        <v>975</v>
      </c>
      <c r="I18" s="57">
        <v>-2.0999999999999999E-3</v>
      </c>
      <c r="J18" s="57">
        <v>0.2898</v>
      </c>
      <c r="K18" s="33">
        <v>7084401561.6000004</v>
      </c>
      <c r="L18" s="34">
        <f t="shared" si="1"/>
        <v>4.4496753023283625E-2</v>
      </c>
      <c r="M18" s="33">
        <v>43.1</v>
      </c>
      <c r="N18" s="33">
        <v>43.26</v>
      </c>
      <c r="O18" s="35">
        <v>1477</v>
      </c>
      <c r="P18" s="57">
        <v>2.7300000000000001E-2</v>
      </c>
      <c r="Q18" s="57">
        <v>0.32490000000000002</v>
      </c>
      <c r="R18" s="62">
        <f t="shared" si="2"/>
        <v>8.0555269109482991E-2</v>
      </c>
      <c r="S18" s="62">
        <f t="shared" si="3"/>
        <v>2.7317088044778923E-2</v>
      </c>
      <c r="T18" s="62">
        <f t="shared" si="4"/>
        <v>0.51487179487179491</v>
      </c>
      <c r="U18" s="63">
        <f t="shared" si="5"/>
        <v>2.9400000000000003E-2</v>
      </c>
      <c r="V18" s="64">
        <f t="shared" si="6"/>
        <v>3.510000000000002E-2</v>
      </c>
    </row>
    <row r="19" spans="1:22">
      <c r="A19" s="184">
        <v>14</v>
      </c>
      <c r="B19" s="149" t="s">
        <v>45</v>
      </c>
      <c r="C19" s="148" t="s">
        <v>46</v>
      </c>
      <c r="D19" s="33">
        <v>233632318.81</v>
      </c>
      <c r="E19" s="34">
        <f t="shared" si="0"/>
        <v>1.5765551690907922E-3</v>
      </c>
      <c r="F19" s="33">
        <v>2.512238</v>
      </c>
      <c r="G19" s="33">
        <v>2.5895260000000002</v>
      </c>
      <c r="H19" s="35">
        <v>26</v>
      </c>
      <c r="I19" s="57">
        <v>8.3999999999999995E-3</v>
      </c>
      <c r="J19" s="57">
        <v>0.28179999999999999</v>
      </c>
      <c r="K19" s="33">
        <v>236828354.28</v>
      </c>
      <c r="L19" s="34">
        <f t="shared" si="1"/>
        <v>1.4875064178219543E-3</v>
      </c>
      <c r="M19" s="33">
        <v>2.54</v>
      </c>
      <c r="N19" s="33">
        <v>2.62</v>
      </c>
      <c r="O19" s="35">
        <v>26</v>
      </c>
      <c r="P19" s="57">
        <v>6.4000000000000003E-3</v>
      </c>
      <c r="Q19" s="57">
        <v>0.29670000000000002</v>
      </c>
      <c r="R19" s="62">
        <f t="shared" si="2"/>
        <v>1.3679766079791189E-2</v>
      </c>
      <c r="S19" s="62">
        <f t="shared" si="3"/>
        <v>1.1768176878702854E-2</v>
      </c>
      <c r="T19" s="62">
        <f t="shared" si="4"/>
        <v>0</v>
      </c>
      <c r="U19" s="63">
        <f t="shared" si="5"/>
        <v>-1.9999999999999992E-3</v>
      </c>
      <c r="V19" s="64">
        <f t="shared" si="6"/>
        <v>1.4900000000000024E-2</v>
      </c>
    </row>
    <row r="20" spans="1:22">
      <c r="A20" s="184">
        <v>15</v>
      </c>
      <c r="B20" s="149" t="s">
        <v>47</v>
      </c>
      <c r="C20" s="148" t="s">
        <v>48</v>
      </c>
      <c r="D20" s="141">
        <v>14240628656.219999</v>
      </c>
      <c r="E20" s="34">
        <f t="shared" si="0"/>
        <v>9.6096023159040533E-2</v>
      </c>
      <c r="F20" s="33">
        <v>64.41</v>
      </c>
      <c r="G20" s="33">
        <v>64.540000000000006</v>
      </c>
      <c r="H20" s="35">
        <v>15486</v>
      </c>
      <c r="I20" s="57">
        <v>2.0899999999999998E-2</v>
      </c>
      <c r="J20" s="57">
        <v>0.35709999999999997</v>
      </c>
      <c r="K20" s="141">
        <v>15352792585.9</v>
      </c>
      <c r="L20" s="34">
        <f t="shared" si="1"/>
        <v>9.643008149275549E-2</v>
      </c>
      <c r="M20" s="33">
        <v>66.45</v>
      </c>
      <c r="N20" s="33">
        <v>66.63</v>
      </c>
      <c r="O20" s="35">
        <v>16196</v>
      </c>
      <c r="P20" s="57">
        <v>4.2999999999999997E-2</v>
      </c>
      <c r="Q20" s="57">
        <v>0.40010000000000001</v>
      </c>
      <c r="R20" s="62">
        <f t="shared" si="2"/>
        <v>7.8097951749779751E-2</v>
      </c>
      <c r="S20" s="62">
        <f t="shared" si="3"/>
        <v>3.2383018283235032E-2</v>
      </c>
      <c r="T20" s="62">
        <f t="shared" si="4"/>
        <v>4.5847862585561151E-2</v>
      </c>
      <c r="U20" s="63">
        <f t="shared" si="5"/>
        <v>2.2099999999999998E-2</v>
      </c>
      <c r="V20" s="64">
        <f t="shared" si="6"/>
        <v>4.3000000000000038E-2</v>
      </c>
    </row>
    <row r="21" spans="1:22" ht="12.75" customHeight="1">
      <c r="A21" s="184">
        <v>16</v>
      </c>
      <c r="B21" s="149" t="s">
        <v>49</v>
      </c>
      <c r="C21" s="148" t="s">
        <v>50</v>
      </c>
      <c r="D21" s="33">
        <v>3305568722.4400001</v>
      </c>
      <c r="E21" s="34">
        <f t="shared" si="0"/>
        <v>2.2306038319920007E-2</v>
      </c>
      <c r="F21" s="33">
        <v>15709.56</v>
      </c>
      <c r="G21" s="33">
        <v>15876.81</v>
      </c>
      <c r="H21" s="35">
        <v>52</v>
      </c>
      <c r="I21" s="57">
        <v>8.6999999999999994E-3</v>
      </c>
      <c r="J21" s="57">
        <v>0.23449999999999999</v>
      </c>
      <c r="K21" s="33">
        <v>3428933754.6100001</v>
      </c>
      <c r="L21" s="34">
        <f t="shared" si="1"/>
        <v>2.153695228671124E-2</v>
      </c>
      <c r="M21" s="33">
        <v>16038.99</v>
      </c>
      <c r="N21" s="33">
        <v>16265.76</v>
      </c>
      <c r="O21" s="35">
        <v>54</v>
      </c>
      <c r="P21" s="57">
        <v>2.4500000000000001E-2</v>
      </c>
      <c r="Q21" s="57">
        <v>0.26469999999999999</v>
      </c>
      <c r="R21" s="62">
        <f t="shared" si="2"/>
        <v>3.7320365277094703E-2</v>
      </c>
      <c r="S21" s="62">
        <f t="shared" si="3"/>
        <v>2.44979942444358E-2</v>
      </c>
      <c r="T21" s="62">
        <f t="shared" si="4"/>
        <v>3.8461538461538464E-2</v>
      </c>
      <c r="U21" s="63">
        <f t="shared" si="5"/>
        <v>1.5800000000000002E-2</v>
      </c>
      <c r="V21" s="64">
        <f t="shared" si="6"/>
        <v>3.0200000000000005E-2</v>
      </c>
    </row>
    <row r="22" spans="1:22">
      <c r="A22" s="184">
        <v>17</v>
      </c>
      <c r="B22" s="149" t="s">
        <v>51</v>
      </c>
      <c r="C22" s="148" t="s">
        <v>50</v>
      </c>
      <c r="D22" s="33">
        <v>44889007941.43</v>
      </c>
      <c r="E22" s="34">
        <f t="shared" si="0"/>
        <v>0.3029118482660455</v>
      </c>
      <c r="F22" s="33">
        <v>54668.63</v>
      </c>
      <c r="G22" s="33">
        <v>55357.14</v>
      </c>
      <c r="H22" s="35">
        <v>24247</v>
      </c>
      <c r="I22" s="57">
        <v>0.01</v>
      </c>
      <c r="J22" s="57">
        <v>0.27910000000000001</v>
      </c>
      <c r="K22" s="33">
        <v>48065945290.269997</v>
      </c>
      <c r="L22" s="34">
        <f t="shared" si="1"/>
        <v>0.30189967039767396</v>
      </c>
      <c r="M22" s="33">
        <v>55826.81</v>
      </c>
      <c r="N22" s="33">
        <v>56566.66</v>
      </c>
      <c r="O22" s="35">
        <v>25414</v>
      </c>
      <c r="P22" s="57">
        <v>2.18E-2</v>
      </c>
      <c r="Q22" s="57">
        <v>0.30709999999999998</v>
      </c>
      <c r="R22" s="62">
        <f t="shared" si="2"/>
        <v>7.0773169079280634E-2</v>
      </c>
      <c r="S22" s="62">
        <f t="shared" si="3"/>
        <v>2.1849394676097863E-2</v>
      </c>
      <c r="T22" s="62">
        <f t="shared" si="4"/>
        <v>4.812966552563204E-2</v>
      </c>
      <c r="U22" s="63">
        <f t="shared" si="5"/>
        <v>1.18E-2</v>
      </c>
      <c r="V22" s="64">
        <f t="shared" si="6"/>
        <v>2.7999999999999969E-2</v>
      </c>
    </row>
    <row r="23" spans="1:22">
      <c r="A23" s="186">
        <v>18</v>
      </c>
      <c r="B23" s="148" t="s">
        <v>52</v>
      </c>
      <c r="C23" s="148" t="s">
        <v>53</v>
      </c>
      <c r="D23" s="33">
        <v>10798420593.370001</v>
      </c>
      <c r="E23" s="34">
        <f t="shared" si="0"/>
        <v>7.2867940065855535E-2</v>
      </c>
      <c r="F23" s="33">
        <v>2.4542000000000002</v>
      </c>
      <c r="G23" s="41">
        <v>2.4777999999999998</v>
      </c>
      <c r="H23" s="35">
        <v>7384</v>
      </c>
      <c r="I23" s="57">
        <v>1.32E-2</v>
      </c>
      <c r="J23" s="57">
        <v>0.2767</v>
      </c>
      <c r="K23" s="33">
        <v>11474506917.91</v>
      </c>
      <c r="L23" s="34">
        <f t="shared" si="1"/>
        <v>7.2070773508621871E-2</v>
      </c>
      <c r="M23" s="33">
        <v>2.48055</v>
      </c>
      <c r="N23" s="41">
        <v>2.5039799999999999</v>
      </c>
      <c r="O23" s="35">
        <v>7535</v>
      </c>
      <c r="P23" s="57">
        <v>1.0699999999999999E-2</v>
      </c>
      <c r="Q23" s="57">
        <v>0.29039999999999999</v>
      </c>
      <c r="R23" s="62">
        <f t="shared" ref="R23:R24" si="12">((K23-D23)/D23)</f>
        <v>6.2609741739000385E-2</v>
      </c>
      <c r="S23" s="62">
        <f t="shared" ref="S23:S24" si="13">((N23-G23)/G23)</f>
        <v>1.0565824521753206E-2</v>
      </c>
      <c r="T23" s="62">
        <f t="shared" ref="T23:T24" si="14">((O23-H23)/H23)</f>
        <v>2.0449620801733476E-2</v>
      </c>
      <c r="U23" s="63">
        <f t="shared" ref="U23:U24" si="15">P23-I23</f>
        <v>-2.5000000000000005E-3</v>
      </c>
      <c r="V23" s="64">
        <f t="shared" ref="V23:V24" si="16">Q23-J23</f>
        <v>1.369999999999999E-2</v>
      </c>
    </row>
    <row r="24" spans="1:22">
      <c r="A24" s="186">
        <v>19</v>
      </c>
      <c r="B24" s="149" t="s">
        <v>328</v>
      </c>
      <c r="C24" s="148" t="s">
        <v>125</v>
      </c>
      <c r="D24" s="33">
        <v>1641234498.52</v>
      </c>
      <c r="E24" s="34">
        <f t="shared" si="0"/>
        <v>1.1075080474786989E-2</v>
      </c>
      <c r="F24" s="33">
        <v>1.47</v>
      </c>
      <c r="G24" s="41">
        <v>1.47</v>
      </c>
      <c r="H24" s="35">
        <v>574</v>
      </c>
      <c r="I24" s="57">
        <v>7.4999999999999997E-3</v>
      </c>
      <c r="J24" s="57">
        <v>0.44569999999999999</v>
      </c>
      <c r="K24" s="33">
        <v>2561646582.8400002</v>
      </c>
      <c r="L24" s="34">
        <f t="shared" si="1"/>
        <v>1.6089567246923061E-2</v>
      </c>
      <c r="M24" s="33">
        <v>1.53</v>
      </c>
      <c r="N24" s="41">
        <v>1.55</v>
      </c>
      <c r="O24" s="35">
        <v>716</v>
      </c>
      <c r="P24" s="57">
        <v>4.0599999999999997E-2</v>
      </c>
      <c r="Q24" s="57">
        <v>0.50419999999999998</v>
      </c>
      <c r="R24" s="62">
        <f t="shared" si="12"/>
        <v>0.56080473884139725</v>
      </c>
      <c r="S24" s="62">
        <f t="shared" si="13"/>
        <v>5.442176870748304E-2</v>
      </c>
      <c r="T24" s="62">
        <f t="shared" si="14"/>
        <v>0.24738675958188153</v>
      </c>
      <c r="U24" s="63">
        <f t="shared" si="15"/>
        <v>3.3099999999999997E-2</v>
      </c>
      <c r="V24" s="64">
        <f t="shared" si="16"/>
        <v>5.8499999999999996E-2</v>
      </c>
    </row>
    <row r="25" spans="1:22">
      <c r="A25" s="184">
        <v>20</v>
      </c>
      <c r="B25" s="148" t="s">
        <v>54</v>
      </c>
      <c r="C25" s="148" t="s">
        <v>55</v>
      </c>
      <c r="D25" s="33">
        <v>14812370529.4</v>
      </c>
      <c r="E25" s="34">
        <f>(D25/$D$26)</f>
        <v>9.9954147797526982E-2</v>
      </c>
      <c r="F25" s="33">
        <v>285.77999999999997</v>
      </c>
      <c r="G25" s="41">
        <v>290.7</v>
      </c>
      <c r="H25" s="35">
        <v>101</v>
      </c>
      <c r="I25" s="57">
        <v>-6.9999999999999999E-4</v>
      </c>
      <c r="J25" s="57">
        <v>0.35320000000000001</v>
      </c>
      <c r="K25" s="33">
        <v>15236943800.84</v>
      </c>
      <c r="L25" s="34">
        <f t="shared" si="1"/>
        <v>9.5702441376361802E-2</v>
      </c>
      <c r="M25" s="33">
        <v>292.16000000000003</v>
      </c>
      <c r="N25" s="41">
        <v>297.17</v>
      </c>
      <c r="O25" s="35">
        <v>105</v>
      </c>
      <c r="P25" s="57">
        <v>2.23E-2</v>
      </c>
      <c r="Q25" s="57">
        <v>0.38340000000000002</v>
      </c>
      <c r="R25" s="62">
        <f t="shared" si="2"/>
        <v>2.8663424979634141E-2</v>
      </c>
      <c r="S25" s="62">
        <f t="shared" si="3"/>
        <v>2.2256621947024519E-2</v>
      </c>
      <c r="T25" s="62">
        <f t="shared" si="4"/>
        <v>3.9603960396039604E-2</v>
      </c>
      <c r="U25" s="63">
        <f t="shared" si="5"/>
        <v>2.3E-2</v>
      </c>
      <c r="V25" s="64">
        <f t="shared" si="6"/>
        <v>3.0200000000000005E-2</v>
      </c>
    </row>
    <row r="26" spans="1:22">
      <c r="A26" s="42"/>
      <c r="B26" s="43"/>
      <c r="C26" s="44" t="s">
        <v>56</v>
      </c>
      <c r="D26" s="45">
        <f>SUM(D6:D25)</f>
        <v>148191654431.43802</v>
      </c>
      <c r="E26" s="46">
        <f>(D26/$D$234)</f>
        <v>1.7974823083308712E-2</v>
      </c>
      <c r="F26" s="47"/>
      <c r="G26" s="48"/>
      <c r="H26" s="49">
        <f>SUM(H6:H25)</f>
        <v>79757</v>
      </c>
      <c r="I26" s="59"/>
      <c r="J26" s="35">
        <v>0</v>
      </c>
      <c r="K26" s="45">
        <f>SUM(K6:K25)</f>
        <v>159211652092.74878</v>
      </c>
      <c r="L26" s="46">
        <f>(K26/$K$234)</f>
        <v>1.9080265261180559E-2</v>
      </c>
      <c r="M26" s="47"/>
      <c r="N26" s="48"/>
      <c r="O26" s="49">
        <f>SUM(O6:O25)</f>
        <v>83342</v>
      </c>
      <c r="P26" s="59"/>
      <c r="Q26" s="49"/>
      <c r="R26" s="62">
        <f t="shared" si="2"/>
        <v>7.4363146181145076E-2</v>
      </c>
      <c r="S26" s="62" t="e">
        <f t="shared" si="3"/>
        <v>#DIV/0!</v>
      </c>
      <c r="T26" s="62">
        <f t="shared" si="4"/>
        <v>4.4949032686786114E-2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2" ht="15" customHeight="1">
      <c r="A28" s="191" t="s">
        <v>57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</row>
    <row r="29" spans="1:22">
      <c r="A29" s="182">
        <v>21</v>
      </c>
      <c r="B29" s="149" t="s">
        <v>58</v>
      </c>
      <c r="C29" s="148" t="s">
        <v>20</v>
      </c>
      <c r="D29" s="51">
        <v>5817039135.9700003</v>
      </c>
      <c r="E29" s="34">
        <f t="shared" ref="E29:E35" si="17">(D29/$K$74)</f>
        <v>1.090090481960161E-3</v>
      </c>
      <c r="F29" s="41">
        <v>100</v>
      </c>
      <c r="G29" s="41">
        <v>100</v>
      </c>
      <c r="H29" s="35">
        <v>908</v>
      </c>
      <c r="I29" s="57">
        <v>0.1545</v>
      </c>
      <c r="J29" s="57">
        <v>0.1545</v>
      </c>
      <c r="K29" s="51">
        <v>5833787094.8100004</v>
      </c>
      <c r="L29" s="34">
        <f t="shared" ref="L29:L35" si="18">(K29/$K$74)</f>
        <v>1.0932289842285835E-3</v>
      </c>
      <c r="M29" s="41">
        <v>100</v>
      </c>
      <c r="N29" s="41">
        <v>100</v>
      </c>
      <c r="O29" s="35">
        <v>908</v>
      </c>
      <c r="P29" s="57">
        <v>0.14430000000000001</v>
      </c>
      <c r="Q29" s="57">
        <v>0.14430000000000001</v>
      </c>
      <c r="R29" s="62">
        <f>((K29-D29)/D29)</f>
        <v>2.8791208806621523E-3</v>
      </c>
      <c r="S29" s="62">
        <f>((N29-G29)/G29)</f>
        <v>0</v>
      </c>
      <c r="T29" s="62">
        <f>((O29-H29)/H29)</f>
        <v>0</v>
      </c>
      <c r="U29" s="62">
        <f>P29-I29</f>
        <v>-1.0199999999999987E-2</v>
      </c>
      <c r="V29" s="109">
        <f>Q29-J29</f>
        <v>-1.0199999999999987E-2</v>
      </c>
    </row>
    <row r="30" spans="1:22">
      <c r="A30" s="182">
        <v>22</v>
      </c>
      <c r="B30" s="149" t="s">
        <v>59</v>
      </c>
      <c r="C30" s="148" t="s">
        <v>60</v>
      </c>
      <c r="D30" s="51">
        <v>37811833623.639999</v>
      </c>
      <c r="E30" s="34">
        <f t="shared" si="17"/>
        <v>7.0857903780834593E-3</v>
      </c>
      <c r="F30" s="41">
        <v>100</v>
      </c>
      <c r="G30" s="41">
        <v>100</v>
      </c>
      <c r="H30" s="35">
        <v>4632</v>
      </c>
      <c r="I30" s="57">
        <v>0.17120299999999999</v>
      </c>
      <c r="J30" s="57">
        <v>0.17120299999999999</v>
      </c>
      <c r="K30" s="51">
        <v>37848934165.110001</v>
      </c>
      <c r="L30" s="34">
        <f t="shared" si="18"/>
        <v>7.0927428750817926E-3</v>
      </c>
      <c r="M30" s="41">
        <v>100</v>
      </c>
      <c r="N30" s="41">
        <v>100</v>
      </c>
      <c r="O30" s="35">
        <v>4452</v>
      </c>
      <c r="P30" s="57">
        <v>0.17167199999999999</v>
      </c>
      <c r="Q30" s="57">
        <v>0.17167199999999999</v>
      </c>
      <c r="R30" s="62">
        <f t="shared" ref="R30:R74" si="19">((K30-D30)/D30)</f>
        <v>9.8118863632167051E-4</v>
      </c>
      <c r="S30" s="62">
        <f t="shared" ref="S30:S74" si="20">((N30-G30)/G30)</f>
        <v>0</v>
      </c>
      <c r="T30" s="62">
        <f t="shared" ref="T30:T74" si="21">((O30-H30)/H30)</f>
        <v>-3.8860103626943004E-2</v>
      </c>
      <c r="U30" s="63">
        <f t="shared" ref="U30:U74" si="22">P30-I30</f>
        <v>4.689999999999972E-4</v>
      </c>
      <c r="V30" s="64">
        <f t="shared" ref="V30:V74" si="23">Q30-J30</f>
        <v>4.689999999999972E-4</v>
      </c>
    </row>
    <row r="31" spans="1:22">
      <c r="A31" s="182">
        <v>23</v>
      </c>
      <c r="B31" s="149" t="s">
        <v>61</v>
      </c>
      <c r="C31" s="148" t="s">
        <v>22</v>
      </c>
      <c r="D31" s="51">
        <v>3536915578.9200001</v>
      </c>
      <c r="E31" s="34">
        <f t="shared" si="17"/>
        <v>6.6280420639363376E-4</v>
      </c>
      <c r="F31" s="41">
        <v>100</v>
      </c>
      <c r="G31" s="41">
        <v>100</v>
      </c>
      <c r="H31" s="35">
        <v>2443</v>
      </c>
      <c r="I31" s="57">
        <v>0.18</v>
      </c>
      <c r="J31" s="57">
        <v>0.18</v>
      </c>
      <c r="K31" s="51">
        <v>3475707799.04</v>
      </c>
      <c r="L31" s="34">
        <f t="shared" si="18"/>
        <v>6.5133410679321657E-4</v>
      </c>
      <c r="M31" s="41">
        <v>100</v>
      </c>
      <c r="N31" s="41">
        <v>100</v>
      </c>
      <c r="O31" s="35">
        <v>2459</v>
      </c>
      <c r="P31" s="57">
        <v>0.1668</v>
      </c>
      <c r="Q31" s="57">
        <v>0.1668</v>
      </c>
      <c r="R31" s="62">
        <f t="shared" si="19"/>
        <v>-1.7305411597833487E-2</v>
      </c>
      <c r="S31" s="62">
        <f t="shared" si="20"/>
        <v>0</v>
      </c>
      <c r="T31" s="62">
        <f t="shared" si="21"/>
        <v>6.5493246009005321E-3</v>
      </c>
      <c r="U31" s="63">
        <f t="shared" si="22"/>
        <v>-1.319999999999999E-2</v>
      </c>
      <c r="V31" s="64">
        <f t="shared" si="23"/>
        <v>-1.319999999999999E-2</v>
      </c>
    </row>
    <row r="32" spans="1:22">
      <c r="A32" s="182">
        <v>24</v>
      </c>
      <c r="B32" s="149" t="s">
        <v>334</v>
      </c>
      <c r="C32" s="148" t="s">
        <v>335</v>
      </c>
      <c r="D32" s="51">
        <v>675707696.84000003</v>
      </c>
      <c r="E32" s="34">
        <v>0</v>
      </c>
      <c r="F32" s="41">
        <v>100</v>
      </c>
      <c r="G32" s="41">
        <v>100</v>
      </c>
      <c r="H32" s="35">
        <v>120</v>
      </c>
      <c r="I32" s="57">
        <v>0.124014</v>
      </c>
      <c r="J32" s="57">
        <v>0.124014</v>
      </c>
      <c r="K32" s="51">
        <v>687138696.84000003</v>
      </c>
      <c r="L32" s="34">
        <f t="shared" si="18"/>
        <v>1.28767116002373E-4</v>
      </c>
      <c r="M32" s="41">
        <v>100</v>
      </c>
      <c r="N32" s="41">
        <v>100</v>
      </c>
      <c r="O32" s="35">
        <v>113</v>
      </c>
      <c r="P32" s="57">
        <v>0.14741199999999999</v>
      </c>
      <c r="Q32" s="57">
        <v>0.14741199999999999</v>
      </c>
      <c r="R32" s="62">
        <f t="shared" ref="R32" si="24">((K32-D32)/D32)</f>
        <v>1.691707827727576E-2</v>
      </c>
      <c r="S32" s="62">
        <f t="shared" ref="S32" si="25">((N32-G32)/G32)</f>
        <v>0</v>
      </c>
      <c r="T32" s="62">
        <f t="shared" ref="T32" si="26">((O32-H32)/H32)</f>
        <v>-5.8333333333333334E-2</v>
      </c>
      <c r="U32" s="63">
        <f t="shared" ref="U32" si="27">P32-I32</f>
        <v>2.3397999999999988E-2</v>
      </c>
      <c r="V32" s="64">
        <f t="shared" ref="V32" si="28">Q32-J32</f>
        <v>2.3397999999999988E-2</v>
      </c>
    </row>
    <row r="33" spans="1:22">
      <c r="A33" s="182">
        <v>25</v>
      </c>
      <c r="B33" s="149" t="s">
        <v>62</v>
      </c>
      <c r="C33" s="148" t="s">
        <v>24</v>
      </c>
      <c r="D33" s="51">
        <v>371643810156.03998</v>
      </c>
      <c r="E33" s="34">
        <f t="shared" si="17"/>
        <v>6.964460280581436E-2</v>
      </c>
      <c r="F33" s="41">
        <v>1</v>
      </c>
      <c r="G33" s="41">
        <v>1</v>
      </c>
      <c r="H33" s="35">
        <v>81102</v>
      </c>
      <c r="I33" s="57">
        <v>0.17610000000000001</v>
      </c>
      <c r="J33" s="57">
        <v>0.17610000000000001</v>
      </c>
      <c r="K33" s="51">
        <v>374964308635.85999</v>
      </c>
      <c r="L33" s="34">
        <f t="shared" si="18"/>
        <v>7.0266851290586047E-2</v>
      </c>
      <c r="M33" s="41">
        <v>1</v>
      </c>
      <c r="N33" s="41">
        <v>1</v>
      </c>
      <c r="O33" s="35">
        <v>81595</v>
      </c>
      <c r="P33" s="57">
        <v>0.17630000000000001</v>
      </c>
      <c r="Q33" s="57">
        <v>0.17630000000000001</v>
      </c>
      <c r="R33" s="62">
        <f t="shared" si="19"/>
        <v>8.9346260830386187E-3</v>
      </c>
      <c r="S33" s="62">
        <f t="shared" si="20"/>
        <v>0</v>
      </c>
      <c r="T33" s="62">
        <f t="shared" si="21"/>
        <v>6.0787650119602478E-3</v>
      </c>
      <c r="U33" s="63">
        <f t="shared" si="22"/>
        <v>2.0000000000000573E-4</v>
      </c>
      <c r="V33" s="64">
        <f t="shared" si="23"/>
        <v>2.0000000000000573E-4</v>
      </c>
    </row>
    <row r="34" spans="1:22">
      <c r="A34" s="182">
        <v>26</v>
      </c>
      <c r="B34" s="149" t="s">
        <v>63</v>
      </c>
      <c r="C34" s="148" t="s">
        <v>64</v>
      </c>
      <c r="D34" s="51">
        <v>2221514483.5100002</v>
      </c>
      <c r="E34" s="34">
        <f t="shared" si="17"/>
        <v>4.1630316341460891E-4</v>
      </c>
      <c r="F34" s="41">
        <v>1</v>
      </c>
      <c r="G34" s="41">
        <v>1</v>
      </c>
      <c r="H34" s="35">
        <v>300</v>
      </c>
      <c r="I34" s="57">
        <v>0.16500000000000001</v>
      </c>
      <c r="J34" s="57">
        <v>0.16500000000000001</v>
      </c>
      <c r="K34" s="51">
        <v>1790227249.22</v>
      </c>
      <c r="L34" s="34">
        <f t="shared" si="18"/>
        <v>3.3548161518343056E-4</v>
      </c>
      <c r="M34" s="41">
        <v>1</v>
      </c>
      <c r="N34" s="41">
        <v>1</v>
      </c>
      <c r="O34" s="35">
        <v>300</v>
      </c>
      <c r="P34" s="57">
        <v>0.16500000000000001</v>
      </c>
      <c r="Q34" s="57">
        <v>0.16500000000000001</v>
      </c>
      <c r="R34" s="62">
        <f t="shared" si="19"/>
        <v>-0.19414108595347304</v>
      </c>
      <c r="S34" s="62">
        <f t="shared" si="20"/>
        <v>0</v>
      </c>
      <c r="T34" s="62">
        <f t="shared" si="21"/>
        <v>0</v>
      </c>
      <c r="U34" s="63">
        <f t="shared" si="22"/>
        <v>0</v>
      </c>
      <c r="V34" s="64">
        <f t="shared" si="23"/>
        <v>0</v>
      </c>
    </row>
    <row r="35" spans="1:22">
      <c r="A35" s="182">
        <v>27</v>
      </c>
      <c r="B35" s="149" t="s">
        <v>65</v>
      </c>
      <c r="C35" s="148" t="s">
        <v>26</v>
      </c>
      <c r="D35" s="51">
        <v>169741498040.29999</v>
      </c>
      <c r="E35" s="34">
        <f t="shared" si="17"/>
        <v>3.1808895742719757E-2</v>
      </c>
      <c r="F35" s="41">
        <v>1</v>
      </c>
      <c r="G35" s="41">
        <v>1</v>
      </c>
      <c r="H35" s="35">
        <v>38933</v>
      </c>
      <c r="I35" s="57">
        <v>0.15909999999999999</v>
      </c>
      <c r="J35" s="57">
        <v>0.15909999999999999</v>
      </c>
      <c r="K35" s="51">
        <v>170332268699.29001</v>
      </c>
      <c r="L35" s="34">
        <f t="shared" si="18"/>
        <v>3.1919603863695627E-2</v>
      </c>
      <c r="M35" s="41">
        <v>1</v>
      </c>
      <c r="N35" s="41">
        <v>1</v>
      </c>
      <c r="O35" s="35">
        <v>39069</v>
      </c>
      <c r="P35" s="57">
        <v>0.16450000000000001</v>
      </c>
      <c r="Q35" s="57">
        <v>0.16450000000000001</v>
      </c>
      <c r="R35" s="62">
        <f t="shared" si="19"/>
        <v>3.4804138399306462E-3</v>
      </c>
      <c r="S35" s="62">
        <f t="shared" si="20"/>
        <v>0</v>
      </c>
      <c r="T35" s="62">
        <f t="shared" si="21"/>
        <v>3.4931805922995916E-3</v>
      </c>
      <c r="U35" s="63">
        <f t="shared" si="22"/>
        <v>5.4000000000000159E-3</v>
      </c>
      <c r="V35" s="64">
        <f t="shared" si="23"/>
        <v>5.4000000000000159E-3</v>
      </c>
    </row>
    <row r="36" spans="1:22">
      <c r="A36" s="182">
        <v>28</v>
      </c>
      <c r="B36" s="149" t="s">
        <v>66</v>
      </c>
      <c r="C36" s="148" t="s">
        <v>28</v>
      </c>
      <c r="D36" s="33">
        <v>19598083830.970001</v>
      </c>
      <c r="E36" s="34">
        <f t="shared" ref="E36" si="29">(D36/$D$26)</f>
        <v>0.13224822886390813</v>
      </c>
      <c r="F36" s="33">
        <v>1</v>
      </c>
      <c r="G36" s="33">
        <v>1</v>
      </c>
      <c r="H36" s="35">
        <v>1642</v>
      </c>
      <c r="I36" s="57">
        <v>0.18360000000000001</v>
      </c>
      <c r="J36" s="57">
        <v>0.18360000000000001</v>
      </c>
      <c r="K36" s="33">
        <v>19550537801.360001</v>
      </c>
      <c r="L36" s="34">
        <f t="shared" ref="L36" si="30">(K36/$K$26)</f>
        <v>0.12279589806637288</v>
      </c>
      <c r="M36" s="33">
        <v>1</v>
      </c>
      <c r="N36" s="33">
        <v>1</v>
      </c>
      <c r="O36" s="35">
        <v>1721</v>
      </c>
      <c r="P36" s="57">
        <v>0.17599999999999999</v>
      </c>
      <c r="Q36" s="57">
        <v>0.17599999999999999</v>
      </c>
      <c r="R36" s="62">
        <f t="shared" si="19"/>
        <v>-2.4260550174229627E-3</v>
      </c>
      <c r="S36" s="62">
        <f t="shared" si="20"/>
        <v>0</v>
      </c>
      <c r="T36" s="62">
        <f t="shared" si="21"/>
        <v>4.8112058465286239E-2</v>
      </c>
      <c r="U36" s="63">
        <f t="shared" si="22"/>
        <v>-7.6000000000000234E-3</v>
      </c>
      <c r="V36" s="64">
        <f t="shared" si="23"/>
        <v>-7.6000000000000234E-3</v>
      </c>
    </row>
    <row r="37" spans="1:22" ht="15" customHeight="1">
      <c r="A37" s="182">
        <v>29</v>
      </c>
      <c r="B37" s="149" t="s">
        <v>67</v>
      </c>
      <c r="C37" s="148" t="s">
        <v>48</v>
      </c>
      <c r="D37" s="51">
        <v>38704033756.980003</v>
      </c>
      <c r="E37" s="34">
        <f>(D37/$K$74)</f>
        <v>7.2529852087565979E-3</v>
      </c>
      <c r="F37" s="41">
        <v>100</v>
      </c>
      <c r="G37" s="41">
        <v>100</v>
      </c>
      <c r="H37" s="35">
        <v>12810</v>
      </c>
      <c r="I37" s="57">
        <v>0.1832</v>
      </c>
      <c r="J37" s="57">
        <v>0.1832</v>
      </c>
      <c r="K37" s="51">
        <v>39429138191</v>
      </c>
      <c r="L37" s="34">
        <f t="shared" ref="L37:L51" si="31">(K37/$K$74)</f>
        <v>7.3888669560642E-3</v>
      </c>
      <c r="M37" s="41">
        <v>100</v>
      </c>
      <c r="N37" s="41">
        <v>100</v>
      </c>
      <c r="O37" s="35">
        <v>13407</v>
      </c>
      <c r="P37" s="57">
        <v>0.17299999999999999</v>
      </c>
      <c r="Q37" s="57">
        <v>0.17299999999999999</v>
      </c>
      <c r="R37" s="62">
        <f t="shared" si="19"/>
        <v>1.8734595948651712E-2</v>
      </c>
      <c r="S37" s="62">
        <f t="shared" si="20"/>
        <v>0</v>
      </c>
      <c r="T37" s="62">
        <f t="shared" si="21"/>
        <v>4.6604215456674473E-2</v>
      </c>
      <c r="U37" s="63">
        <f t="shared" si="22"/>
        <v>-1.0200000000000015E-2</v>
      </c>
      <c r="V37" s="64">
        <f t="shared" si="23"/>
        <v>-1.0200000000000015E-2</v>
      </c>
    </row>
    <row r="38" spans="1:22" ht="15" customHeight="1">
      <c r="A38" s="182">
        <v>30</v>
      </c>
      <c r="B38" s="149" t="s">
        <v>68</v>
      </c>
      <c r="C38" s="148" t="s">
        <v>69</v>
      </c>
      <c r="D38" s="51">
        <v>2680977220.1900001</v>
      </c>
      <c r="E38" s="34">
        <f>(D38/$K$74)</f>
        <v>5.024046910755049E-4</v>
      </c>
      <c r="F38" s="41">
        <v>1</v>
      </c>
      <c r="G38" s="41">
        <v>1</v>
      </c>
      <c r="H38" s="35">
        <v>669</v>
      </c>
      <c r="I38" s="57">
        <v>0.15570000000000001</v>
      </c>
      <c r="J38" s="57">
        <v>0.15570000000000001</v>
      </c>
      <c r="K38" s="51">
        <v>2670819485.6599998</v>
      </c>
      <c r="L38" s="34">
        <f t="shared" si="31"/>
        <v>5.0050117117979688E-4</v>
      </c>
      <c r="M38" s="41">
        <v>1</v>
      </c>
      <c r="N38" s="41">
        <v>1</v>
      </c>
      <c r="O38" s="35">
        <v>684</v>
      </c>
      <c r="P38" s="57">
        <v>0.15570000000000001</v>
      </c>
      <c r="Q38" s="57">
        <v>0.15570000000000001</v>
      </c>
      <c r="R38" s="62">
        <f t="shared" si="19"/>
        <v>-3.7888179181471502E-3</v>
      </c>
      <c r="S38" s="62">
        <f t="shared" si="20"/>
        <v>0</v>
      </c>
      <c r="T38" s="62">
        <f t="shared" si="21"/>
        <v>2.2421524663677129E-2</v>
      </c>
      <c r="U38" s="63">
        <f t="shared" si="22"/>
        <v>0</v>
      </c>
      <c r="V38" s="64">
        <f t="shared" si="23"/>
        <v>0</v>
      </c>
    </row>
    <row r="39" spans="1:22">
      <c r="A39" s="182">
        <v>31</v>
      </c>
      <c r="B39" s="149" t="s">
        <v>70</v>
      </c>
      <c r="C39" s="148" t="s">
        <v>71</v>
      </c>
      <c r="D39" s="51">
        <v>90605036998.740005</v>
      </c>
      <c r="E39" s="34">
        <f>(D39/$K$74)</f>
        <v>1.6979031108668146E-2</v>
      </c>
      <c r="F39" s="41">
        <v>100</v>
      </c>
      <c r="G39" s="41">
        <v>100</v>
      </c>
      <c r="H39" s="35">
        <v>5860</v>
      </c>
      <c r="I39" s="57">
        <v>0.1641</v>
      </c>
      <c r="J39" s="57">
        <v>0.1641</v>
      </c>
      <c r="K39" s="51">
        <v>92223540572.490005</v>
      </c>
      <c r="L39" s="34">
        <f t="shared" si="31"/>
        <v>1.7282332375777327E-2</v>
      </c>
      <c r="M39" s="41">
        <v>100</v>
      </c>
      <c r="N39" s="41">
        <v>100</v>
      </c>
      <c r="O39" s="35">
        <v>5913</v>
      </c>
      <c r="P39" s="57">
        <v>0.1643</v>
      </c>
      <c r="Q39" s="57">
        <v>0.1643</v>
      </c>
      <c r="R39" s="62">
        <f t="shared" si="19"/>
        <v>1.7863284728557725E-2</v>
      </c>
      <c r="S39" s="62">
        <f t="shared" si="20"/>
        <v>0</v>
      </c>
      <c r="T39" s="62">
        <f t="shared" si="21"/>
        <v>9.0443686006825945E-3</v>
      </c>
      <c r="U39" s="63">
        <f t="shared" si="22"/>
        <v>2.0000000000000573E-4</v>
      </c>
      <c r="V39" s="64">
        <f t="shared" si="23"/>
        <v>2.0000000000000573E-4</v>
      </c>
    </row>
    <row r="40" spans="1:22">
      <c r="A40" s="182">
        <v>32</v>
      </c>
      <c r="B40" s="149" t="s">
        <v>72</v>
      </c>
      <c r="C40" s="148" t="s">
        <v>73</v>
      </c>
      <c r="D40" s="51">
        <v>39949264377.260002</v>
      </c>
      <c r="E40" s="34">
        <f>(D40/$K$74)</f>
        <v>7.4863365779469695E-3</v>
      </c>
      <c r="F40" s="41">
        <v>100</v>
      </c>
      <c r="G40" s="41">
        <v>100</v>
      </c>
      <c r="H40" s="35">
        <v>5766</v>
      </c>
      <c r="I40" s="57">
        <v>0.16059999999999999</v>
      </c>
      <c r="J40" s="57">
        <v>0.16059999999999999</v>
      </c>
      <c r="K40" s="51">
        <v>40273458930.629997</v>
      </c>
      <c r="L40" s="34">
        <f t="shared" si="31"/>
        <v>7.5470893748031363E-3</v>
      </c>
      <c r="M40" s="41">
        <v>100</v>
      </c>
      <c r="N40" s="41">
        <v>100</v>
      </c>
      <c r="O40" s="35">
        <v>5793</v>
      </c>
      <c r="P40" s="57">
        <v>0.1651</v>
      </c>
      <c r="Q40" s="57">
        <v>0.1651</v>
      </c>
      <c r="R40" s="62">
        <f t="shared" si="19"/>
        <v>8.1151570228795954E-3</v>
      </c>
      <c r="S40" s="62">
        <f t="shared" si="20"/>
        <v>0</v>
      </c>
      <c r="T40" s="62">
        <f t="shared" si="21"/>
        <v>4.6826222684703432E-3</v>
      </c>
      <c r="U40" s="63">
        <f t="shared" si="22"/>
        <v>4.500000000000004E-3</v>
      </c>
      <c r="V40" s="64">
        <f t="shared" si="23"/>
        <v>4.500000000000004E-3</v>
      </c>
    </row>
    <row r="41" spans="1:22">
      <c r="A41" s="182">
        <v>33</v>
      </c>
      <c r="B41" s="149" t="s">
        <v>74</v>
      </c>
      <c r="C41" s="148" t="s">
        <v>75</v>
      </c>
      <c r="D41" s="51">
        <v>74693000444.169998</v>
      </c>
      <c r="E41" s="34">
        <f>(D41/$K$74)</f>
        <v>1.3997177421371866E-2</v>
      </c>
      <c r="F41" s="41">
        <v>1</v>
      </c>
      <c r="G41" s="41">
        <v>1</v>
      </c>
      <c r="H41" s="35">
        <v>15270</v>
      </c>
      <c r="I41" s="57">
        <v>0.16839999999999999</v>
      </c>
      <c r="J41" s="57">
        <v>0.16839999999999999</v>
      </c>
      <c r="K41" s="51">
        <v>69747984794.559998</v>
      </c>
      <c r="L41" s="34">
        <f t="shared" si="31"/>
        <v>1.3070500745010632E-2</v>
      </c>
      <c r="M41" s="41">
        <v>1</v>
      </c>
      <c r="N41" s="41">
        <v>1</v>
      </c>
      <c r="O41" s="35">
        <v>15499</v>
      </c>
      <c r="P41" s="57">
        <v>0.16639999999999999</v>
      </c>
      <c r="Q41" s="57">
        <v>0.16639999999999999</v>
      </c>
      <c r="R41" s="62">
        <f t="shared" si="19"/>
        <v>-6.6204538848405214E-2</v>
      </c>
      <c r="S41" s="62">
        <f t="shared" si="20"/>
        <v>0</v>
      </c>
      <c r="T41" s="62">
        <f t="shared" si="21"/>
        <v>1.4996725605762934E-2</v>
      </c>
      <c r="U41" s="63">
        <f t="shared" si="22"/>
        <v>-2.0000000000000018E-3</v>
      </c>
      <c r="V41" s="64">
        <f t="shared" si="23"/>
        <v>-2.0000000000000018E-3</v>
      </c>
    </row>
    <row r="42" spans="1:22">
      <c r="A42" s="182">
        <v>34</v>
      </c>
      <c r="B42" s="149" t="s">
        <v>76</v>
      </c>
      <c r="C42" s="148" t="s">
        <v>77</v>
      </c>
      <c r="D42" s="51">
        <v>816006319.50999999</v>
      </c>
      <c r="E42" s="34">
        <v>0</v>
      </c>
      <c r="F42" s="41">
        <v>1000</v>
      </c>
      <c r="G42" s="41">
        <v>1000</v>
      </c>
      <c r="H42" s="35">
        <v>83</v>
      </c>
      <c r="I42" s="57">
        <v>0.19739999999999999</v>
      </c>
      <c r="J42" s="57">
        <v>0.19739999999999999</v>
      </c>
      <c r="K42" s="51">
        <v>1112258314.9300001</v>
      </c>
      <c r="L42" s="34">
        <f t="shared" si="31"/>
        <v>2.0843287697497337E-4</v>
      </c>
      <c r="M42" s="41">
        <v>1000</v>
      </c>
      <c r="N42" s="41">
        <v>1000</v>
      </c>
      <c r="O42" s="35">
        <v>84</v>
      </c>
      <c r="P42" s="57">
        <v>0.1734</v>
      </c>
      <c r="Q42" s="57">
        <v>0.1734</v>
      </c>
      <c r="R42" s="62">
        <f t="shared" si="19"/>
        <v>0.36305110430749499</v>
      </c>
      <c r="S42" s="62">
        <f t="shared" si="20"/>
        <v>0</v>
      </c>
      <c r="T42" s="62">
        <f t="shared" si="21"/>
        <v>1.2048192771084338E-2</v>
      </c>
      <c r="U42" s="63">
        <f t="shared" si="22"/>
        <v>-2.3999999999999994E-2</v>
      </c>
      <c r="V42" s="64">
        <f t="shared" si="23"/>
        <v>-2.3999999999999994E-2</v>
      </c>
    </row>
    <row r="43" spans="1:22">
      <c r="A43" s="182">
        <v>35</v>
      </c>
      <c r="B43" s="149" t="s">
        <v>78</v>
      </c>
      <c r="C43" s="148" t="s">
        <v>79</v>
      </c>
      <c r="D43" s="51">
        <v>86562709708.289993</v>
      </c>
      <c r="E43" s="34">
        <f t="shared" ref="E43:E51" si="32">(D43/$K$74)</f>
        <v>1.6221514715656537E-2</v>
      </c>
      <c r="F43" s="52">
        <v>100</v>
      </c>
      <c r="G43" s="52">
        <v>100</v>
      </c>
      <c r="H43" s="35">
        <v>4776</v>
      </c>
      <c r="I43" s="57">
        <v>0.15820000000000001</v>
      </c>
      <c r="J43" s="57">
        <v>0.15820000000000001</v>
      </c>
      <c r="K43" s="51">
        <v>86683509987.889999</v>
      </c>
      <c r="L43" s="34">
        <f t="shared" si="31"/>
        <v>1.6244152217645448E-2</v>
      </c>
      <c r="M43" s="52">
        <v>100</v>
      </c>
      <c r="N43" s="52">
        <v>100</v>
      </c>
      <c r="O43" s="35">
        <v>4776</v>
      </c>
      <c r="P43" s="57">
        <v>0.15679999999999999</v>
      </c>
      <c r="Q43" s="57">
        <v>0.15679999999999999</v>
      </c>
      <c r="R43" s="62">
        <f t="shared" si="19"/>
        <v>1.3955233149134797E-3</v>
      </c>
      <c r="S43" s="62">
        <f t="shared" si="20"/>
        <v>0</v>
      </c>
      <c r="T43" s="62">
        <f t="shared" si="21"/>
        <v>0</v>
      </c>
      <c r="U43" s="63">
        <f t="shared" si="22"/>
        <v>-1.4000000000000123E-3</v>
      </c>
      <c r="V43" s="64">
        <f t="shared" si="23"/>
        <v>-1.4000000000000123E-3</v>
      </c>
    </row>
    <row r="44" spans="1:22">
      <c r="A44" s="182">
        <v>36</v>
      </c>
      <c r="B44" s="149" t="s">
        <v>80</v>
      </c>
      <c r="C44" s="148" t="s">
        <v>79</v>
      </c>
      <c r="D44" s="51">
        <v>8813226580.5799999</v>
      </c>
      <c r="E44" s="34">
        <f t="shared" si="32"/>
        <v>1.6515643416324611E-3</v>
      </c>
      <c r="F44" s="52">
        <v>1000000</v>
      </c>
      <c r="G44" s="52">
        <v>1000000</v>
      </c>
      <c r="H44" s="35">
        <v>43</v>
      </c>
      <c r="I44" s="57">
        <v>0.15759999999999999</v>
      </c>
      <c r="J44" s="57">
        <v>0.15759999999999999</v>
      </c>
      <c r="K44" s="51">
        <v>9008518625.4200001</v>
      </c>
      <c r="L44" s="34">
        <f t="shared" si="31"/>
        <v>1.6881613103491109E-3</v>
      </c>
      <c r="M44" s="52">
        <v>1000000</v>
      </c>
      <c r="N44" s="52">
        <v>1000000</v>
      </c>
      <c r="O44" s="35">
        <v>43</v>
      </c>
      <c r="P44" s="57">
        <v>0.1555</v>
      </c>
      <c r="Q44" s="57">
        <v>0.1555</v>
      </c>
      <c r="R44" s="62">
        <f t="shared" si="19"/>
        <v>2.2158972432449131E-2</v>
      </c>
      <c r="S44" s="62">
        <f t="shared" si="20"/>
        <v>0</v>
      </c>
      <c r="T44" s="62">
        <f t="shared" si="21"/>
        <v>0</v>
      </c>
      <c r="U44" s="63">
        <f t="shared" si="22"/>
        <v>-2.0999999999999908E-3</v>
      </c>
      <c r="V44" s="64">
        <f t="shared" si="23"/>
        <v>-2.0999999999999908E-3</v>
      </c>
    </row>
    <row r="45" spans="1:22">
      <c r="A45" s="182">
        <v>37</v>
      </c>
      <c r="B45" s="149" t="s">
        <v>81</v>
      </c>
      <c r="C45" s="148" t="s">
        <v>82</v>
      </c>
      <c r="D45" s="51">
        <v>7869737955.9899998</v>
      </c>
      <c r="E45" s="34">
        <f t="shared" si="32"/>
        <v>1.4747582474214857E-3</v>
      </c>
      <c r="F45" s="41">
        <v>1</v>
      </c>
      <c r="G45" s="41">
        <v>1</v>
      </c>
      <c r="H45" s="35">
        <v>1178</v>
      </c>
      <c r="I45" s="57">
        <v>0.1794</v>
      </c>
      <c r="J45" s="57">
        <v>0.1794</v>
      </c>
      <c r="K45" s="51">
        <v>7980248603.4099998</v>
      </c>
      <c r="L45" s="34">
        <f t="shared" si="31"/>
        <v>1.4954675124086998E-3</v>
      </c>
      <c r="M45" s="41">
        <v>1</v>
      </c>
      <c r="N45" s="41">
        <v>1</v>
      </c>
      <c r="O45" s="35">
        <v>1187</v>
      </c>
      <c r="P45" s="57">
        <v>0.16819999999999999</v>
      </c>
      <c r="Q45" s="57">
        <v>0.16819999999999999</v>
      </c>
      <c r="R45" s="62">
        <f t="shared" si="19"/>
        <v>1.4042481215767243E-2</v>
      </c>
      <c r="S45" s="62">
        <f t="shared" si="20"/>
        <v>0</v>
      </c>
      <c r="T45" s="62">
        <f t="shared" si="21"/>
        <v>7.6400679117147709E-3</v>
      </c>
      <c r="U45" s="63">
        <f t="shared" si="22"/>
        <v>-1.1200000000000015E-2</v>
      </c>
      <c r="V45" s="64">
        <f t="shared" si="23"/>
        <v>-1.1200000000000015E-2</v>
      </c>
    </row>
    <row r="46" spans="1:22">
      <c r="A46" s="182">
        <v>38</v>
      </c>
      <c r="B46" s="149" t="s">
        <v>83</v>
      </c>
      <c r="C46" s="148" t="s">
        <v>84</v>
      </c>
      <c r="D46" s="51">
        <v>740047517210.79004</v>
      </c>
      <c r="E46" s="34">
        <f t="shared" si="32"/>
        <v>0.13868202290772608</v>
      </c>
      <c r="F46" s="41">
        <v>100</v>
      </c>
      <c r="G46" s="41">
        <v>100</v>
      </c>
      <c r="H46" s="35">
        <v>33094</v>
      </c>
      <c r="I46" s="57">
        <v>0.16500000000000001</v>
      </c>
      <c r="J46" s="57">
        <v>0.16500000000000001</v>
      </c>
      <c r="K46" s="51">
        <v>742070488185.56006</v>
      </c>
      <c r="L46" s="34">
        <f t="shared" si="31"/>
        <v>0.1390611197907507</v>
      </c>
      <c r="M46" s="41">
        <v>100</v>
      </c>
      <c r="N46" s="41">
        <v>100</v>
      </c>
      <c r="O46" s="35">
        <v>33073</v>
      </c>
      <c r="P46" s="57">
        <v>0.16350000000000001</v>
      </c>
      <c r="Q46" s="57">
        <v>0.16350000000000001</v>
      </c>
      <c r="R46" s="62">
        <f t="shared" si="19"/>
        <v>2.7335690313434434E-3</v>
      </c>
      <c r="S46" s="62">
        <f t="shared" si="20"/>
        <v>0</v>
      </c>
      <c r="T46" s="62">
        <f t="shared" si="21"/>
        <v>-6.3455611289055421E-4</v>
      </c>
      <c r="U46" s="63">
        <f t="shared" si="22"/>
        <v>-1.5000000000000013E-3</v>
      </c>
      <c r="V46" s="64">
        <f t="shared" si="23"/>
        <v>-1.5000000000000013E-3</v>
      </c>
    </row>
    <row r="47" spans="1:22">
      <c r="A47" s="182">
        <v>39</v>
      </c>
      <c r="B47" s="149" t="s">
        <v>85</v>
      </c>
      <c r="C47" s="148" t="s">
        <v>86</v>
      </c>
      <c r="D47" s="51">
        <v>5752241045.8500004</v>
      </c>
      <c r="E47" s="34">
        <f t="shared" si="32"/>
        <v>1.0779475722017878E-3</v>
      </c>
      <c r="F47" s="41">
        <v>1</v>
      </c>
      <c r="G47" s="41">
        <v>1</v>
      </c>
      <c r="H47" s="53">
        <v>2082</v>
      </c>
      <c r="I47" s="60">
        <v>0.17929999999999999</v>
      </c>
      <c r="J47" s="60">
        <v>0.17929999999999999</v>
      </c>
      <c r="K47" s="51">
        <v>5939109256.46</v>
      </c>
      <c r="L47" s="34">
        <f t="shared" si="31"/>
        <v>1.1129659471869717E-3</v>
      </c>
      <c r="M47" s="41">
        <v>1</v>
      </c>
      <c r="N47" s="41">
        <v>1</v>
      </c>
      <c r="O47" s="53">
        <v>2121</v>
      </c>
      <c r="P47" s="60">
        <v>0.17799999999999999</v>
      </c>
      <c r="Q47" s="60">
        <v>0.17799999999999999</v>
      </c>
      <c r="R47" s="62">
        <f t="shared" si="19"/>
        <v>3.2486157850568034E-2</v>
      </c>
      <c r="S47" s="62">
        <f t="shared" si="20"/>
        <v>0</v>
      </c>
      <c r="T47" s="62">
        <f t="shared" si="21"/>
        <v>1.8731988472622477E-2</v>
      </c>
      <c r="U47" s="63">
        <f t="shared" si="22"/>
        <v>-1.2999999999999956E-3</v>
      </c>
      <c r="V47" s="64">
        <f t="shared" si="23"/>
        <v>-1.2999999999999956E-3</v>
      </c>
    </row>
    <row r="48" spans="1:22">
      <c r="A48" s="182">
        <v>40</v>
      </c>
      <c r="B48" s="149" t="s">
        <v>87</v>
      </c>
      <c r="C48" s="148" t="s">
        <v>88</v>
      </c>
      <c r="D48" s="51">
        <v>4140041769.71</v>
      </c>
      <c r="E48" s="34">
        <f t="shared" si="32"/>
        <v>7.758277059151707E-4</v>
      </c>
      <c r="F48" s="41">
        <v>1</v>
      </c>
      <c r="G48" s="41">
        <v>1</v>
      </c>
      <c r="H48" s="53">
        <v>638</v>
      </c>
      <c r="I48" s="60">
        <v>0.16889999999999999</v>
      </c>
      <c r="J48" s="60">
        <v>0.16889999999999999</v>
      </c>
      <c r="K48" s="51">
        <v>4161106058.98</v>
      </c>
      <c r="L48" s="34">
        <f t="shared" si="31"/>
        <v>7.7977507169796139E-4</v>
      </c>
      <c r="M48" s="41">
        <v>1</v>
      </c>
      <c r="N48" s="41">
        <v>1</v>
      </c>
      <c r="O48" s="53">
        <v>711</v>
      </c>
      <c r="P48" s="60">
        <v>0.16</v>
      </c>
      <c r="Q48" s="60">
        <v>0.16</v>
      </c>
      <c r="R48" s="62">
        <f t="shared" si="19"/>
        <v>5.0879412435192615E-3</v>
      </c>
      <c r="S48" s="62">
        <f t="shared" si="20"/>
        <v>0</v>
      </c>
      <c r="T48" s="62">
        <f t="shared" si="21"/>
        <v>0.11442006269592477</v>
      </c>
      <c r="U48" s="63">
        <f t="shared" si="22"/>
        <v>-8.8999999999999913E-3</v>
      </c>
      <c r="V48" s="64">
        <f t="shared" si="23"/>
        <v>-8.8999999999999913E-3</v>
      </c>
    </row>
    <row r="49" spans="1:22">
      <c r="A49" s="182">
        <v>41</v>
      </c>
      <c r="B49" s="149" t="s">
        <v>89</v>
      </c>
      <c r="C49" s="148" t="s">
        <v>90</v>
      </c>
      <c r="D49" s="51">
        <v>7400914.2199999997</v>
      </c>
      <c r="E49" s="34">
        <f t="shared" si="32"/>
        <v>1.3869025049425446E-6</v>
      </c>
      <c r="F49" s="41">
        <v>1</v>
      </c>
      <c r="G49" s="41">
        <v>1</v>
      </c>
      <c r="H49" s="53">
        <v>21</v>
      </c>
      <c r="I49" s="60">
        <v>0.105</v>
      </c>
      <c r="J49" s="60">
        <v>0.105</v>
      </c>
      <c r="K49" s="51">
        <v>7400914.2199999997</v>
      </c>
      <c r="L49" s="34">
        <f t="shared" si="31"/>
        <v>1.3869025049425446E-6</v>
      </c>
      <c r="M49" s="41">
        <v>1</v>
      </c>
      <c r="N49" s="41">
        <v>1</v>
      </c>
      <c r="O49" s="53">
        <v>21</v>
      </c>
      <c r="P49" s="60">
        <v>0.105</v>
      </c>
      <c r="Q49" s="60">
        <v>0.105</v>
      </c>
      <c r="R49" s="62">
        <f t="shared" si="19"/>
        <v>0</v>
      </c>
      <c r="S49" s="62">
        <f t="shared" si="20"/>
        <v>0</v>
      </c>
      <c r="T49" s="62">
        <f t="shared" si="21"/>
        <v>0</v>
      </c>
      <c r="U49" s="63">
        <f t="shared" si="22"/>
        <v>0</v>
      </c>
      <c r="V49" s="64">
        <f t="shared" si="23"/>
        <v>0</v>
      </c>
    </row>
    <row r="50" spans="1:22">
      <c r="A50" s="182">
        <v>42</v>
      </c>
      <c r="B50" s="149" t="s">
        <v>91</v>
      </c>
      <c r="C50" s="148" t="s">
        <v>92</v>
      </c>
      <c r="D50" s="51">
        <v>1942838323.99</v>
      </c>
      <c r="E50" s="34">
        <f t="shared" si="32"/>
        <v>3.6408033631284354E-4</v>
      </c>
      <c r="F50" s="41">
        <v>10</v>
      </c>
      <c r="G50" s="41">
        <v>10</v>
      </c>
      <c r="H50" s="35">
        <v>569</v>
      </c>
      <c r="I50" s="57">
        <v>0.16930000000000001</v>
      </c>
      <c r="J50" s="57">
        <v>0.16930000000000001</v>
      </c>
      <c r="K50" s="51">
        <v>1976032834.1199999</v>
      </c>
      <c r="L50" s="34">
        <f t="shared" si="31"/>
        <v>3.7030085824852916E-4</v>
      </c>
      <c r="M50" s="41">
        <v>10</v>
      </c>
      <c r="N50" s="41">
        <v>10</v>
      </c>
      <c r="O50" s="35">
        <v>561</v>
      </c>
      <c r="P50" s="57">
        <v>0.16819999999999999</v>
      </c>
      <c r="Q50" s="57">
        <v>0.16819999999999999</v>
      </c>
      <c r="R50" s="62">
        <f t="shared" si="19"/>
        <v>1.7085575119718883E-2</v>
      </c>
      <c r="S50" s="62">
        <f t="shared" si="20"/>
        <v>0</v>
      </c>
      <c r="T50" s="62">
        <f t="shared" si="21"/>
        <v>-1.4059753954305799E-2</v>
      </c>
      <c r="U50" s="63">
        <f t="shared" si="22"/>
        <v>-1.1000000000000176E-3</v>
      </c>
      <c r="V50" s="64">
        <f t="shared" si="23"/>
        <v>-1.1000000000000176E-3</v>
      </c>
    </row>
    <row r="51" spans="1:22">
      <c r="A51" s="182">
        <v>43</v>
      </c>
      <c r="B51" s="149" t="s">
        <v>93</v>
      </c>
      <c r="C51" s="148" t="s">
        <v>94</v>
      </c>
      <c r="D51" s="51">
        <v>10684726084.73</v>
      </c>
      <c r="E51" s="34">
        <f t="shared" si="32"/>
        <v>2.002276060907646E-3</v>
      </c>
      <c r="F51" s="41">
        <v>100</v>
      </c>
      <c r="G51" s="41">
        <v>100</v>
      </c>
      <c r="H51" s="35">
        <v>1043</v>
      </c>
      <c r="I51" s="57">
        <v>0.1827</v>
      </c>
      <c r="J51" s="57">
        <v>0.1827</v>
      </c>
      <c r="K51" s="51">
        <v>11862446195.290001</v>
      </c>
      <c r="L51" s="34">
        <f t="shared" si="31"/>
        <v>2.2229762234690325E-3</v>
      </c>
      <c r="M51" s="41">
        <v>100</v>
      </c>
      <c r="N51" s="41">
        <v>100</v>
      </c>
      <c r="O51" s="35">
        <v>1044</v>
      </c>
      <c r="P51" s="57">
        <v>0.17610000000000001</v>
      </c>
      <c r="Q51" s="57">
        <v>0.17610000000000001</v>
      </c>
      <c r="R51" s="62">
        <f t="shared" si="19"/>
        <v>0.11022464228101568</v>
      </c>
      <c r="S51" s="62">
        <f t="shared" si="20"/>
        <v>0</v>
      </c>
      <c r="T51" s="62">
        <f t="shared" si="21"/>
        <v>9.5877277085330771E-4</v>
      </c>
      <c r="U51" s="63">
        <f t="shared" si="22"/>
        <v>-6.5999999999999948E-3</v>
      </c>
      <c r="V51" s="64">
        <f t="shared" si="23"/>
        <v>-6.5999999999999948E-3</v>
      </c>
    </row>
    <row r="52" spans="1:22">
      <c r="A52" s="182">
        <v>44</v>
      </c>
      <c r="B52" s="149" t="s">
        <v>95</v>
      </c>
      <c r="C52" s="149" t="s">
        <v>96</v>
      </c>
      <c r="D52" s="54">
        <v>217500242.43000001</v>
      </c>
      <c r="E52" s="34">
        <v>0</v>
      </c>
      <c r="F52" s="33">
        <v>1</v>
      </c>
      <c r="G52" s="33">
        <v>1</v>
      </c>
      <c r="H52" s="35">
        <v>140</v>
      </c>
      <c r="I52" s="57">
        <v>0.15620000000000001</v>
      </c>
      <c r="J52" s="57">
        <v>0.15620000000000001</v>
      </c>
      <c r="K52" s="54">
        <v>220669785.59999999</v>
      </c>
      <c r="L52" s="61">
        <f>(K52/$K$199)</f>
        <v>1.8499461871791078E-3</v>
      </c>
      <c r="M52" s="33">
        <v>1</v>
      </c>
      <c r="N52" s="33">
        <v>1</v>
      </c>
      <c r="O52" s="35">
        <v>140</v>
      </c>
      <c r="P52" s="57">
        <v>0.1532</v>
      </c>
      <c r="Q52" s="57">
        <v>0.1532</v>
      </c>
      <c r="R52" s="63">
        <f t="shared" si="19"/>
        <v>1.4572596032944968E-2</v>
      </c>
      <c r="S52" s="63">
        <f t="shared" si="20"/>
        <v>0</v>
      </c>
      <c r="T52" s="63">
        <f t="shared" si="21"/>
        <v>0</v>
      </c>
      <c r="U52" s="63">
        <f t="shared" si="22"/>
        <v>-3.0000000000000027E-3</v>
      </c>
      <c r="V52" s="64">
        <f t="shared" si="23"/>
        <v>-3.0000000000000027E-3</v>
      </c>
    </row>
    <row r="53" spans="1:22">
      <c r="A53" s="182">
        <v>45</v>
      </c>
      <c r="B53" s="149" t="s">
        <v>97</v>
      </c>
      <c r="C53" s="148" t="s">
        <v>38</v>
      </c>
      <c r="D53" s="51">
        <v>2176351101.5500002</v>
      </c>
      <c r="E53" s="34">
        <f t="shared" ref="E53:E73" si="33">(D53/$K$74)</f>
        <v>4.0783972150594143E-4</v>
      </c>
      <c r="F53" s="41">
        <v>100</v>
      </c>
      <c r="G53" s="41">
        <v>100</v>
      </c>
      <c r="H53" s="35">
        <v>7751</v>
      </c>
      <c r="I53" s="57">
        <v>0.16880000000000001</v>
      </c>
      <c r="J53" s="57">
        <v>0.16880000000000001</v>
      </c>
      <c r="K53" s="51">
        <v>2137778892.26</v>
      </c>
      <c r="L53" s="34">
        <f t="shared" ref="L53:L65" si="34">(K53/$K$74)</f>
        <v>4.0061143968895944E-4</v>
      </c>
      <c r="M53" s="41">
        <v>100</v>
      </c>
      <c r="N53" s="41">
        <v>100</v>
      </c>
      <c r="O53" s="35">
        <v>7928</v>
      </c>
      <c r="P53" s="57">
        <v>0.1467</v>
      </c>
      <c r="Q53" s="57">
        <v>0.1467</v>
      </c>
      <c r="R53" s="62">
        <f t="shared" ref="R53" si="35">((K53-D53)/D53)</f>
        <v>-1.7723339429253405E-2</v>
      </c>
      <c r="S53" s="62">
        <f t="shared" ref="S53" si="36">((N53-G53)/G53)</f>
        <v>0</v>
      </c>
      <c r="T53" s="62">
        <f t="shared" ref="T53" si="37">((O53-H53)/H53)</f>
        <v>2.2835763127338409E-2</v>
      </c>
      <c r="U53" s="63">
        <f t="shared" ref="U53" si="38">P53-I53</f>
        <v>-2.2100000000000009E-2</v>
      </c>
      <c r="V53" s="64">
        <f t="shared" ref="V53" si="39">Q53-J53</f>
        <v>-2.2100000000000009E-2</v>
      </c>
    </row>
    <row r="54" spans="1:22">
      <c r="A54" s="182">
        <v>46</v>
      </c>
      <c r="B54" s="149" t="s">
        <v>98</v>
      </c>
      <c r="C54" s="148" t="s">
        <v>38</v>
      </c>
      <c r="D54" s="51">
        <v>337348418439.38</v>
      </c>
      <c r="E54" s="34">
        <f t="shared" si="33"/>
        <v>6.3217779947729466E-2</v>
      </c>
      <c r="F54" s="41">
        <v>100</v>
      </c>
      <c r="G54" s="41">
        <v>100</v>
      </c>
      <c r="H54" s="35">
        <v>33933</v>
      </c>
      <c r="I54" s="57">
        <v>0.1764</v>
      </c>
      <c r="J54" s="57">
        <v>0.1764</v>
      </c>
      <c r="K54" s="51">
        <v>351119261863.96002</v>
      </c>
      <c r="L54" s="34">
        <f t="shared" si="34"/>
        <v>6.5798382380481565E-2</v>
      </c>
      <c r="M54" s="41">
        <v>100</v>
      </c>
      <c r="N54" s="41">
        <v>100</v>
      </c>
      <c r="O54" s="35">
        <v>34716</v>
      </c>
      <c r="P54" s="57">
        <v>0.17879999999999999</v>
      </c>
      <c r="Q54" s="57">
        <v>0.17879999999999999</v>
      </c>
      <c r="R54" s="62">
        <f t="shared" si="19"/>
        <v>4.0820832918932376E-2</v>
      </c>
      <c r="S54" s="62">
        <f t="shared" si="20"/>
        <v>0</v>
      </c>
      <c r="T54" s="62">
        <f t="shared" si="21"/>
        <v>2.3074882857395455E-2</v>
      </c>
      <c r="U54" s="63">
        <f t="shared" si="22"/>
        <v>2.3999999999999855E-3</v>
      </c>
      <c r="V54" s="64">
        <f t="shared" si="23"/>
        <v>2.3999999999999855E-3</v>
      </c>
    </row>
    <row r="55" spans="1:22">
      <c r="A55" s="182">
        <v>47</v>
      </c>
      <c r="B55" s="149" t="s">
        <v>99</v>
      </c>
      <c r="C55" s="148" t="s">
        <v>42</v>
      </c>
      <c r="D55" s="51">
        <v>55560160966.769997</v>
      </c>
      <c r="E55" s="34">
        <f t="shared" si="33"/>
        <v>1.0411757808459548E-2</v>
      </c>
      <c r="F55" s="41">
        <v>1</v>
      </c>
      <c r="G55" s="41">
        <v>1</v>
      </c>
      <c r="H55" s="35">
        <v>3322</v>
      </c>
      <c r="I55" s="57">
        <v>0.16320000000000001</v>
      </c>
      <c r="J55" s="57">
        <v>0.16320000000000001</v>
      </c>
      <c r="K55" s="51">
        <v>58324879022.440002</v>
      </c>
      <c r="L55" s="34">
        <f t="shared" si="34"/>
        <v>1.0929855206008985E-2</v>
      </c>
      <c r="M55" s="41">
        <v>1</v>
      </c>
      <c r="N55" s="41">
        <v>1</v>
      </c>
      <c r="O55" s="35">
        <v>3373</v>
      </c>
      <c r="P55" s="57">
        <v>0.1628</v>
      </c>
      <c r="Q55" s="57">
        <v>0.1628</v>
      </c>
      <c r="R55" s="62">
        <f t="shared" si="19"/>
        <v>4.9760799961028862E-2</v>
      </c>
      <c r="S55" s="62">
        <f t="shared" si="20"/>
        <v>0</v>
      </c>
      <c r="T55" s="62">
        <f t="shared" si="21"/>
        <v>1.5352197471402769E-2</v>
      </c>
      <c r="U55" s="63">
        <f t="shared" si="22"/>
        <v>-4.0000000000001146E-4</v>
      </c>
      <c r="V55" s="64">
        <f t="shared" si="23"/>
        <v>-4.0000000000001146E-4</v>
      </c>
    </row>
    <row r="56" spans="1:22">
      <c r="A56" s="182">
        <v>48</v>
      </c>
      <c r="B56" s="149" t="s">
        <v>100</v>
      </c>
      <c r="C56" s="148" t="s">
        <v>101</v>
      </c>
      <c r="D56" s="51">
        <v>5678883479.3479996</v>
      </c>
      <c r="E56" s="34">
        <f t="shared" si="33"/>
        <v>1.0642006499008679E-3</v>
      </c>
      <c r="F56" s="41">
        <v>100</v>
      </c>
      <c r="G56" s="41">
        <v>100</v>
      </c>
      <c r="H56" s="35">
        <v>951</v>
      </c>
      <c r="I56" s="57">
        <v>0.17</v>
      </c>
      <c r="J56" s="57">
        <v>0.17</v>
      </c>
      <c r="K56" s="51">
        <v>5774160113.9320002</v>
      </c>
      <c r="L56" s="34">
        <f t="shared" si="34"/>
        <v>1.082055120205355E-3</v>
      </c>
      <c r="M56" s="41">
        <v>100</v>
      </c>
      <c r="N56" s="41">
        <v>100</v>
      </c>
      <c r="O56" s="35">
        <v>964</v>
      </c>
      <c r="P56" s="57">
        <v>0.17199999999999999</v>
      </c>
      <c r="Q56" s="57">
        <v>0.17199999999999999</v>
      </c>
      <c r="R56" s="62">
        <f t="shared" si="19"/>
        <v>1.6777353317863713E-2</v>
      </c>
      <c r="S56" s="62">
        <f t="shared" si="20"/>
        <v>0</v>
      </c>
      <c r="T56" s="62">
        <f t="shared" si="21"/>
        <v>1.3669821240799159E-2</v>
      </c>
      <c r="U56" s="63">
        <f t="shared" si="22"/>
        <v>1.999999999999974E-3</v>
      </c>
      <c r="V56" s="64">
        <f t="shared" si="23"/>
        <v>1.999999999999974E-3</v>
      </c>
    </row>
    <row r="57" spans="1:22">
      <c r="A57" s="182">
        <v>49</v>
      </c>
      <c r="B57" s="149" t="s">
        <v>102</v>
      </c>
      <c r="C57" s="148" t="s">
        <v>44</v>
      </c>
      <c r="D57" s="55">
        <v>98254711573.330002</v>
      </c>
      <c r="E57" s="34">
        <f t="shared" si="33"/>
        <v>1.8412550335363653E-2</v>
      </c>
      <c r="F57" s="41">
        <v>10</v>
      </c>
      <c r="G57" s="41">
        <v>10</v>
      </c>
      <c r="H57" s="35">
        <v>7062</v>
      </c>
      <c r="I57" s="57">
        <v>0.18079999999999999</v>
      </c>
      <c r="J57" s="57">
        <v>0.18079999999999999</v>
      </c>
      <c r="K57" s="55">
        <v>99047990337.789993</v>
      </c>
      <c r="L57" s="34">
        <f t="shared" si="34"/>
        <v>1.8561207686718182E-2</v>
      </c>
      <c r="M57" s="41">
        <v>10</v>
      </c>
      <c r="N57" s="41">
        <v>10</v>
      </c>
      <c r="O57" s="35">
        <v>7404</v>
      </c>
      <c r="P57" s="57">
        <v>0.1792</v>
      </c>
      <c r="Q57" s="57">
        <v>0.1792</v>
      </c>
      <c r="R57" s="62">
        <f t="shared" si="19"/>
        <v>8.0736969429496246E-3</v>
      </c>
      <c r="S57" s="62">
        <f t="shared" si="20"/>
        <v>0</v>
      </c>
      <c r="T57" s="62">
        <f t="shared" si="21"/>
        <v>4.8428207306711976E-2</v>
      </c>
      <c r="U57" s="63">
        <f t="shared" si="22"/>
        <v>-1.5999999999999903E-3</v>
      </c>
      <c r="V57" s="64">
        <f t="shared" si="23"/>
        <v>-1.5999999999999903E-3</v>
      </c>
    </row>
    <row r="58" spans="1:22">
      <c r="A58" s="182">
        <v>50</v>
      </c>
      <c r="B58" s="149" t="s">
        <v>103</v>
      </c>
      <c r="C58" s="148" t="s">
        <v>104</v>
      </c>
      <c r="D58" s="51">
        <v>39769549715</v>
      </c>
      <c r="E58" s="34">
        <f t="shared" si="33"/>
        <v>7.4526587500659564E-3</v>
      </c>
      <c r="F58" s="41">
        <v>100</v>
      </c>
      <c r="G58" s="41">
        <v>100</v>
      </c>
      <c r="H58" s="35">
        <v>5926</v>
      </c>
      <c r="I58" s="57">
        <v>0.17469999999999999</v>
      </c>
      <c r="J58" s="57">
        <v>0.17469999999999999</v>
      </c>
      <c r="K58" s="51">
        <v>41383242964</v>
      </c>
      <c r="L58" s="34">
        <f t="shared" si="34"/>
        <v>7.7550585810488614E-3</v>
      </c>
      <c r="M58" s="41">
        <v>100</v>
      </c>
      <c r="N58" s="41">
        <v>100</v>
      </c>
      <c r="O58" s="35">
        <v>5974</v>
      </c>
      <c r="P58" s="57">
        <v>0.17549999999999999</v>
      </c>
      <c r="Q58" s="57">
        <v>0.17549999999999999</v>
      </c>
      <c r="R58" s="62">
        <f t="shared" si="19"/>
        <v>4.0576100573533988E-2</v>
      </c>
      <c r="S58" s="62">
        <f t="shared" si="20"/>
        <v>0</v>
      </c>
      <c r="T58" s="62">
        <f t="shared" si="21"/>
        <v>8.09989875126561E-3</v>
      </c>
      <c r="U58" s="63">
        <f t="shared" si="22"/>
        <v>7.9999999999999516E-4</v>
      </c>
      <c r="V58" s="64">
        <f t="shared" si="23"/>
        <v>7.9999999999999516E-4</v>
      </c>
    </row>
    <row r="59" spans="1:22">
      <c r="A59" s="182">
        <v>51</v>
      </c>
      <c r="B59" s="149" t="s">
        <v>105</v>
      </c>
      <c r="C59" s="148" t="s">
        <v>106</v>
      </c>
      <c r="D59" s="51">
        <v>176924381.13999999</v>
      </c>
      <c r="E59" s="34">
        <f t="shared" si="33"/>
        <v>3.3154940064752632E-5</v>
      </c>
      <c r="F59" s="41">
        <v>1</v>
      </c>
      <c r="G59" s="41">
        <v>1</v>
      </c>
      <c r="H59" s="35">
        <v>93</v>
      </c>
      <c r="I59" s="57">
        <v>0.1181</v>
      </c>
      <c r="J59" s="57">
        <v>0.1181</v>
      </c>
      <c r="K59" s="51">
        <v>191695930.75999999</v>
      </c>
      <c r="L59" s="34">
        <f t="shared" si="34"/>
        <v>3.5923070941678416E-5</v>
      </c>
      <c r="M59" s="41">
        <v>1</v>
      </c>
      <c r="N59" s="41">
        <v>1</v>
      </c>
      <c r="O59" s="35">
        <v>93</v>
      </c>
      <c r="P59" s="57">
        <v>0.1202</v>
      </c>
      <c r="Q59" s="57">
        <v>0.1202</v>
      </c>
      <c r="R59" s="62">
        <f t="shared" si="19"/>
        <v>8.34907519518822E-2</v>
      </c>
      <c r="S59" s="62">
        <f t="shared" si="20"/>
        <v>0</v>
      </c>
      <c r="T59" s="62">
        <f t="shared" si="21"/>
        <v>0</v>
      </c>
      <c r="U59" s="63">
        <f t="shared" si="22"/>
        <v>2.1000000000000046E-3</v>
      </c>
      <c r="V59" s="64">
        <f t="shared" si="23"/>
        <v>2.1000000000000046E-3</v>
      </c>
    </row>
    <row r="60" spans="1:22">
      <c r="A60" s="182">
        <v>52</v>
      </c>
      <c r="B60" s="149" t="s">
        <v>107</v>
      </c>
      <c r="C60" s="148" t="s">
        <v>46</v>
      </c>
      <c r="D60" s="55">
        <v>2590190001.8200002</v>
      </c>
      <c r="E60" s="34">
        <f t="shared" si="33"/>
        <v>4.8539151988729478E-4</v>
      </c>
      <c r="F60" s="41">
        <v>10</v>
      </c>
      <c r="G60" s="41">
        <v>10</v>
      </c>
      <c r="H60" s="35">
        <v>965</v>
      </c>
      <c r="I60" s="57">
        <v>0.15210000000000001</v>
      </c>
      <c r="J60" s="57">
        <v>0.15210000000000001</v>
      </c>
      <c r="K60" s="55">
        <v>2605387593.5999999</v>
      </c>
      <c r="L60" s="34">
        <f t="shared" si="34"/>
        <v>4.8823948940595458E-4</v>
      </c>
      <c r="M60" s="41">
        <v>10</v>
      </c>
      <c r="N60" s="41">
        <v>10</v>
      </c>
      <c r="O60" s="35">
        <v>972</v>
      </c>
      <c r="P60" s="57">
        <v>0.16059999999999999</v>
      </c>
      <c r="Q60" s="57">
        <v>0.16059999999999999</v>
      </c>
      <c r="R60" s="62">
        <f t="shared" si="19"/>
        <v>5.867365625425597E-3</v>
      </c>
      <c r="S60" s="62">
        <f t="shared" si="20"/>
        <v>0</v>
      </c>
      <c r="T60" s="62">
        <f t="shared" si="21"/>
        <v>7.2538860103626944E-3</v>
      </c>
      <c r="U60" s="63">
        <f t="shared" si="22"/>
        <v>8.4999999999999798E-3</v>
      </c>
      <c r="V60" s="64">
        <f t="shared" si="23"/>
        <v>8.4999999999999798E-3</v>
      </c>
    </row>
    <row r="61" spans="1:22">
      <c r="A61" s="182">
        <v>53</v>
      </c>
      <c r="B61" s="149" t="s">
        <v>108</v>
      </c>
      <c r="C61" s="148" t="s">
        <v>109</v>
      </c>
      <c r="D61" s="55">
        <v>1404609840</v>
      </c>
      <c r="E61" s="34">
        <f t="shared" si="33"/>
        <v>2.6321841432759465E-4</v>
      </c>
      <c r="F61" s="41">
        <v>1</v>
      </c>
      <c r="G61" s="41">
        <v>1</v>
      </c>
      <c r="H61" s="35">
        <v>217</v>
      </c>
      <c r="I61" s="57">
        <v>0.20960000000000001</v>
      </c>
      <c r="J61" s="57">
        <v>0.20960000000000001</v>
      </c>
      <c r="K61" s="55">
        <v>1409555738</v>
      </c>
      <c r="L61" s="34">
        <f t="shared" si="34"/>
        <v>2.6414525635298303E-4</v>
      </c>
      <c r="M61" s="41">
        <v>1</v>
      </c>
      <c r="N61" s="41">
        <v>1</v>
      </c>
      <c r="O61" s="35">
        <v>226</v>
      </c>
      <c r="P61" s="57">
        <v>0.2036</v>
      </c>
      <c r="Q61" s="57">
        <v>0.2036</v>
      </c>
      <c r="R61" s="62">
        <f t="shared" si="19"/>
        <v>3.5211899127803349E-3</v>
      </c>
      <c r="S61" s="62">
        <f t="shared" si="20"/>
        <v>0</v>
      </c>
      <c r="T61" s="62">
        <f t="shared" si="21"/>
        <v>4.1474654377880185E-2</v>
      </c>
      <c r="U61" s="63">
        <f t="shared" si="22"/>
        <v>-6.0000000000000053E-3</v>
      </c>
      <c r="V61" s="64">
        <f t="shared" si="23"/>
        <v>-6.0000000000000053E-3</v>
      </c>
    </row>
    <row r="62" spans="1:22">
      <c r="A62" s="182">
        <v>54</v>
      </c>
      <c r="B62" s="149" t="s">
        <v>110</v>
      </c>
      <c r="C62" s="148" t="s">
        <v>111</v>
      </c>
      <c r="D62" s="55">
        <v>2092847326.75</v>
      </c>
      <c r="E62" s="34">
        <f t="shared" si="33"/>
        <v>3.9219143928030605E-4</v>
      </c>
      <c r="F62" s="41">
        <v>1</v>
      </c>
      <c r="G62" s="41">
        <v>1</v>
      </c>
      <c r="H62" s="35">
        <v>2343</v>
      </c>
      <c r="I62" s="57">
        <v>0.1593</v>
      </c>
      <c r="J62" s="57">
        <v>0.1593</v>
      </c>
      <c r="K62" s="55">
        <v>2218213375.29</v>
      </c>
      <c r="L62" s="34">
        <f t="shared" si="34"/>
        <v>4.1568454858901985E-4</v>
      </c>
      <c r="M62" s="41">
        <v>1</v>
      </c>
      <c r="N62" s="41">
        <v>1</v>
      </c>
      <c r="O62" s="35">
        <v>2412</v>
      </c>
      <c r="P62" s="57">
        <v>0.15890000000000001</v>
      </c>
      <c r="Q62" s="57">
        <v>0.1176</v>
      </c>
      <c r="R62" s="62">
        <f t="shared" si="19"/>
        <v>5.9902147155034925E-2</v>
      </c>
      <c r="S62" s="62">
        <f t="shared" si="20"/>
        <v>0</v>
      </c>
      <c r="T62" s="62">
        <f t="shared" si="21"/>
        <v>2.9449423815621E-2</v>
      </c>
      <c r="U62" s="63">
        <f t="shared" si="22"/>
        <v>-3.999999999999837E-4</v>
      </c>
      <c r="V62" s="64">
        <f t="shared" si="23"/>
        <v>-4.1700000000000001E-2</v>
      </c>
    </row>
    <row r="63" spans="1:22">
      <c r="A63" s="182">
        <v>55</v>
      </c>
      <c r="B63" s="149" t="s">
        <v>112</v>
      </c>
      <c r="C63" s="148" t="s">
        <v>113</v>
      </c>
      <c r="D63" s="55">
        <v>13854450473.3869</v>
      </c>
      <c r="E63" s="34">
        <f t="shared" si="33"/>
        <v>2.5962700681244643E-3</v>
      </c>
      <c r="F63" s="41">
        <v>100</v>
      </c>
      <c r="G63" s="41">
        <v>100</v>
      </c>
      <c r="H63" s="35">
        <v>159</v>
      </c>
      <c r="I63" s="57">
        <v>0.1623</v>
      </c>
      <c r="J63" s="57">
        <v>0.1623</v>
      </c>
      <c r="K63" s="55">
        <v>13944994534.0373</v>
      </c>
      <c r="L63" s="34">
        <f t="shared" si="34"/>
        <v>2.6132376725029015E-3</v>
      </c>
      <c r="M63" s="41">
        <v>100</v>
      </c>
      <c r="N63" s="41">
        <v>100</v>
      </c>
      <c r="O63" s="35">
        <v>159</v>
      </c>
      <c r="P63" s="57">
        <v>0.16170000000000001</v>
      </c>
      <c r="Q63" s="57">
        <v>0.16170000000000001</v>
      </c>
      <c r="R63" s="62">
        <f t="shared" si="19"/>
        <v>6.5353772655455953E-3</v>
      </c>
      <c r="S63" s="62">
        <f t="shared" si="20"/>
        <v>0</v>
      </c>
      <c r="T63" s="62">
        <f t="shared" si="21"/>
        <v>0</v>
      </c>
      <c r="U63" s="63">
        <f t="shared" si="22"/>
        <v>-5.9999999999998943E-4</v>
      </c>
      <c r="V63" s="64">
        <f t="shared" si="23"/>
        <v>-5.9999999999998943E-4</v>
      </c>
    </row>
    <row r="64" spans="1:22">
      <c r="A64" s="182">
        <v>56</v>
      </c>
      <c r="B64" s="149" t="s">
        <v>330</v>
      </c>
      <c r="C64" s="148" t="s">
        <v>77</v>
      </c>
      <c r="D64" s="55">
        <v>74043249.629999995</v>
      </c>
      <c r="E64" s="34">
        <f t="shared" si="33"/>
        <v>1.3875416648989771E-5</v>
      </c>
      <c r="F64" s="41">
        <v>1000</v>
      </c>
      <c r="G64" s="41">
        <v>1000</v>
      </c>
      <c r="H64" s="35">
        <v>21</v>
      </c>
      <c r="I64" s="57">
        <v>0.24329999999999999</v>
      </c>
      <c r="J64" s="57">
        <v>0.24329999999999999</v>
      </c>
      <c r="K64" s="55">
        <v>74356072.829999998</v>
      </c>
      <c r="L64" s="34">
        <f t="shared" si="34"/>
        <v>1.3934038498505566E-5</v>
      </c>
      <c r="M64" s="41">
        <v>1000</v>
      </c>
      <c r="N64" s="41">
        <v>1000</v>
      </c>
      <c r="O64" s="35">
        <v>24</v>
      </c>
      <c r="P64" s="57">
        <v>0.24329999999999999</v>
      </c>
      <c r="Q64" s="57">
        <v>0.24329999999999999</v>
      </c>
      <c r="R64" s="62">
        <f t="shared" si="19"/>
        <v>4.2248712956711836E-3</v>
      </c>
      <c r="S64" s="62">
        <f t="shared" si="20"/>
        <v>0</v>
      </c>
      <c r="T64" s="62">
        <f t="shared" si="21"/>
        <v>0.14285714285714285</v>
      </c>
      <c r="U64" s="63">
        <f t="shared" si="22"/>
        <v>0</v>
      </c>
      <c r="V64" s="64">
        <f t="shared" si="23"/>
        <v>0</v>
      </c>
    </row>
    <row r="65" spans="1:22">
      <c r="A65" s="182">
        <v>57</v>
      </c>
      <c r="B65" s="149" t="s">
        <v>332</v>
      </c>
      <c r="C65" s="148" t="s">
        <v>34</v>
      </c>
      <c r="D65" s="39">
        <v>1630000000</v>
      </c>
      <c r="E65" s="34">
        <f t="shared" si="33"/>
        <v>3.0545565262021747E-4</v>
      </c>
      <c r="F65" s="33">
        <v>1</v>
      </c>
      <c r="G65" s="33">
        <v>1</v>
      </c>
      <c r="H65" s="35">
        <v>345</v>
      </c>
      <c r="I65" s="57">
        <v>0.1772</v>
      </c>
      <c r="J65" s="57">
        <v>0.1772</v>
      </c>
      <c r="K65" s="39">
        <v>1630000000</v>
      </c>
      <c r="L65" s="34">
        <f t="shared" si="34"/>
        <v>3.0545565262021747E-4</v>
      </c>
      <c r="M65" s="33">
        <v>1</v>
      </c>
      <c r="N65" s="33">
        <v>1</v>
      </c>
      <c r="O65" s="35">
        <v>345</v>
      </c>
      <c r="P65" s="57">
        <v>0.1772</v>
      </c>
      <c r="Q65" s="57">
        <v>0.1772</v>
      </c>
      <c r="R65" s="62">
        <f t="shared" si="19"/>
        <v>0</v>
      </c>
      <c r="S65" s="62">
        <f t="shared" si="20"/>
        <v>0</v>
      </c>
      <c r="T65" s="62">
        <f t="shared" si="21"/>
        <v>0</v>
      </c>
      <c r="U65" s="63">
        <f t="shared" si="22"/>
        <v>0</v>
      </c>
      <c r="V65" s="64">
        <f t="shared" si="23"/>
        <v>0</v>
      </c>
    </row>
    <row r="66" spans="1:22">
      <c r="A66" s="182">
        <v>58</v>
      </c>
      <c r="B66" s="149" t="s">
        <v>114</v>
      </c>
      <c r="C66" s="148" t="s">
        <v>50</v>
      </c>
      <c r="D66" s="51">
        <v>2590334064076.6099</v>
      </c>
      <c r="E66" s="34">
        <f t="shared" si="33"/>
        <v>0.48541851659319091</v>
      </c>
      <c r="F66" s="41">
        <v>100</v>
      </c>
      <c r="G66" s="41">
        <v>100</v>
      </c>
      <c r="H66" s="35">
        <v>294630</v>
      </c>
      <c r="I66" s="57">
        <v>0.1547</v>
      </c>
      <c r="J66" s="57">
        <v>0.1547</v>
      </c>
      <c r="K66" s="51">
        <v>2611478408131.29</v>
      </c>
      <c r="L66" s="34">
        <f t="shared" ref="L66:L73" si="40">(K66/$K$74)</f>
        <v>0.4893808843308895</v>
      </c>
      <c r="M66" s="41">
        <v>100</v>
      </c>
      <c r="N66" s="41">
        <v>100</v>
      </c>
      <c r="O66" s="35">
        <v>297969</v>
      </c>
      <c r="P66" s="57">
        <v>0.1547</v>
      </c>
      <c r="Q66" s="57">
        <v>0.1547</v>
      </c>
      <c r="R66" s="62">
        <f t="shared" si="19"/>
        <v>8.1627865486213307E-3</v>
      </c>
      <c r="S66" s="62">
        <f t="shared" si="20"/>
        <v>0</v>
      </c>
      <c r="T66" s="62">
        <f t="shared" si="21"/>
        <v>1.1332858161083393E-2</v>
      </c>
      <c r="U66" s="63">
        <f t="shared" si="22"/>
        <v>0</v>
      </c>
      <c r="V66" s="64">
        <f t="shared" si="23"/>
        <v>0</v>
      </c>
    </row>
    <row r="67" spans="1:22">
      <c r="A67" s="182">
        <v>59</v>
      </c>
      <c r="B67" s="149" t="s">
        <v>115</v>
      </c>
      <c r="C67" s="149" t="s">
        <v>116</v>
      </c>
      <c r="D67" s="51">
        <v>9009329387.9400005</v>
      </c>
      <c r="E67" s="34">
        <f t="shared" si="33"/>
        <v>1.6883132440881701E-3</v>
      </c>
      <c r="F67" s="41">
        <v>100</v>
      </c>
      <c r="G67" s="41">
        <v>100</v>
      </c>
      <c r="H67" s="35">
        <v>1180</v>
      </c>
      <c r="I67" s="57">
        <v>0.2026</v>
      </c>
      <c r="J67" s="57">
        <v>0.2026</v>
      </c>
      <c r="K67" s="51">
        <v>9481263230.6499996</v>
      </c>
      <c r="L67" s="34">
        <f t="shared" si="40"/>
        <v>1.7767518084553786E-3</v>
      </c>
      <c r="M67" s="41">
        <v>100</v>
      </c>
      <c r="N67" s="41">
        <v>100</v>
      </c>
      <c r="O67" s="35">
        <v>1226</v>
      </c>
      <c r="P67" s="57">
        <v>0.2019</v>
      </c>
      <c r="Q67" s="57">
        <v>0.2019</v>
      </c>
      <c r="R67" s="62">
        <f t="shared" si="19"/>
        <v>5.2382793700687151E-2</v>
      </c>
      <c r="S67" s="62">
        <f t="shared" si="20"/>
        <v>0</v>
      </c>
      <c r="T67" s="62">
        <f t="shared" si="21"/>
        <v>3.898305084745763E-2</v>
      </c>
      <c r="U67" s="63">
        <f t="shared" si="22"/>
        <v>-7.0000000000000617E-4</v>
      </c>
      <c r="V67" s="64">
        <f t="shared" si="23"/>
        <v>-7.0000000000000617E-4</v>
      </c>
    </row>
    <row r="68" spans="1:22">
      <c r="A68" s="182">
        <v>60</v>
      </c>
      <c r="B68" s="183" t="s">
        <v>117</v>
      </c>
      <c r="C68" s="148" t="s">
        <v>118</v>
      </c>
      <c r="D68" s="51">
        <v>15717944706.65</v>
      </c>
      <c r="E68" s="34">
        <f t="shared" si="33"/>
        <v>2.9454816308087536E-3</v>
      </c>
      <c r="F68" s="41">
        <v>1</v>
      </c>
      <c r="G68" s="41">
        <v>1</v>
      </c>
      <c r="H68" s="35">
        <v>776</v>
      </c>
      <c r="I68" s="57">
        <v>0.195272</v>
      </c>
      <c r="J68" s="57">
        <v>0.195272</v>
      </c>
      <c r="K68" s="51">
        <v>15364162922.75</v>
      </c>
      <c r="L68" s="34">
        <f t="shared" si="40"/>
        <v>2.8791843021668401E-3</v>
      </c>
      <c r="M68" s="41">
        <v>1</v>
      </c>
      <c r="N68" s="41">
        <v>1</v>
      </c>
      <c r="O68" s="35">
        <v>792</v>
      </c>
      <c r="P68" s="57">
        <v>0.195549</v>
      </c>
      <c r="Q68" s="57">
        <v>0.195549</v>
      </c>
      <c r="R68" s="62">
        <f t="shared" si="19"/>
        <v>-2.2508145339786088E-2</v>
      </c>
      <c r="S68" s="62">
        <f t="shared" si="20"/>
        <v>0</v>
      </c>
      <c r="T68" s="62">
        <f t="shared" si="21"/>
        <v>2.0618556701030927E-2</v>
      </c>
      <c r="U68" s="63">
        <f t="shared" si="22"/>
        <v>2.7699999999999947E-4</v>
      </c>
      <c r="V68" s="64">
        <f t="shared" si="23"/>
        <v>2.7699999999999947E-4</v>
      </c>
    </row>
    <row r="69" spans="1:22">
      <c r="A69" s="182">
        <v>61</v>
      </c>
      <c r="B69" s="149" t="s">
        <v>119</v>
      </c>
      <c r="C69" s="148" t="s">
        <v>53</v>
      </c>
      <c r="D69" s="51">
        <v>215666354654.26001</v>
      </c>
      <c r="E69" s="34">
        <f t="shared" si="33"/>
        <v>4.0415035036282375E-2</v>
      </c>
      <c r="F69" s="41">
        <v>1</v>
      </c>
      <c r="G69" s="41">
        <v>1</v>
      </c>
      <c r="H69" s="35">
        <v>83076</v>
      </c>
      <c r="I69" s="57">
        <v>0.15409999999999999</v>
      </c>
      <c r="J69" s="57">
        <v>0.15409999999999999</v>
      </c>
      <c r="K69" s="51">
        <v>214199333249.94</v>
      </c>
      <c r="L69" s="34">
        <f t="shared" si="40"/>
        <v>4.0140120937837961E-2</v>
      </c>
      <c r="M69" s="41">
        <v>1</v>
      </c>
      <c r="N69" s="41">
        <v>1</v>
      </c>
      <c r="O69" s="35">
        <v>83601</v>
      </c>
      <c r="P69" s="57">
        <v>0.16070000000000001</v>
      </c>
      <c r="Q69" s="57">
        <v>0.16070000000000001</v>
      </c>
      <c r="R69" s="62">
        <f t="shared" si="19"/>
        <v>-6.802272921392051E-3</v>
      </c>
      <c r="S69" s="62">
        <f t="shared" si="20"/>
        <v>0</v>
      </c>
      <c r="T69" s="62">
        <f t="shared" si="21"/>
        <v>6.3195146612740139E-3</v>
      </c>
      <c r="U69" s="63">
        <f t="shared" si="22"/>
        <v>6.6000000000000225E-3</v>
      </c>
      <c r="V69" s="64">
        <f t="shared" si="23"/>
        <v>6.6000000000000225E-3</v>
      </c>
    </row>
    <row r="70" spans="1:22">
      <c r="A70" s="182">
        <v>62</v>
      </c>
      <c r="B70" s="149" t="s">
        <v>120</v>
      </c>
      <c r="C70" s="148" t="s">
        <v>121</v>
      </c>
      <c r="D70" s="51">
        <v>2698270874.5599999</v>
      </c>
      <c r="E70" s="34">
        <f t="shared" si="33"/>
        <v>5.0564545456125755E-4</v>
      </c>
      <c r="F70" s="41">
        <v>1</v>
      </c>
      <c r="G70" s="41">
        <v>1</v>
      </c>
      <c r="H70" s="35">
        <v>157</v>
      </c>
      <c r="I70" s="57">
        <v>0.153</v>
      </c>
      <c r="J70" s="57">
        <v>0.153</v>
      </c>
      <c r="K70" s="51">
        <v>2655105062.0999999</v>
      </c>
      <c r="L70" s="34">
        <f t="shared" si="40"/>
        <v>4.9755634939815864E-4</v>
      </c>
      <c r="M70" s="41">
        <v>1</v>
      </c>
      <c r="N70" s="41">
        <v>1</v>
      </c>
      <c r="O70" s="35">
        <v>160</v>
      </c>
      <c r="P70" s="57">
        <v>0.1515</v>
      </c>
      <c r="Q70" s="57">
        <v>0.1515</v>
      </c>
      <c r="R70" s="62">
        <f t="shared" si="19"/>
        <v>-1.5997583069579321E-2</v>
      </c>
      <c r="S70" s="62">
        <f t="shared" si="20"/>
        <v>0</v>
      </c>
      <c r="T70" s="62">
        <f t="shared" si="21"/>
        <v>1.9108280254777069E-2</v>
      </c>
      <c r="U70" s="63">
        <f t="shared" si="22"/>
        <v>-1.5000000000000013E-3</v>
      </c>
      <c r="V70" s="64">
        <f t="shared" si="23"/>
        <v>-1.5000000000000013E-3</v>
      </c>
    </row>
    <row r="71" spans="1:22">
      <c r="A71" s="182">
        <v>63</v>
      </c>
      <c r="B71" s="149" t="s">
        <v>122</v>
      </c>
      <c r="C71" s="148" t="s">
        <v>123</v>
      </c>
      <c r="D71" s="51">
        <v>9270451755.7399998</v>
      </c>
      <c r="E71" s="34">
        <f t="shared" si="33"/>
        <v>1.7372465589777931E-3</v>
      </c>
      <c r="F71" s="41">
        <v>1</v>
      </c>
      <c r="G71" s="41">
        <v>1</v>
      </c>
      <c r="H71" s="35">
        <v>563</v>
      </c>
      <c r="I71" s="57">
        <v>0.15770000000000001</v>
      </c>
      <c r="J71" s="57">
        <v>0.15770000000000001</v>
      </c>
      <c r="K71" s="51">
        <v>9386954754</v>
      </c>
      <c r="L71" s="34">
        <f t="shared" si="40"/>
        <v>1.7590787671776216E-3</v>
      </c>
      <c r="M71" s="41">
        <v>1</v>
      </c>
      <c r="N71" s="41">
        <v>1</v>
      </c>
      <c r="O71" s="35">
        <v>563</v>
      </c>
      <c r="P71" s="57">
        <v>0.1464</v>
      </c>
      <c r="Q71" s="57">
        <v>0.1464</v>
      </c>
      <c r="R71" s="62">
        <f t="shared" si="19"/>
        <v>1.2567132792408406E-2</v>
      </c>
      <c r="S71" s="62">
        <f t="shared" si="20"/>
        <v>0</v>
      </c>
      <c r="T71" s="62">
        <f t="shared" si="21"/>
        <v>0</v>
      </c>
      <c r="U71" s="63">
        <f t="shared" si="22"/>
        <v>-1.1300000000000004E-2</v>
      </c>
      <c r="V71" s="64">
        <f t="shared" si="23"/>
        <v>-1.1300000000000004E-2</v>
      </c>
    </row>
    <row r="72" spans="1:22">
      <c r="A72" s="182">
        <v>64</v>
      </c>
      <c r="B72" s="149" t="s">
        <v>124</v>
      </c>
      <c r="C72" s="148" t="s">
        <v>125</v>
      </c>
      <c r="D72" s="51">
        <v>14763981348.040001</v>
      </c>
      <c r="E72" s="34">
        <f t="shared" si="33"/>
        <v>2.7667126122320716E-3</v>
      </c>
      <c r="F72" s="41">
        <v>1</v>
      </c>
      <c r="G72" s="41">
        <v>1</v>
      </c>
      <c r="H72" s="35">
        <v>6248</v>
      </c>
      <c r="I72" s="57">
        <v>0.1792</v>
      </c>
      <c r="J72" s="57">
        <v>0.1792</v>
      </c>
      <c r="K72" s="51">
        <v>14939034500.629999</v>
      </c>
      <c r="L72" s="34">
        <f t="shared" si="40"/>
        <v>2.7995168913533012E-3</v>
      </c>
      <c r="M72" s="41">
        <v>1</v>
      </c>
      <c r="N72" s="41">
        <v>1</v>
      </c>
      <c r="O72" s="35">
        <v>6398</v>
      </c>
      <c r="P72" s="57">
        <v>0.18029999999999999</v>
      </c>
      <c r="Q72" s="57">
        <v>0.18029999999999999</v>
      </c>
      <c r="R72" s="62">
        <f t="shared" si="19"/>
        <v>1.1856771453672792E-2</v>
      </c>
      <c r="S72" s="62">
        <f t="shared" si="20"/>
        <v>0</v>
      </c>
      <c r="T72" s="62">
        <f t="shared" si="21"/>
        <v>2.4007682458386685E-2</v>
      </c>
      <c r="U72" s="63">
        <f t="shared" si="22"/>
        <v>1.0999999999999899E-3</v>
      </c>
      <c r="V72" s="64">
        <f t="shared" si="23"/>
        <v>1.0999999999999899E-3</v>
      </c>
    </row>
    <row r="73" spans="1:22">
      <c r="A73" s="182">
        <v>65</v>
      </c>
      <c r="B73" s="149" t="s">
        <v>126</v>
      </c>
      <c r="C73" s="148" t="s">
        <v>127</v>
      </c>
      <c r="D73" s="51">
        <v>148363056654.23999</v>
      </c>
      <c r="E73" s="34">
        <f t="shared" si="33"/>
        <v>2.7802659076718514E-2</v>
      </c>
      <c r="F73" s="41">
        <v>1</v>
      </c>
      <c r="G73" s="41">
        <v>1</v>
      </c>
      <c r="H73" s="35">
        <v>7874</v>
      </c>
      <c r="I73" s="57">
        <v>0.16850000000000001</v>
      </c>
      <c r="J73" s="57">
        <v>0.16850000000000001</v>
      </c>
      <c r="K73" s="51">
        <v>149074762459.85999</v>
      </c>
      <c r="L73" s="34">
        <f t="shared" si="40"/>
        <v>2.7936029973239528E-2</v>
      </c>
      <c r="M73" s="41">
        <v>1</v>
      </c>
      <c r="N73" s="41">
        <v>1</v>
      </c>
      <c r="O73" s="35">
        <v>7949</v>
      </c>
      <c r="P73" s="57">
        <v>0.1673</v>
      </c>
      <c r="Q73" s="57">
        <v>0.1673</v>
      </c>
      <c r="R73" s="62">
        <f t="shared" si="19"/>
        <v>4.7970554238352279E-3</v>
      </c>
      <c r="S73" s="62">
        <f t="shared" si="20"/>
        <v>0</v>
      </c>
      <c r="T73" s="62">
        <f t="shared" si="21"/>
        <v>9.5250190500380996E-3</v>
      </c>
      <c r="U73" s="63">
        <f t="shared" si="22"/>
        <v>-1.2000000000000066E-3</v>
      </c>
      <c r="V73" s="64">
        <f t="shared" si="23"/>
        <v>-1.2000000000000066E-3</v>
      </c>
    </row>
    <row r="74" spans="1:22">
      <c r="A74" s="42"/>
      <c r="B74" s="43"/>
      <c r="C74" s="44" t="s">
        <v>56</v>
      </c>
      <c r="D74" s="66">
        <f>SUM(D29:D73)</f>
        <v>5290967255505.7646</v>
      </c>
      <c r="E74" s="46">
        <f>(D74/$D$234)</f>
        <v>0.64176488697814116</v>
      </c>
      <c r="F74" s="47"/>
      <c r="G74" s="52"/>
      <c r="H74" s="49">
        <f>SUM(H29:H73)</f>
        <v>671714</v>
      </c>
      <c r="I74" s="70"/>
      <c r="J74" s="70"/>
      <c r="K74" s="66">
        <f>SUM(K29:K73)</f>
        <v>5336290181627.8701</v>
      </c>
      <c r="L74" s="46">
        <f>(K74/$K$234)</f>
        <v>0.63951244043858768</v>
      </c>
      <c r="M74" s="47"/>
      <c r="N74" s="52"/>
      <c r="O74" s="49">
        <f>SUM(O29:O73)</f>
        <v>678922</v>
      </c>
      <c r="P74" s="70"/>
      <c r="Q74" s="70"/>
      <c r="R74" s="62">
        <f t="shared" si="19"/>
        <v>8.5660946162429124E-3</v>
      </c>
      <c r="S74" s="62" t="e">
        <f t="shared" si="20"/>
        <v>#DIV/0!</v>
      </c>
      <c r="T74" s="62">
        <f t="shared" si="21"/>
        <v>1.0730757435456161E-2</v>
      </c>
      <c r="U74" s="63">
        <f t="shared" si="22"/>
        <v>0</v>
      </c>
      <c r="V74" s="64">
        <f t="shared" si="23"/>
        <v>0</v>
      </c>
    </row>
    <row r="75" spans="1:22" ht="3" customHeight="1">
      <c r="A75" s="4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</row>
    <row r="76" spans="1:22" ht="15" customHeight="1">
      <c r="A76" s="191" t="s">
        <v>128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spans="1:22">
      <c r="A77" s="182">
        <v>66</v>
      </c>
      <c r="B77" s="149" t="s">
        <v>129</v>
      </c>
      <c r="C77" s="148" t="s">
        <v>22</v>
      </c>
      <c r="D77" s="39">
        <v>783734792.75</v>
      </c>
      <c r="E77" s="34">
        <f>(D77/$D$116)</f>
        <v>3.1849779154224942E-3</v>
      </c>
      <c r="F77" s="67">
        <v>1.7814000000000001</v>
      </c>
      <c r="G77" s="67">
        <v>1.7814000000000001</v>
      </c>
      <c r="H77" s="35">
        <v>550</v>
      </c>
      <c r="I77" s="57">
        <v>1.4175999999999999E-2</v>
      </c>
      <c r="J77" s="57">
        <v>6.7199999999999996E-2</v>
      </c>
      <c r="K77" s="39">
        <v>775168121.97000003</v>
      </c>
      <c r="L77" s="34">
        <f t="shared" ref="L77:L100" si="41">(K77/$K$116)</f>
        <v>3.1913629047779662E-3</v>
      </c>
      <c r="M77" s="67">
        <v>1.7595000000000001</v>
      </c>
      <c r="N77" s="67">
        <v>1.7595000000000001</v>
      </c>
      <c r="O77" s="35">
        <v>553</v>
      </c>
      <c r="P77" s="57">
        <v>-5.6509999999999998E-3</v>
      </c>
      <c r="Q77" s="57">
        <v>5.3999999999999999E-2</v>
      </c>
      <c r="R77" s="62">
        <f>((K77-D77)/D77)</f>
        <v>-1.0930573529778989E-2</v>
      </c>
      <c r="S77" s="62">
        <f>((N77-G77)/G77)</f>
        <v>-1.2293701583024603E-2</v>
      </c>
      <c r="T77" s="62">
        <f>((O77-H77)/H77)</f>
        <v>5.454545454545455E-3</v>
      </c>
      <c r="U77" s="63">
        <f>P77-I77</f>
        <v>-1.9826999999999997E-2</v>
      </c>
      <c r="V77" s="64">
        <f>Q77-J77</f>
        <v>-1.3199999999999996E-2</v>
      </c>
    </row>
    <row r="78" spans="1:22">
      <c r="A78" s="182">
        <v>67</v>
      </c>
      <c r="B78" s="149" t="s">
        <v>130</v>
      </c>
      <c r="C78" s="148" t="s">
        <v>24</v>
      </c>
      <c r="D78" s="39">
        <v>1223835832.8</v>
      </c>
      <c r="E78" s="34">
        <f>(D78/$D$116)</f>
        <v>4.9734809984556426E-3</v>
      </c>
      <c r="F78" s="67">
        <v>1.355</v>
      </c>
      <c r="G78" s="67">
        <v>1.355</v>
      </c>
      <c r="H78" s="35">
        <v>1495</v>
      </c>
      <c r="I78" s="57">
        <v>0.21249999999999999</v>
      </c>
      <c r="J78" s="57">
        <v>0.1222</v>
      </c>
      <c r="K78" s="39">
        <v>1228913220.21</v>
      </c>
      <c r="L78" s="34">
        <f t="shared" si="41"/>
        <v>5.059428984518036E-3</v>
      </c>
      <c r="M78" s="67">
        <v>1.3567</v>
      </c>
      <c r="N78" s="67">
        <v>1.3567</v>
      </c>
      <c r="O78" s="35">
        <v>1512</v>
      </c>
      <c r="P78" s="57">
        <v>6.54E-2</v>
      </c>
      <c r="Q78" s="57">
        <v>0.1162</v>
      </c>
      <c r="R78" s="62">
        <f t="shared" ref="R78:R116" si="42">((K78-D78)/D78)</f>
        <v>4.1487487732595552E-3</v>
      </c>
      <c r="S78" s="62">
        <f t="shared" ref="S78:S116" si="43">((N78-G78)/G78)</f>
        <v>1.2546125461254871E-3</v>
      </c>
      <c r="T78" s="62">
        <f t="shared" ref="T78:T116" si="44">((O78-H78)/H78)</f>
        <v>1.137123745819398E-2</v>
      </c>
      <c r="U78" s="63">
        <f t="shared" ref="U78:U116" si="45">P78-I78</f>
        <v>-0.14710000000000001</v>
      </c>
      <c r="V78" s="64">
        <f t="shared" ref="V78:V116" si="46">Q78-J78</f>
        <v>-6.0000000000000053E-3</v>
      </c>
    </row>
    <row r="79" spans="1:22">
      <c r="A79" s="182">
        <v>68</v>
      </c>
      <c r="B79" s="149" t="s">
        <v>131</v>
      </c>
      <c r="C79" s="148" t="s">
        <v>24</v>
      </c>
      <c r="D79" s="39">
        <v>672679880.79999995</v>
      </c>
      <c r="E79" s="34">
        <f>(D79/$D$116)</f>
        <v>2.7336677972142199E-3</v>
      </c>
      <c r="F79" s="67">
        <v>1.2045999999999999</v>
      </c>
      <c r="G79" s="67">
        <v>1.2045999999999999</v>
      </c>
      <c r="H79" s="35">
        <v>703</v>
      </c>
      <c r="I79" s="57">
        <v>0.1258</v>
      </c>
      <c r="J79" s="57">
        <v>0.1198</v>
      </c>
      <c r="K79" s="39">
        <v>679399558.84000003</v>
      </c>
      <c r="L79" s="34">
        <f t="shared" si="41"/>
        <v>2.7970842558569554E-3</v>
      </c>
      <c r="M79" s="67">
        <v>1.2076</v>
      </c>
      <c r="N79" s="67">
        <v>1.2076</v>
      </c>
      <c r="O79" s="35">
        <v>717</v>
      </c>
      <c r="P79" s="57">
        <v>0.12989999999999999</v>
      </c>
      <c r="Q79" s="57">
        <v>0.1211</v>
      </c>
      <c r="R79" s="62">
        <f t="shared" si="42"/>
        <v>9.9894143288610775E-3</v>
      </c>
      <c r="S79" s="62">
        <f t="shared" si="43"/>
        <v>2.4904532624938683E-3</v>
      </c>
      <c r="T79" s="62">
        <f t="shared" si="44"/>
        <v>1.9914651493598862E-2</v>
      </c>
      <c r="U79" s="63">
        <f t="shared" si="45"/>
        <v>4.0999999999999925E-3</v>
      </c>
      <c r="V79" s="64">
        <f t="shared" si="46"/>
        <v>1.2999999999999956E-3</v>
      </c>
    </row>
    <row r="80" spans="1:22">
      <c r="A80" s="182">
        <v>69</v>
      </c>
      <c r="B80" s="149" t="s">
        <v>132</v>
      </c>
      <c r="C80" s="148" t="s">
        <v>64</v>
      </c>
      <c r="D80" s="39">
        <v>341606390.63999999</v>
      </c>
      <c r="E80" s="34">
        <f>(D80/$D$116)</f>
        <v>1.3882359441233184E-3</v>
      </c>
      <c r="F80" s="38">
        <v>1307.05</v>
      </c>
      <c r="G80" s="38">
        <v>1307.05</v>
      </c>
      <c r="H80" s="35">
        <v>109</v>
      </c>
      <c r="I80" s="57">
        <v>2.2700000000000001E-2</v>
      </c>
      <c r="J80" s="57">
        <v>0.2203</v>
      </c>
      <c r="K80" s="39">
        <v>337962361.91000003</v>
      </c>
      <c r="L80" s="34">
        <f t="shared" si="41"/>
        <v>1.3913891895730739E-3</v>
      </c>
      <c r="M80" s="38">
        <v>1321.76</v>
      </c>
      <c r="N80" s="38">
        <v>1321.76</v>
      </c>
      <c r="O80" s="35">
        <v>109</v>
      </c>
      <c r="P80" s="57">
        <v>-1.12E-2</v>
      </c>
      <c r="Q80" s="57">
        <v>0.27189999999999998</v>
      </c>
      <c r="R80" s="62">
        <f t="shared" si="42"/>
        <v>-1.0667331846962428E-2</v>
      </c>
      <c r="S80" s="62">
        <f t="shared" si="43"/>
        <v>1.1254351402012194E-2</v>
      </c>
      <c r="T80" s="62">
        <f t="shared" si="44"/>
        <v>0</v>
      </c>
      <c r="U80" s="63">
        <f t="shared" si="45"/>
        <v>-3.39E-2</v>
      </c>
      <c r="V80" s="64">
        <f t="shared" si="46"/>
        <v>5.1599999999999979E-2</v>
      </c>
    </row>
    <row r="81" spans="1:22" ht="15" customHeight="1">
      <c r="A81" s="182">
        <v>70</v>
      </c>
      <c r="B81" s="149" t="s">
        <v>133</v>
      </c>
      <c r="C81" s="148" t="s">
        <v>28</v>
      </c>
      <c r="D81" s="39">
        <v>1808451393.05</v>
      </c>
      <c r="E81" s="34">
        <f>(D81/$K$116)</f>
        <v>7.4453844621556412E-3</v>
      </c>
      <c r="F81" s="38">
        <v>1.1151</v>
      </c>
      <c r="G81" s="38">
        <v>1.1151</v>
      </c>
      <c r="H81" s="35">
        <v>1081</v>
      </c>
      <c r="I81" s="57">
        <v>-1.6899999999999998E-2</v>
      </c>
      <c r="J81" s="57">
        <v>2.98E-2</v>
      </c>
      <c r="K81" s="39">
        <v>1840216688.4000001</v>
      </c>
      <c r="L81" s="34">
        <f t="shared" si="41"/>
        <v>7.5761620088143902E-3</v>
      </c>
      <c r="M81" s="38">
        <v>1.1491</v>
      </c>
      <c r="N81" s="38">
        <v>1.1491</v>
      </c>
      <c r="O81" s="35">
        <v>1081</v>
      </c>
      <c r="P81" s="57">
        <v>3.0499999999999999E-2</v>
      </c>
      <c r="Q81" s="57">
        <v>5.9700000000000003E-2</v>
      </c>
      <c r="R81" s="62">
        <f t="shared" si="42"/>
        <v>1.7564915193229027E-2</v>
      </c>
      <c r="S81" s="62">
        <f t="shared" si="43"/>
        <v>3.0490538965115263E-2</v>
      </c>
      <c r="T81" s="62">
        <f t="shared" si="44"/>
        <v>0</v>
      </c>
      <c r="U81" s="63">
        <f t="shared" si="45"/>
        <v>4.7399999999999998E-2</v>
      </c>
      <c r="V81" s="64">
        <f t="shared" si="46"/>
        <v>2.9900000000000003E-2</v>
      </c>
    </row>
    <row r="82" spans="1:22">
      <c r="A82" s="182">
        <v>71</v>
      </c>
      <c r="B82" s="149" t="s">
        <v>134</v>
      </c>
      <c r="C82" s="148" t="s">
        <v>135</v>
      </c>
      <c r="D82" s="39">
        <v>491688380.19221401</v>
      </c>
      <c r="E82" s="34">
        <f t="shared" ref="E82:E100" si="47">(D82/$D$116)</f>
        <v>1.998146116095164E-3</v>
      </c>
      <c r="F82" s="38">
        <v>2.8014000000000001</v>
      </c>
      <c r="G82" s="38">
        <v>2.8014000000000001</v>
      </c>
      <c r="H82" s="35">
        <v>1390</v>
      </c>
      <c r="I82" s="57">
        <v>0.14369999999999999</v>
      </c>
      <c r="J82" s="57">
        <v>0.14099999999999999</v>
      </c>
      <c r="K82" s="39">
        <v>492710178.31999999</v>
      </c>
      <c r="L82" s="34">
        <f t="shared" si="41"/>
        <v>2.0284851006267765E-3</v>
      </c>
      <c r="M82" s="38">
        <v>2.8071999999999999</v>
      </c>
      <c r="N82" s="38">
        <v>2.8071999999999999</v>
      </c>
      <c r="O82" s="35">
        <v>1390</v>
      </c>
      <c r="P82" s="57">
        <v>0.108</v>
      </c>
      <c r="Q82" s="57">
        <v>0.13769999999999999</v>
      </c>
      <c r="R82" s="62">
        <f t="shared" si="42"/>
        <v>2.0781417030569906E-3</v>
      </c>
      <c r="S82" s="62">
        <f t="shared" si="43"/>
        <v>2.0703933747411312E-3</v>
      </c>
      <c r="T82" s="62">
        <f t="shared" si="44"/>
        <v>0</v>
      </c>
      <c r="U82" s="63">
        <f t="shared" si="45"/>
        <v>-3.5699999999999996E-2</v>
      </c>
      <c r="V82" s="64">
        <f t="shared" si="46"/>
        <v>-3.2999999999999974E-3</v>
      </c>
    </row>
    <row r="83" spans="1:22">
      <c r="A83" s="182">
        <v>72</v>
      </c>
      <c r="B83" s="148" t="s">
        <v>136</v>
      </c>
      <c r="C83" s="148" t="s">
        <v>137</v>
      </c>
      <c r="D83" s="39">
        <v>1983601828.3599999</v>
      </c>
      <c r="E83" s="34">
        <f t="shared" si="47"/>
        <v>8.0610534006668056E-3</v>
      </c>
      <c r="F83" s="38">
        <v>1160.6199999999999</v>
      </c>
      <c r="G83" s="38">
        <v>1160.6199999999999</v>
      </c>
      <c r="H83" s="35">
        <v>287</v>
      </c>
      <c r="I83" s="57">
        <v>1.9E-3</v>
      </c>
      <c r="J83" s="57">
        <v>3.7190000000000001E-2</v>
      </c>
      <c r="K83" s="39">
        <v>2429708416.4699998</v>
      </c>
      <c r="L83" s="34">
        <f t="shared" si="41"/>
        <v>1.0003096218718427E-2</v>
      </c>
      <c r="M83" s="38">
        <v>1167.1300000000001</v>
      </c>
      <c r="N83" s="38">
        <v>1167.1300000000001</v>
      </c>
      <c r="O83" s="35">
        <v>288</v>
      </c>
      <c r="P83" s="57">
        <v>4.8500000000000001E-3</v>
      </c>
      <c r="Q83" s="57">
        <v>4.2999999999999997E-2</v>
      </c>
      <c r="R83" s="62">
        <f t="shared" ref="R83" si="48">((K83-D83)/D83)</f>
        <v>0.22489724587460752</v>
      </c>
      <c r="S83" s="62">
        <f t="shared" si="43"/>
        <v>5.6090710137686912E-3</v>
      </c>
      <c r="T83" s="62">
        <f t="shared" ref="T83" si="49">((O83-H83)/H83)</f>
        <v>3.4843205574912892E-3</v>
      </c>
      <c r="U83" s="63">
        <f t="shared" si="45"/>
        <v>2.9500000000000004E-3</v>
      </c>
      <c r="V83" s="64">
        <f t="shared" si="46"/>
        <v>5.8099999999999957E-3</v>
      </c>
    </row>
    <row r="84" spans="1:22">
      <c r="A84" s="182">
        <v>73</v>
      </c>
      <c r="B84" s="149" t="s">
        <v>138</v>
      </c>
      <c r="C84" s="148" t="s">
        <v>69</v>
      </c>
      <c r="D84" s="39">
        <v>212643367.18000001</v>
      </c>
      <c r="E84" s="34">
        <f t="shared" si="47"/>
        <v>8.6415000915419861E-4</v>
      </c>
      <c r="F84" s="38">
        <v>11.980399999999999</v>
      </c>
      <c r="G84" s="38">
        <v>12.0357</v>
      </c>
      <c r="H84" s="35">
        <v>46</v>
      </c>
      <c r="I84" s="57">
        <v>9.7999999999999997E-3</v>
      </c>
      <c r="J84" s="57">
        <v>0.287997</v>
      </c>
      <c r="K84" s="39">
        <v>212872458.77000001</v>
      </c>
      <c r="L84" s="34">
        <f t="shared" si="41"/>
        <v>8.7639474471803275E-4</v>
      </c>
      <c r="M84" s="38">
        <v>11.9938</v>
      </c>
      <c r="N84" s="38">
        <v>12.042899999999999</v>
      </c>
      <c r="O84" s="35">
        <v>46</v>
      </c>
      <c r="P84" s="57">
        <v>3.3E-4</v>
      </c>
      <c r="Q84" s="57">
        <v>0.2606</v>
      </c>
      <c r="R84" s="62">
        <f t="shared" si="42"/>
        <v>1.0773512150326341E-3</v>
      </c>
      <c r="S84" s="62">
        <f t="shared" si="43"/>
        <v>5.9822029462342917E-4</v>
      </c>
      <c r="T84" s="62">
        <f t="shared" si="44"/>
        <v>0</v>
      </c>
      <c r="U84" s="63">
        <f t="shared" si="45"/>
        <v>-9.4699999999999993E-3</v>
      </c>
      <c r="V84" s="64">
        <f t="shared" si="46"/>
        <v>-2.7397000000000005E-2</v>
      </c>
    </row>
    <row r="85" spans="1:22">
      <c r="A85" s="182">
        <v>74</v>
      </c>
      <c r="B85" s="149" t="s">
        <v>139</v>
      </c>
      <c r="C85" s="148" t="s">
        <v>71</v>
      </c>
      <c r="D85" s="39">
        <v>2081331028.8836401</v>
      </c>
      <c r="E85" s="34">
        <f t="shared" si="47"/>
        <v>8.4582098727783855E-3</v>
      </c>
      <c r="F85" s="39">
        <v>4878.2374537329097</v>
      </c>
      <c r="G85" s="39">
        <v>4878.2374537329097</v>
      </c>
      <c r="H85" s="35">
        <v>1191</v>
      </c>
      <c r="I85" s="57">
        <v>0.28989999999999999</v>
      </c>
      <c r="J85" s="57">
        <v>0.1663</v>
      </c>
      <c r="K85" s="39">
        <v>2081463248.7156899</v>
      </c>
      <c r="L85" s="34">
        <f t="shared" si="41"/>
        <v>8.5693727739064168E-3</v>
      </c>
      <c r="M85" s="39">
        <v>4881.8762631592599</v>
      </c>
      <c r="N85" s="39">
        <v>4881.8762631592599</v>
      </c>
      <c r="O85" s="35">
        <v>1201</v>
      </c>
      <c r="P85" s="57">
        <v>3.8899999999999997E-2</v>
      </c>
      <c r="Q85" s="57">
        <v>0.1527</v>
      </c>
      <c r="R85" s="62">
        <f t="shared" si="42"/>
        <v>6.3526575165107288E-5</v>
      </c>
      <c r="S85" s="62">
        <f t="shared" si="43"/>
        <v>7.4592708142277018E-4</v>
      </c>
      <c r="T85" s="62">
        <f t="shared" si="44"/>
        <v>8.3963056255247689E-3</v>
      </c>
      <c r="U85" s="63">
        <f t="shared" si="45"/>
        <v>-0.251</v>
      </c>
      <c r="V85" s="64">
        <f t="shared" si="46"/>
        <v>-1.3600000000000001E-2</v>
      </c>
    </row>
    <row r="86" spans="1:22">
      <c r="A86" s="182">
        <v>75</v>
      </c>
      <c r="B86" s="149" t="s">
        <v>140</v>
      </c>
      <c r="C86" s="148" t="s">
        <v>73</v>
      </c>
      <c r="D86" s="39">
        <v>380744977.74000001</v>
      </c>
      <c r="E86" s="34">
        <f t="shared" si="47"/>
        <v>1.5472891553721688E-3</v>
      </c>
      <c r="F86" s="67">
        <v>114.14</v>
      </c>
      <c r="G86" s="67">
        <v>114.14</v>
      </c>
      <c r="H86" s="35">
        <v>97</v>
      </c>
      <c r="I86" s="57">
        <v>2.3E-3</v>
      </c>
      <c r="J86" s="57">
        <v>0.1215</v>
      </c>
      <c r="K86" s="39">
        <v>380823811.35000002</v>
      </c>
      <c r="L86" s="34">
        <f t="shared" si="41"/>
        <v>1.5678495417353962E-3</v>
      </c>
      <c r="M86" s="67">
        <v>114.41</v>
      </c>
      <c r="N86" s="67">
        <v>114.41</v>
      </c>
      <c r="O86" s="35">
        <v>98</v>
      </c>
      <c r="P86" s="57">
        <v>2.3999999999999998E-3</v>
      </c>
      <c r="Q86" s="57">
        <v>0.1198</v>
      </c>
      <c r="R86" s="62">
        <f t="shared" si="42"/>
        <v>2.0705095171037963E-4</v>
      </c>
      <c r="S86" s="62">
        <f t="shared" si="43"/>
        <v>2.3655160329419662E-3</v>
      </c>
      <c r="T86" s="62">
        <f t="shared" si="44"/>
        <v>1.0309278350515464E-2</v>
      </c>
      <c r="U86" s="63">
        <f t="shared" si="45"/>
        <v>9.9999999999999829E-5</v>
      </c>
      <c r="V86" s="64">
        <f t="shared" si="46"/>
        <v>-1.6999999999999932E-3</v>
      </c>
    </row>
    <row r="87" spans="1:22" ht="13.5" customHeight="1">
      <c r="A87" s="182">
        <v>76</v>
      </c>
      <c r="B87" s="149" t="s">
        <v>141</v>
      </c>
      <c r="C87" s="148" t="s">
        <v>75</v>
      </c>
      <c r="D87" s="39">
        <v>1501258009.02</v>
      </c>
      <c r="E87" s="34">
        <f t="shared" si="47"/>
        <v>6.1008821457350614E-3</v>
      </c>
      <c r="F87" s="67">
        <v>1.5583</v>
      </c>
      <c r="G87" s="67">
        <v>1.5583</v>
      </c>
      <c r="H87" s="35">
        <v>2523</v>
      </c>
      <c r="I87" s="57">
        <v>9.2999999999999992E-3</v>
      </c>
      <c r="J87" s="57">
        <v>8.5199999999999998E-2</v>
      </c>
      <c r="K87" s="39">
        <v>1478467581.1600001</v>
      </c>
      <c r="L87" s="34">
        <f t="shared" si="41"/>
        <v>6.0868429192363462E-3</v>
      </c>
      <c r="M87" s="67">
        <v>1.5583</v>
      </c>
      <c r="N87" s="67">
        <v>1.5457000000000001</v>
      </c>
      <c r="O87" s="35">
        <v>2561</v>
      </c>
      <c r="P87" s="57">
        <v>-8.0999999999999996E-3</v>
      </c>
      <c r="Q87" s="57">
        <v>7.6799999999999993E-2</v>
      </c>
      <c r="R87" s="62">
        <f t="shared" si="42"/>
        <v>-1.5180886778334101E-2</v>
      </c>
      <c r="S87" s="62">
        <f t="shared" si="43"/>
        <v>-8.0857344542128885E-3</v>
      </c>
      <c r="T87" s="62">
        <f t="shared" si="44"/>
        <v>1.5061434799841459E-2</v>
      </c>
      <c r="U87" s="63">
        <f t="shared" si="45"/>
        <v>-1.7399999999999999E-2</v>
      </c>
      <c r="V87" s="64">
        <f t="shared" si="46"/>
        <v>-8.4000000000000047E-3</v>
      </c>
    </row>
    <row r="88" spans="1:22" ht="13.5" customHeight="1">
      <c r="A88" s="182">
        <v>77</v>
      </c>
      <c r="B88" s="149" t="s">
        <v>142</v>
      </c>
      <c r="C88" s="148" t="s">
        <v>75</v>
      </c>
      <c r="D88" s="39">
        <v>132775284.87</v>
      </c>
      <c r="E88" s="34">
        <f t="shared" si="47"/>
        <v>5.3957838025927099E-4</v>
      </c>
      <c r="F88" s="67">
        <v>1.0465</v>
      </c>
      <c r="G88" s="67">
        <v>1.0465</v>
      </c>
      <c r="H88" s="35">
        <v>96</v>
      </c>
      <c r="I88" s="57">
        <v>1.26E-2</v>
      </c>
      <c r="J88" s="57">
        <v>5.5800000000000002E-2</v>
      </c>
      <c r="K88" s="39">
        <v>132954365.29000001</v>
      </c>
      <c r="L88" s="34">
        <f t="shared" si="41"/>
        <v>5.4737239237403308E-4</v>
      </c>
      <c r="M88" s="67">
        <v>1.0383</v>
      </c>
      <c r="N88" s="67">
        <v>1.0383</v>
      </c>
      <c r="O88" s="35">
        <v>96</v>
      </c>
      <c r="P88" s="57">
        <v>-7.7999999999999996E-3</v>
      </c>
      <c r="Q88" s="57">
        <v>4.7500000000000001E-2</v>
      </c>
      <c r="R88" s="62">
        <f t="shared" ref="R88" si="50">((K88-D88)/D88)</f>
        <v>1.3487481512492257E-3</v>
      </c>
      <c r="S88" s="62">
        <f t="shared" ref="S88" si="51">((N88-G88)/G88)</f>
        <v>-7.8356426182512994E-3</v>
      </c>
      <c r="T88" s="62">
        <f t="shared" ref="T88" si="52">((O88-H88)/H88)</f>
        <v>0</v>
      </c>
      <c r="U88" s="63">
        <f t="shared" ref="U88" si="53">P88-I88</f>
        <v>-2.0400000000000001E-2</v>
      </c>
      <c r="V88" s="64">
        <f t="shared" ref="V88" si="54">Q88-J88</f>
        <v>-8.3000000000000018E-3</v>
      </c>
    </row>
    <row r="89" spans="1:22">
      <c r="A89" s="182">
        <v>78</v>
      </c>
      <c r="B89" s="149" t="s">
        <v>143</v>
      </c>
      <c r="C89" s="148" t="s">
        <v>30</v>
      </c>
      <c r="D89" s="39">
        <v>238356235.56999999</v>
      </c>
      <c r="E89" s="34">
        <f t="shared" si="47"/>
        <v>9.6864316005408266E-4</v>
      </c>
      <c r="F89" s="67">
        <v>143.68899999999999</v>
      </c>
      <c r="G89" s="67">
        <v>143.68899999999999</v>
      </c>
      <c r="H89" s="35">
        <v>425</v>
      </c>
      <c r="I89" s="57">
        <v>9.0499999999999999E-4</v>
      </c>
      <c r="J89" s="57">
        <v>4.1799999999999997E-2</v>
      </c>
      <c r="K89" s="39">
        <v>241629749.50999999</v>
      </c>
      <c r="L89" s="34">
        <f t="shared" si="41"/>
        <v>9.9478835290242942E-4</v>
      </c>
      <c r="M89" s="67">
        <v>144.06479999999999</v>
      </c>
      <c r="N89" s="67">
        <v>144.06479999999999</v>
      </c>
      <c r="O89" s="35">
        <v>428</v>
      </c>
      <c r="P89" s="57">
        <v>8.0999999999999996E-4</v>
      </c>
      <c r="Q89" s="57">
        <v>5.7599999999999998E-2</v>
      </c>
      <c r="R89" s="62">
        <f t="shared" si="42"/>
        <v>1.3733703807545822E-2</v>
      </c>
      <c r="S89" s="62">
        <f t="shared" si="43"/>
        <v>2.6153706964346479E-3</v>
      </c>
      <c r="T89" s="62">
        <f t="shared" si="44"/>
        <v>7.058823529411765E-3</v>
      </c>
      <c r="U89" s="63">
        <f t="shared" si="45"/>
        <v>-9.5000000000000032E-5</v>
      </c>
      <c r="V89" s="64">
        <f t="shared" si="46"/>
        <v>1.5800000000000002E-2</v>
      </c>
    </row>
    <row r="90" spans="1:22">
      <c r="A90" s="182">
        <v>79</v>
      </c>
      <c r="B90" s="149" t="s">
        <v>144</v>
      </c>
      <c r="C90" s="148" t="s">
        <v>77</v>
      </c>
      <c r="D90" s="39">
        <v>2687510144.0500002</v>
      </c>
      <c r="E90" s="34">
        <f t="shared" si="47"/>
        <v>1.0921628764545081E-2</v>
      </c>
      <c r="F90" s="38">
        <v>1324.5730249999999</v>
      </c>
      <c r="G90" s="38">
        <v>1324.5730249999999</v>
      </c>
      <c r="H90" s="35">
        <v>316</v>
      </c>
      <c r="I90" s="57">
        <v>1.9199999999999998E-2</v>
      </c>
      <c r="J90" s="57">
        <v>0.22020000000000001</v>
      </c>
      <c r="K90" s="39">
        <v>2695048188.5500002</v>
      </c>
      <c r="L90" s="34">
        <f t="shared" si="41"/>
        <v>1.1095498604443888E-2</v>
      </c>
      <c r="M90" s="38">
        <v>1327.6006190000001</v>
      </c>
      <c r="N90" s="38">
        <v>1327.6006190000001</v>
      </c>
      <c r="O90" s="35">
        <v>318</v>
      </c>
      <c r="P90" s="57">
        <v>1.7299999999999999E-2</v>
      </c>
      <c r="Q90" s="57">
        <v>0.2079</v>
      </c>
      <c r="R90" s="62">
        <f t="shared" si="42"/>
        <v>2.804843180476478E-3</v>
      </c>
      <c r="S90" s="62">
        <f t="shared" si="43"/>
        <v>2.2857131640591395E-3</v>
      </c>
      <c r="T90" s="62">
        <f t="shared" si="44"/>
        <v>6.3291139240506328E-3</v>
      </c>
      <c r="U90" s="63">
        <f t="shared" si="45"/>
        <v>-1.8999999999999989E-3</v>
      </c>
      <c r="V90" s="64">
        <f t="shared" si="46"/>
        <v>-1.2300000000000005E-2</v>
      </c>
    </row>
    <row r="91" spans="1:22">
      <c r="A91" s="182">
        <v>80</v>
      </c>
      <c r="B91" s="149" t="s">
        <v>145</v>
      </c>
      <c r="C91" s="148" t="s">
        <v>79</v>
      </c>
      <c r="D91" s="39">
        <v>147454903.16</v>
      </c>
      <c r="E91" s="34">
        <f t="shared" si="47"/>
        <v>5.9923409606133318E-4</v>
      </c>
      <c r="F91" s="38">
        <v>999.45</v>
      </c>
      <c r="G91" s="38">
        <v>1006.2</v>
      </c>
      <c r="H91" s="35">
        <v>70</v>
      </c>
      <c r="I91" s="57">
        <v>1.1299999999999999E-2</v>
      </c>
      <c r="J91" s="57">
        <v>2.3800000000000002E-2</v>
      </c>
      <c r="K91" s="39">
        <v>147375944.30000001</v>
      </c>
      <c r="L91" s="34">
        <f t="shared" si="41"/>
        <v>6.0674595402653323E-4</v>
      </c>
      <c r="M91" s="38">
        <v>995.83</v>
      </c>
      <c r="N91" s="38">
        <v>1003.39</v>
      </c>
      <c r="O91" s="35">
        <v>70</v>
      </c>
      <c r="P91" s="57">
        <v>-3.3E-3</v>
      </c>
      <c r="Q91" s="57">
        <v>2.0500000000000001E-2</v>
      </c>
      <c r="R91" s="62">
        <f t="shared" si="42"/>
        <v>-5.3547802282510751E-4</v>
      </c>
      <c r="S91" s="62">
        <f t="shared" si="43"/>
        <v>-2.7926853508249442E-3</v>
      </c>
      <c r="T91" s="62">
        <f t="shared" si="44"/>
        <v>0</v>
      </c>
      <c r="U91" s="63">
        <f t="shared" si="45"/>
        <v>-1.4599999999999998E-2</v>
      </c>
      <c r="V91" s="64">
        <f t="shared" si="46"/>
        <v>-3.3000000000000008E-3</v>
      </c>
    </row>
    <row r="92" spans="1:22">
      <c r="A92" s="182">
        <v>81</v>
      </c>
      <c r="B92" s="149" t="s">
        <v>146</v>
      </c>
      <c r="C92" s="148" t="s">
        <v>82</v>
      </c>
      <c r="D92" s="39">
        <v>735013558.94000006</v>
      </c>
      <c r="E92" s="34">
        <f t="shared" si="47"/>
        <v>2.9869822986239884E-3</v>
      </c>
      <c r="F92" s="68">
        <v>1.2181</v>
      </c>
      <c r="G92" s="68">
        <v>1.2181</v>
      </c>
      <c r="H92" s="35">
        <v>59</v>
      </c>
      <c r="I92" s="57">
        <v>0.13557</v>
      </c>
      <c r="J92" s="57">
        <v>0.1356</v>
      </c>
      <c r="K92" s="39">
        <v>735876635.78999996</v>
      </c>
      <c r="L92" s="34">
        <f t="shared" si="41"/>
        <v>3.0296000717685598E-3</v>
      </c>
      <c r="M92" s="68">
        <v>1.2210300000000001</v>
      </c>
      <c r="N92" s="68">
        <v>1.2210300000000001</v>
      </c>
      <c r="O92" s="35">
        <v>61</v>
      </c>
      <c r="P92" s="57">
        <v>0.13557</v>
      </c>
      <c r="Q92" s="57">
        <v>0.1356</v>
      </c>
      <c r="R92" s="62">
        <f t="shared" si="42"/>
        <v>1.1742325559879346E-3</v>
      </c>
      <c r="S92" s="62">
        <f t="shared" si="43"/>
        <v>2.4053854363353579E-3</v>
      </c>
      <c r="T92" s="62">
        <f t="shared" si="44"/>
        <v>3.3898305084745763E-2</v>
      </c>
      <c r="U92" s="63">
        <f t="shared" si="45"/>
        <v>0</v>
      </c>
      <c r="V92" s="64">
        <f t="shared" si="46"/>
        <v>0</v>
      </c>
    </row>
    <row r="93" spans="1:22">
      <c r="A93" s="182">
        <v>82</v>
      </c>
      <c r="B93" s="149" t="s">
        <v>147</v>
      </c>
      <c r="C93" s="148" t="s">
        <v>32</v>
      </c>
      <c r="D93" s="68">
        <v>11540921828.34</v>
      </c>
      <c r="E93" s="34">
        <f t="shared" si="47"/>
        <v>4.6900535087773539E-2</v>
      </c>
      <c r="F93" s="68">
        <v>1685.54</v>
      </c>
      <c r="G93" s="68">
        <v>1685.54</v>
      </c>
      <c r="H93" s="35">
        <v>2029</v>
      </c>
      <c r="I93" s="57">
        <v>1.1000000000000001E-3</v>
      </c>
      <c r="J93" s="57">
        <v>1.1599999999999999E-2</v>
      </c>
      <c r="K93" s="68">
        <v>11554364644.370001</v>
      </c>
      <c r="L93" s="34">
        <f t="shared" si="41"/>
        <v>4.7569255841699271E-2</v>
      </c>
      <c r="M93" s="68">
        <v>1687.63</v>
      </c>
      <c r="N93" s="68">
        <v>1687.63</v>
      </c>
      <c r="O93" s="35">
        <v>2031</v>
      </c>
      <c r="P93" s="57">
        <v>1.1999999999999999E-3</v>
      </c>
      <c r="Q93" s="57">
        <v>1.2800000000000001E-2</v>
      </c>
      <c r="R93" s="62">
        <f t="shared" si="42"/>
        <v>1.1647956922288805E-3</v>
      </c>
      <c r="S93" s="62">
        <f t="shared" si="43"/>
        <v>1.2399587075952784E-3</v>
      </c>
      <c r="T93" s="62">
        <f t="shared" si="44"/>
        <v>9.8570724494825043E-4</v>
      </c>
      <c r="U93" s="63">
        <f t="shared" si="45"/>
        <v>9.9999999999999829E-5</v>
      </c>
      <c r="V93" s="64">
        <f t="shared" si="46"/>
        <v>1.2000000000000014E-3</v>
      </c>
    </row>
    <row r="94" spans="1:22">
      <c r="A94" s="182">
        <v>83</v>
      </c>
      <c r="B94" s="149" t="s">
        <v>148</v>
      </c>
      <c r="C94" s="148" t="s">
        <v>92</v>
      </c>
      <c r="D94" s="39">
        <v>24298085.859999999</v>
      </c>
      <c r="E94" s="34">
        <f t="shared" si="47"/>
        <v>9.8743691829214874E-5</v>
      </c>
      <c r="F94" s="67">
        <v>0.74229999999999996</v>
      </c>
      <c r="G94" s="67">
        <v>0.74229999999999996</v>
      </c>
      <c r="H94" s="35">
        <v>744</v>
      </c>
      <c r="I94" s="57">
        <v>2.3E-3</v>
      </c>
      <c r="J94" s="57">
        <v>1.77E-2</v>
      </c>
      <c r="K94" s="39">
        <v>24353780.84</v>
      </c>
      <c r="L94" s="34">
        <f t="shared" si="41"/>
        <v>1.0026438208829788E-4</v>
      </c>
      <c r="M94" s="67">
        <v>0.74399999999999999</v>
      </c>
      <c r="N94" s="67">
        <v>0.74399999999999999</v>
      </c>
      <c r="O94" s="35">
        <v>744</v>
      </c>
      <c r="P94" s="57">
        <v>2.3E-3</v>
      </c>
      <c r="Q94" s="57">
        <v>0.02</v>
      </c>
      <c r="R94" s="62">
        <f t="shared" si="42"/>
        <v>2.2921550413848297E-3</v>
      </c>
      <c r="S94" s="62">
        <f t="shared" si="43"/>
        <v>2.2901791728412164E-3</v>
      </c>
      <c r="T94" s="62">
        <f t="shared" si="44"/>
        <v>0</v>
      </c>
      <c r="U94" s="63">
        <f t="shared" si="45"/>
        <v>0</v>
      </c>
      <c r="V94" s="64">
        <f t="shared" si="46"/>
        <v>2.3E-3</v>
      </c>
    </row>
    <row r="95" spans="1:22">
      <c r="A95" s="182">
        <v>84</v>
      </c>
      <c r="B95" s="149" t="s">
        <v>149</v>
      </c>
      <c r="C95" s="148" t="s">
        <v>38</v>
      </c>
      <c r="D95" s="39">
        <v>11901946396.01</v>
      </c>
      <c r="E95" s="34">
        <f t="shared" si="47"/>
        <v>4.8367683523176344E-2</v>
      </c>
      <c r="F95" s="67">
        <v>1</v>
      </c>
      <c r="G95" s="67">
        <v>1</v>
      </c>
      <c r="H95" s="35">
        <v>5639</v>
      </c>
      <c r="I95" s="57">
        <v>0.06</v>
      </c>
      <c r="J95" s="57">
        <v>0.06</v>
      </c>
      <c r="K95" s="39">
        <v>11928106999.65</v>
      </c>
      <c r="L95" s="34">
        <f t="shared" si="41"/>
        <v>4.9107951067650653E-2</v>
      </c>
      <c r="M95" s="67">
        <v>1</v>
      </c>
      <c r="N95" s="67">
        <v>1</v>
      </c>
      <c r="O95" s="35">
        <v>5661</v>
      </c>
      <c r="P95" s="57">
        <v>0.06</v>
      </c>
      <c r="Q95" s="57">
        <v>0.06</v>
      </c>
      <c r="R95" s="62">
        <f t="shared" si="42"/>
        <v>2.1980105412648682E-3</v>
      </c>
      <c r="S95" s="62">
        <f t="shared" si="43"/>
        <v>0</v>
      </c>
      <c r="T95" s="62">
        <f t="shared" si="44"/>
        <v>3.9014009576165986E-3</v>
      </c>
      <c r="U95" s="63">
        <f t="shared" si="45"/>
        <v>0</v>
      </c>
      <c r="V95" s="64">
        <f t="shared" si="46"/>
        <v>0</v>
      </c>
    </row>
    <row r="96" spans="1:22">
      <c r="A96" s="182">
        <v>85</v>
      </c>
      <c r="B96" s="149" t="s">
        <v>150</v>
      </c>
      <c r="C96" s="148" t="s">
        <v>151</v>
      </c>
      <c r="D96" s="39">
        <v>1562944031.02</v>
      </c>
      <c r="E96" s="34">
        <f t="shared" si="47"/>
        <v>6.3515646719897517E-3</v>
      </c>
      <c r="F96" s="39">
        <v>275.47000000000003</v>
      </c>
      <c r="G96" s="39">
        <v>275.47000000000003</v>
      </c>
      <c r="H96" s="35">
        <v>562</v>
      </c>
      <c r="I96" s="57">
        <v>3.0000000000000001E-3</v>
      </c>
      <c r="J96" s="57">
        <v>0.16789999999999999</v>
      </c>
      <c r="K96" s="39">
        <v>1609059813.47</v>
      </c>
      <c r="L96" s="34">
        <f t="shared" si="41"/>
        <v>6.6244904230928197E-3</v>
      </c>
      <c r="M96" s="39">
        <v>276.26</v>
      </c>
      <c r="N96" s="39">
        <v>276.26</v>
      </c>
      <c r="O96" s="35">
        <v>562</v>
      </c>
      <c r="P96" s="57">
        <v>3.0000000000000001E-3</v>
      </c>
      <c r="Q96" s="57">
        <v>0.1656</v>
      </c>
      <c r="R96" s="62">
        <f t="shared" si="42"/>
        <v>2.9505715838016425E-2</v>
      </c>
      <c r="S96" s="62">
        <f t="shared" si="43"/>
        <v>2.8678258975567703E-3</v>
      </c>
      <c r="T96" s="62">
        <f t="shared" si="44"/>
        <v>0</v>
      </c>
      <c r="U96" s="63">
        <f t="shared" si="45"/>
        <v>0</v>
      </c>
      <c r="V96" s="64">
        <f t="shared" si="46"/>
        <v>-2.2999999999999965E-3</v>
      </c>
    </row>
    <row r="97" spans="1:22">
      <c r="A97" s="182">
        <v>86</v>
      </c>
      <c r="B97" s="149" t="s">
        <v>152</v>
      </c>
      <c r="C97" s="148" t="s">
        <v>42</v>
      </c>
      <c r="D97" s="39">
        <v>1115713876.52</v>
      </c>
      <c r="E97" s="34">
        <f t="shared" si="47"/>
        <v>4.5340899619600557E-3</v>
      </c>
      <c r="F97" s="67">
        <v>3.76</v>
      </c>
      <c r="G97" s="67">
        <v>3.78</v>
      </c>
      <c r="H97" s="53">
        <v>802</v>
      </c>
      <c r="I97" s="60">
        <v>3.6600000000000001E-2</v>
      </c>
      <c r="J97" s="60">
        <v>0.24990000000000001</v>
      </c>
      <c r="K97" s="39">
        <v>1117336118.6400001</v>
      </c>
      <c r="L97" s="34">
        <f t="shared" si="41"/>
        <v>4.6000666695815064E-3</v>
      </c>
      <c r="M97" s="67">
        <v>3.77</v>
      </c>
      <c r="N97" s="67">
        <v>3.79</v>
      </c>
      <c r="O97" s="53">
        <v>804</v>
      </c>
      <c r="P97" s="60">
        <v>3.85E-2</v>
      </c>
      <c r="Q97" s="60">
        <v>0.2339</v>
      </c>
      <c r="R97" s="62">
        <f t="shared" si="42"/>
        <v>1.4539947509302526E-3</v>
      </c>
      <c r="S97" s="62">
        <f t="shared" si="43"/>
        <v>2.6455026455027069E-3</v>
      </c>
      <c r="T97" s="62">
        <f t="shared" si="44"/>
        <v>2.4937655860349127E-3</v>
      </c>
      <c r="U97" s="63">
        <f t="shared" si="45"/>
        <v>1.8999999999999989E-3</v>
      </c>
      <c r="V97" s="64">
        <f t="shared" si="46"/>
        <v>-1.6000000000000014E-2</v>
      </c>
    </row>
    <row r="98" spans="1:22">
      <c r="A98" s="182">
        <v>87</v>
      </c>
      <c r="B98" s="149" t="s">
        <v>153</v>
      </c>
      <c r="C98" s="148" t="s">
        <v>44</v>
      </c>
      <c r="D98" s="39">
        <v>745316512.00999999</v>
      </c>
      <c r="E98" s="34">
        <f t="shared" si="47"/>
        <v>3.0288519186729371E-3</v>
      </c>
      <c r="F98" s="67">
        <v>111.08928</v>
      </c>
      <c r="G98" s="67">
        <v>111.08928</v>
      </c>
      <c r="H98" s="53">
        <v>253</v>
      </c>
      <c r="I98" s="60">
        <v>0.1384</v>
      </c>
      <c r="J98" s="60">
        <v>0.16020000000000001</v>
      </c>
      <c r="K98" s="39">
        <v>746658675.53999996</v>
      </c>
      <c r="L98" s="34">
        <f t="shared" si="41"/>
        <v>3.0739896702579091E-3</v>
      </c>
      <c r="M98" s="67">
        <v>111.92219</v>
      </c>
      <c r="N98" s="67">
        <v>111.92219</v>
      </c>
      <c r="O98" s="53">
        <v>246</v>
      </c>
      <c r="P98" s="60">
        <v>0.1487</v>
      </c>
      <c r="Q98" s="60">
        <v>0.1711</v>
      </c>
      <c r="R98" s="62">
        <f t="shared" si="42"/>
        <v>1.8007967197457761E-3</v>
      </c>
      <c r="S98" s="62">
        <f t="shared" si="43"/>
        <v>7.4976631408538996E-3</v>
      </c>
      <c r="T98" s="62">
        <f t="shared" si="44"/>
        <v>-2.766798418972332E-2</v>
      </c>
      <c r="U98" s="63">
        <f t="shared" si="45"/>
        <v>1.0300000000000004E-2</v>
      </c>
      <c r="V98" s="64">
        <f t="shared" si="46"/>
        <v>1.0899999999999993E-2</v>
      </c>
    </row>
    <row r="99" spans="1:22">
      <c r="A99" s="182">
        <v>88</v>
      </c>
      <c r="B99" s="148" t="s">
        <v>154</v>
      </c>
      <c r="C99" s="151" t="s">
        <v>48</v>
      </c>
      <c r="D99" s="39">
        <v>1149236803.9000001</v>
      </c>
      <c r="E99" s="34">
        <f t="shared" si="47"/>
        <v>4.6703219939602872E-3</v>
      </c>
      <c r="F99" s="67">
        <v>115.91</v>
      </c>
      <c r="G99" s="67">
        <v>116.57</v>
      </c>
      <c r="H99" s="35">
        <v>2735</v>
      </c>
      <c r="I99" s="57">
        <v>1.7500000000000002E-2</v>
      </c>
      <c r="J99" s="57">
        <v>5.0799999999999998E-2</v>
      </c>
      <c r="K99" s="39">
        <v>1155418233</v>
      </c>
      <c r="L99" s="34">
        <f t="shared" si="41"/>
        <v>4.7568505254438342E-3</v>
      </c>
      <c r="M99" s="67">
        <v>112.1</v>
      </c>
      <c r="N99" s="67">
        <v>112.58</v>
      </c>
      <c r="O99" s="35">
        <v>2933</v>
      </c>
      <c r="P99" s="57">
        <v>-4.7000000000000002E-3</v>
      </c>
      <c r="Q99" s="57">
        <v>4.58E-2</v>
      </c>
      <c r="R99" s="62">
        <f t="shared" si="42"/>
        <v>5.3787253236433743E-3</v>
      </c>
      <c r="S99" s="62">
        <f t="shared" si="43"/>
        <v>-3.4228360641674491E-2</v>
      </c>
      <c r="T99" s="62">
        <f t="shared" si="44"/>
        <v>7.2394881170018285E-2</v>
      </c>
      <c r="U99" s="63">
        <f t="shared" si="45"/>
        <v>-2.2200000000000001E-2</v>
      </c>
      <c r="V99" s="64">
        <f t="shared" si="46"/>
        <v>-4.9999999999999975E-3</v>
      </c>
    </row>
    <row r="100" spans="1:22">
      <c r="A100" s="182">
        <v>89</v>
      </c>
      <c r="B100" s="149" t="s">
        <v>155</v>
      </c>
      <c r="C100" s="148" t="s">
        <v>20</v>
      </c>
      <c r="D100" s="141">
        <v>1668667905.2</v>
      </c>
      <c r="E100" s="143">
        <f t="shared" si="47"/>
        <v>6.7812102708723551E-3</v>
      </c>
      <c r="F100" s="144">
        <v>397.09730000000002</v>
      </c>
      <c r="G100" s="144">
        <v>397.09730000000002</v>
      </c>
      <c r="H100" s="37">
        <v>89</v>
      </c>
      <c r="I100" s="58">
        <v>3.5999999999999999E-3</v>
      </c>
      <c r="J100" s="58">
        <v>3.3099999999999997E-2</v>
      </c>
      <c r="K100" s="141">
        <v>1672342735.6600001</v>
      </c>
      <c r="L100" s="143">
        <f t="shared" si="41"/>
        <v>6.8850258665136112E-3</v>
      </c>
      <c r="M100" s="144">
        <v>397.62560000000002</v>
      </c>
      <c r="N100" s="144">
        <v>397.62560000000002</v>
      </c>
      <c r="O100" s="37">
        <v>89</v>
      </c>
      <c r="P100" s="58">
        <v>1.2999999999999999E-3</v>
      </c>
      <c r="Q100" s="58">
        <v>3.4500000000000003E-2</v>
      </c>
      <c r="R100" s="63">
        <f t="shared" si="42"/>
        <v>2.2022539347393917E-3</v>
      </c>
      <c r="S100" s="63">
        <f t="shared" si="43"/>
        <v>1.3304044122183696E-3</v>
      </c>
      <c r="T100" s="63">
        <f t="shared" si="44"/>
        <v>0</v>
      </c>
      <c r="U100" s="63">
        <f t="shared" si="45"/>
        <v>-2.3E-3</v>
      </c>
      <c r="V100" s="64">
        <f t="shared" si="46"/>
        <v>1.4000000000000054E-3</v>
      </c>
    </row>
    <row r="101" spans="1:22">
      <c r="A101" s="182">
        <v>90</v>
      </c>
      <c r="B101" s="149" t="s">
        <v>156</v>
      </c>
      <c r="C101" s="148" t="s">
        <v>104</v>
      </c>
      <c r="D101" s="51">
        <v>5037264687</v>
      </c>
      <c r="E101" s="34">
        <f>(D101/$K$74)</f>
        <v>9.4396378674132554E-4</v>
      </c>
      <c r="F101" s="67">
        <v>104.92</v>
      </c>
      <c r="G101" s="67">
        <v>104.92</v>
      </c>
      <c r="H101" s="35">
        <v>465</v>
      </c>
      <c r="I101" s="57">
        <v>7.1999999999999998E-3</v>
      </c>
      <c r="J101" s="57">
        <v>0.2429</v>
      </c>
      <c r="K101" s="51">
        <v>5662380203</v>
      </c>
      <c r="L101" s="34">
        <f t="shared" ref="L101:L115" si="55">(K101/$K$116)</f>
        <v>2.3311988226087925E-2</v>
      </c>
      <c r="M101" s="67">
        <v>104.36</v>
      </c>
      <c r="N101" s="67">
        <v>104.36</v>
      </c>
      <c r="O101" s="35">
        <v>480</v>
      </c>
      <c r="P101" s="57">
        <v>-5.3E-3</v>
      </c>
      <c r="Q101" s="57">
        <v>0.18479999999999999</v>
      </c>
      <c r="R101" s="62">
        <f t="shared" si="42"/>
        <v>0.12409820703154167</v>
      </c>
      <c r="S101" s="62">
        <f t="shared" si="43"/>
        <v>-5.3373999237514508E-3</v>
      </c>
      <c r="T101" s="62">
        <f t="shared" si="44"/>
        <v>3.2258064516129031E-2</v>
      </c>
      <c r="U101" s="63">
        <f t="shared" si="45"/>
        <v>-1.2500000000000001E-2</v>
      </c>
      <c r="V101" s="64">
        <f t="shared" si="46"/>
        <v>-5.8100000000000013E-2</v>
      </c>
    </row>
    <row r="102" spans="1:22">
      <c r="A102" s="182">
        <v>91</v>
      </c>
      <c r="B102" s="149" t="s">
        <v>157</v>
      </c>
      <c r="C102" s="148" t="s">
        <v>46</v>
      </c>
      <c r="D102" s="39">
        <v>61199216.640000001</v>
      </c>
      <c r="E102" s="34">
        <f t="shared" ref="E102:E115" si="56">(D102/$D$116)</f>
        <v>2.4870422398324339E-4</v>
      </c>
      <c r="F102" s="39">
        <v>12.495032999999999</v>
      </c>
      <c r="G102" s="39">
        <v>13.12</v>
      </c>
      <c r="H102" s="35">
        <v>55</v>
      </c>
      <c r="I102" s="57">
        <v>-8.5000000000000006E-3</v>
      </c>
      <c r="J102" s="57">
        <v>-5.1999999999999998E-2</v>
      </c>
      <c r="K102" s="39">
        <v>61094313.990000002</v>
      </c>
      <c r="L102" s="34">
        <f t="shared" si="55"/>
        <v>2.5152495547035576E-4</v>
      </c>
      <c r="M102" s="39">
        <v>12.68</v>
      </c>
      <c r="N102" s="39">
        <v>13.32</v>
      </c>
      <c r="O102" s="35">
        <v>55</v>
      </c>
      <c r="P102" s="57">
        <v>4.0000000000000001E-3</v>
      </c>
      <c r="Q102" s="57">
        <v>-7.0400000000000004E-2</v>
      </c>
      <c r="R102" s="62">
        <f t="shared" si="42"/>
        <v>-1.7141175289396402E-3</v>
      </c>
      <c r="S102" s="62">
        <f t="shared" si="43"/>
        <v>1.5243902439024473E-2</v>
      </c>
      <c r="T102" s="62">
        <f t="shared" si="44"/>
        <v>0</v>
      </c>
      <c r="U102" s="63">
        <f t="shared" si="45"/>
        <v>1.2500000000000001E-2</v>
      </c>
      <c r="V102" s="64">
        <f t="shared" si="46"/>
        <v>-1.8400000000000007E-2</v>
      </c>
    </row>
    <row r="103" spans="1:22">
      <c r="A103" s="182">
        <v>92</v>
      </c>
      <c r="B103" s="149" t="s">
        <v>158</v>
      </c>
      <c r="C103" s="148" t="s">
        <v>159</v>
      </c>
      <c r="D103" s="39">
        <v>944830512.69000006</v>
      </c>
      <c r="E103" s="34">
        <f t="shared" si="56"/>
        <v>3.8396461973774776E-3</v>
      </c>
      <c r="F103" s="39">
        <v>160.56</v>
      </c>
      <c r="G103" s="39">
        <v>160.56</v>
      </c>
      <c r="H103" s="35">
        <v>184</v>
      </c>
      <c r="I103" s="57">
        <v>0.33460000000000001</v>
      </c>
      <c r="J103" s="57">
        <v>0.20710000000000001</v>
      </c>
      <c r="K103" s="39">
        <v>944638597.82000005</v>
      </c>
      <c r="L103" s="34">
        <f t="shared" si="55"/>
        <v>3.8890719239624413E-3</v>
      </c>
      <c r="M103" s="39">
        <v>160.88999999999999</v>
      </c>
      <c r="N103" s="39">
        <v>160.88999999999999</v>
      </c>
      <c r="O103" s="35">
        <v>184</v>
      </c>
      <c r="P103" s="57">
        <v>8.1000000000000003E-2</v>
      </c>
      <c r="Q103" s="57">
        <v>0.19650000000000001</v>
      </c>
      <c r="R103" s="62">
        <f t="shared" si="42"/>
        <v>-2.0312094859596501E-4</v>
      </c>
      <c r="S103" s="62">
        <f t="shared" si="43"/>
        <v>2.0553064275036378E-3</v>
      </c>
      <c r="T103" s="62">
        <f t="shared" si="44"/>
        <v>0</v>
      </c>
      <c r="U103" s="63">
        <f t="shared" si="45"/>
        <v>-0.25359999999999999</v>
      </c>
      <c r="V103" s="64">
        <f t="shared" si="46"/>
        <v>-1.0599999999999998E-2</v>
      </c>
    </row>
    <row r="104" spans="1:22">
      <c r="A104" s="182">
        <v>93</v>
      </c>
      <c r="B104" s="149" t="s">
        <v>160</v>
      </c>
      <c r="C104" s="148" t="s">
        <v>161</v>
      </c>
      <c r="D104" s="39">
        <v>10913717839.6684</v>
      </c>
      <c r="E104" s="34">
        <f t="shared" si="56"/>
        <v>4.4351674336836885E-2</v>
      </c>
      <c r="F104" s="39">
        <v>1.02202469549506</v>
      </c>
      <c r="G104" s="39">
        <v>1.02202469549506</v>
      </c>
      <c r="H104" s="35">
        <v>5280</v>
      </c>
      <c r="I104" s="57">
        <v>0.16109999999999999</v>
      </c>
      <c r="J104" s="57">
        <v>0.16109999999999999</v>
      </c>
      <c r="K104" s="39">
        <v>11084250537.221399</v>
      </c>
      <c r="L104" s="34">
        <f t="shared" si="55"/>
        <v>4.5633798642099772E-2</v>
      </c>
      <c r="M104" s="39">
        <v>1.03</v>
      </c>
      <c r="N104" s="39">
        <v>1.03</v>
      </c>
      <c r="O104" s="35">
        <v>5291</v>
      </c>
      <c r="P104" s="57">
        <v>0.16109999999999999</v>
      </c>
      <c r="Q104" s="57">
        <v>0.16109999999999999</v>
      </c>
      <c r="R104" s="62">
        <f t="shared" si="42"/>
        <v>1.5625536600658619E-2</v>
      </c>
      <c r="S104" s="62">
        <f t="shared" si="43"/>
        <v>7.8034361988452983E-3</v>
      </c>
      <c r="T104" s="62">
        <f t="shared" si="44"/>
        <v>2.0833333333333333E-3</v>
      </c>
      <c r="U104" s="63">
        <f t="shared" si="45"/>
        <v>0</v>
      </c>
      <c r="V104" s="64">
        <f t="shared" si="46"/>
        <v>0</v>
      </c>
    </row>
    <row r="105" spans="1:22" ht="14.25" customHeight="1">
      <c r="A105" s="182">
        <v>94</v>
      </c>
      <c r="B105" s="149" t="s">
        <v>162</v>
      </c>
      <c r="C105" s="148" t="s">
        <v>50</v>
      </c>
      <c r="D105" s="39">
        <v>4842872357.1300001</v>
      </c>
      <c r="E105" s="34">
        <f t="shared" si="56"/>
        <v>1.9680690008092191E-2</v>
      </c>
      <c r="F105" s="39">
        <v>5178.87</v>
      </c>
      <c r="G105" s="39">
        <v>5178.87</v>
      </c>
      <c r="H105" s="35">
        <v>10</v>
      </c>
      <c r="I105" s="57">
        <v>5.0000000000000001E-4</v>
      </c>
      <c r="J105" s="57">
        <v>5.0000000000000001E-4</v>
      </c>
      <c r="K105" s="39">
        <v>213650806.40000001</v>
      </c>
      <c r="L105" s="34">
        <f t="shared" si="55"/>
        <v>8.7959919763992418E-4</v>
      </c>
      <c r="M105" s="39">
        <v>0</v>
      </c>
      <c r="N105" s="39">
        <v>0</v>
      </c>
      <c r="O105" s="35">
        <v>7</v>
      </c>
      <c r="P105" s="57">
        <v>0</v>
      </c>
      <c r="Q105" s="57">
        <v>0</v>
      </c>
      <c r="R105" s="62">
        <f t="shared" si="42"/>
        <v>-0.95588345290879928</v>
      </c>
      <c r="S105" s="62">
        <f t="shared" si="43"/>
        <v>-1</v>
      </c>
      <c r="T105" s="62">
        <f t="shared" si="44"/>
        <v>-0.3</v>
      </c>
      <c r="U105" s="63">
        <f t="shared" si="45"/>
        <v>-5.0000000000000001E-4</v>
      </c>
      <c r="V105" s="64">
        <f t="shared" si="46"/>
        <v>-5.0000000000000001E-4</v>
      </c>
    </row>
    <row r="106" spans="1:22" ht="13.5" customHeight="1">
      <c r="A106" s="182">
        <v>95</v>
      </c>
      <c r="B106" s="149" t="s">
        <v>163</v>
      </c>
      <c r="C106" s="148" t="s">
        <v>50</v>
      </c>
      <c r="D106" s="39">
        <v>15465111130.34</v>
      </c>
      <c r="E106" s="34">
        <f t="shared" si="56"/>
        <v>6.2847838153077207E-2</v>
      </c>
      <c r="F106" s="67">
        <v>259.24</v>
      </c>
      <c r="G106" s="67">
        <v>259.24</v>
      </c>
      <c r="H106" s="35">
        <v>5969</v>
      </c>
      <c r="I106" s="57">
        <v>0</v>
      </c>
      <c r="J106" s="57">
        <v>0</v>
      </c>
      <c r="K106" s="39">
        <v>15459590268.129999</v>
      </c>
      <c r="L106" s="34">
        <f t="shared" si="55"/>
        <v>6.3647048306620047E-2</v>
      </c>
      <c r="M106" s="67">
        <v>259.24</v>
      </c>
      <c r="N106" s="67">
        <v>259.24</v>
      </c>
      <c r="O106" s="35">
        <v>5961</v>
      </c>
      <c r="P106" s="57">
        <v>0</v>
      </c>
      <c r="Q106" s="57">
        <v>0</v>
      </c>
      <c r="R106" s="62">
        <f t="shared" si="42"/>
        <v>-3.5698820160237773E-4</v>
      </c>
      <c r="S106" s="62">
        <f t="shared" si="43"/>
        <v>0</v>
      </c>
      <c r="T106" s="62">
        <f t="shared" si="44"/>
        <v>-1.3402579996649355E-3</v>
      </c>
      <c r="U106" s="63">
        <f t="shared" si="45"/>
        <v>0</v>
      </c>
      <c r="V106" s="64">
        <f t="shared" si="46"/>
        <v>0</v>
      </c>
    </row>
    <row r="107" spans="1:22" ht="13.5" customHeight="1">
      <c r="A107" s="182">
        <v>96</v>
      </c>
      <c r="B107" s="149" t="s">
        <v>164</v>
      </c>
      <c r="C107" s="148" t="s">
        <v>50</v>
      </c>
      <c r="D107" s="39">
        <v>961672588.16999996</v>
      </c>
      <c r="E107" s="34">
        <f t="shared" si="56"/>
        <v>3.9080898073204006E-3</v>
      </c>
      <c r="F107" s="38">
        <v>10310.719999999999</v>
      </c>
      <c r="G107" s="38">
        <v>10350.98</v>
      </c>
      <c r="H107" s="35">
        <v>27</v>
      </c>
      <c r="I107" s="57">
        <v>8.3999999999999995E-3</v>
      </c>
      <c r="J107" s="57">
        <v>9.8400000000000001E-2</v>
      </c>
      <c r="K107" s="39">
        <v>977040571.88999999</v>
      </c>
      <c r="L107" s="34">
        <f t="shared" si="55"/>
        <v>4.0224706734179527E-3</v>
      </c>
      <c r="M107" s="38">
        <v>10377.33</v>
      </c>
      <c r="N107" s="38">
        <v>10418.31</v>
      </c>
      <c r="O107" s="35">
        <v>28</v>
      </c>
      <c r="P107" s="57">
        <v>6.4999999999999997E-3</v>
      </c>
      <c r="Q107" s="57">
        <v>0.1055</v>
      </c>
      <c r="R107" s="62">
        <f t="shared" si="42"/>
        <v>1.598047392537651E-2</v>
      </c>
      <c r="S107" s="62">
        <f t="shared" si="43"/>
        <v>6.5046981058798229E-3</v>
      </c>
      <c r="T107" s="62">
        <f t="shared" si="44"/>
        <v>3.7037037037037035E-2</v>
      </c>
      <c r="U107" s="63">
        <f t="shared" si="45"/>
        <v>-1.8999999999999998E-3</v>
      </c>
      <c r="V107" s="64">
        <f t="shared" si="46"/>
        <v>7.0999999999999952E-3</v>
      </c>
    </row>
    <row r="108" spans="1:22" ht="15" customHeight="1">
      <c r="A108" s="182">
        <v>97</v>
      </c>
      <c r="B108" s="149" t="s">
        <v>165</v>
      </c>
      <c r="C108" s="148" t="s">
        <v>50</v>
      </c>
      <c r="D108" s="39">
        <v>6859326169.2600002</v>
      </c>
      <c r="E108" s="34">
        <f t="shared" si="56"/>
        <v>2.7875248828900075E-2</v>
      </c>
      <c r="F108" s="67">
        <v>165.35</v>
      </c>
      <c r="G108" s="67">
        <v>165.35</v>
      </c>
      <c r="H108" s="35">
        <v>5791</v>
      </c>
      <c r="I108" s="57">
        <v>3.0000000000000001E-3</v>
      </c>
      <c r="J108" s="57">
        <v>2.4299999999999999E-2</v>
      </c>
      <c r="K108" s="39">
        <v>6817744276.3900003</v>
      </c>
      <c r="L108" s="34">
        <f t="shared" si="55"/>
        <v>2.8068615776714566E-2</v>
      </c>
      <c r="M108" s="67">
        <v>165.86</v>
      </c>
      <c r="N108" s="67">
        <v>165.86</v>
      </c>
      <c r="O108" s="35">
        <v>5894</v>
      </c>
      <c r="P108" s="57">
        <v>3.0999999999999999E-3</v>
      </c>
      <c r="Q108" s="57">
        <v>2.7400000000000001E-2</v>
      </c>
      <c r="R108" s="62">
        <f t="shared" si="42"/>
        <v>-6.0620958741324634E-3</v>
      </c>
      <c r="S108" s="62">
        <f t="shared" si="43"/>
        <v>3.0843664953130894E-3</v>
      </c>
      <c r="T108" s="62">
        <f t="shared" si="44"/>
        <v>1.7786219996546365E-2</v>
      </c>
      <c r="U108" s="63">
        <f t="shared" si="45"/>
        <v>9.9999999999999829E-5</v>
      </c>
      <c r="V108" s="64">
        <f t="shared" si="46"/>
        <v>3.1000000000000021E-3</v>
      </c>
    </row>
    <row r="109" spans="1:22" ht="15" customHeight="1">
      <c r="A109" s="182">
        <v>98</v>
      </c>
      <c r="B109" s="149" t="s">
        <v>166</v>
      </c>
      <c r="C109" s="148" t="s">
        <v>50</v>
      </c>
      <c r="D109" s="39">
        <v>5648698742.9899998</v>
      </c>
      <c r="E109" s="34">
        <f t="shared" si="56"/>
        <v>2.2955444767445477E-2</v>
      </c>
      <c r="F109" s="67">
        <v>388.08</v>
      </c>
      <c r="G109" s="67">
        <v>388.08</v>
      </c>
      <c r="H109" s="35">
        <v>11484</v>
      </c>
      <c r="I109" s="57">
        <v>0</v>
      </c>
      <c r="J109" s="57">
        <v>7.4000000000000003E-3</v>
      </c>
      <c r="K109" s="39">
        <v>5704070436.9200001</v>
      </c>
      <c r="L109" s="34">
        <f t="shared" si="55"/>
        <v>2.3483626690380906E-2</v>
      </c>
      <c r="M109" s="67">
        <v>388.08</v>
      </c>
      <c r="N109" s="67">
        <v>388.08</v>
      </c>
      <c r="O109" s="35">
        <v>11621</v>
      </c>
      <c r="P109" s="57">
        <v>0</v>
      </c>
      <c r="Q109" s="57">
        <v>7.4000000000000003E-3</v>
      </c>
      <c r="R109" s="62">
        <f t="shared" si="42"/>
        <v>9.8025574471848464E-3</v>
      </c>
      <c r="S109" s="62">
        <f t="shared" si="43"/>
        <v>0</v>
      </c>
      <c r="T109" s="62">
        <f t="shared" si="44"/>
        <v>1.1929641239986067E-2</v>
      </c>
      <c r="U109" s="63">
        <f t="shared" si="45"/>
        <v>0</v>
      </c>
      <c r="V109" s="64">
        <f t="shared" si="46"/>
        <v>0</v>
      </c>
    </row>
    <row r="110" spans="1:22" ht="15" customHeight="1">
      <c r="A110" s="182">
        <v>99</v>
      </c>
      <c r="B110" s="149" t="s">
        <v>167</v>
      </c>
      <c r="C110" s="148" t="s">
        <v>118</v>
      </c>
      <c r="D110" s="39">
        <v>117443534.91</v>
      </c>
      <c r="E110" s="34">
        <f t="shared" si="56"/>
        <v>4.772725014350854E-4</v>
      </c>
      <c r="F110" s="67">
        <v>117.59520000000001</v>
      </c>
      <c r="G110" s="67">
        <v>117.59520000000001</v>
      </c>
      <c r="H110" s="35">
        <v>27</v>
      </c>
      <c r="I110" s="57">
        <v>1.23E-2</v>
      </c>
      <c r="J110" s="57">
        <v>0.24340000000000001</v>
      </c>
      <c r="K110" s="39">
        <v>117620563.86</v>
      </c>
      <c r="L110" s="34">
        <f t="shared" si="55"/>
        <v>4.8424321602378684E-4</v>
      </c>
      <c r="M110" s="67">
        <v>117.7333</v>
      </c>
      <c r="N110" s="67">
        <v>117.7333</v>
      </c>
      <c r="O110" s="35">
        <v>28</v>
      </c>
      <c r="P110" s="57">
        <v>-3.3999999999999998E-3</v>
      </c>
      <c r="Q110" s="57">
        <v>0.224</v>
      </c>
      <c r="R110" s="62">
        <f t="shared" ref="R110" si="57">((K110-D110)/D110)</f>
        <v>1.5073537265006952E-3</v>
      </c>
      <c r="S110" s="62">
        <f t="shared" ref="S110" si="58">((N110-G110)/G110)</f>
        <v>1.1743676612650375E-3</v>
      </c>
      <c r="T110" s="62">
        <f t="shared" ref="T110" si="59">((O110-H110)/H110)</f>
        <v>3.7037037037037035E-2</v>
      </c>
      <c r="U110" s="63">
        <f t="shared" ref="U110" si="60">P110-I110</f>
        <v>-1.5699999999999999E-2</v>
      </c>
      <c r="V110" s="64">
        <f t="shared" ref="V110" si="61">Q110-J110</f>
        <v>-1.9400000000000001E-2</v>
      </c>
    </row>
    <row r="111" spans="1:22">
      <c r="A111" s="182">
        <v>100</v>
      </c>
      <c r="B111" s="149" t="s">
        <v>168</v>
      </c>
      <c r="C111" s="148" t="s">
        <v>53</v>
      </c>
      <c r="D111" s="39">
        <v>79732370504.610001</v>
      </c>
      <c r="E111" s="34">
        <f t="shared" si="56"/>
        <v>0.32402011694595234</v>
      </c>
      <c r="F111" s="39">
        <v>2.0030999999999999</v>
      </c>
      <c r="G111" s="39">
        <v>2.0030999999999999</v>
      </c>
      <c r="H111" s="35">
        <v>6941</v>
      </c>
      <c r="I111" s="57">
        <v>9.0499999999999997E-2</v>
      </c>
      <c r="J111" s="57">
        <v>8.3400000000000002E-2</v>
      </c>
      <c r="K111" s="39">
        <v>79873839900.949997</v>
      </c>
      <c r="L111" s="34">
        <f t="shared" si="55"/>
        <v>0.3288401606018716</v>
      </c>
      <c r="M111" s="39">
        <v>2.0065400000000002</v>
      </c>
      <c r="N111" s="39">
        <v>2.0065400000000002</v>
      </c>
      <c r="O111" s="35">
        <v>6957</v>
      </c>
      <c r="P111" s="57">
        <v>1.6999999999999999E-3</v>
      </c>
      <c r="Q111" s="57">
        <v>8.4400000000000003E-2</v>
      </c>
      <c r="R111" s="62">
        <f t="shared" si="42"/>
        <v>1.7743031524669996E-3</v>
      </c>
      <c r="S111" s="62">
        <f t="shared" si="43"/>
        <v>1.7173381259050131E-3</v>
      </c>
      <c r="T111" s="62">
        <f t="shared" si="44"/>
        <v>2.3051433511021469E-3</v>
      </c>
      <c r="U111" s="63">
        <f t="shared" si="45"/>
        <v>-8.8800000000000004E-2</v>
      </c>
      <c r="V111" s="64">
        <f t="shared" si="46"/>
        <v>1.0000000000000009E-3</v>
      </c>
    </row>
    <row r="112" spans="1:22">
      <c r="A112" s="182">
        <v>101</v>
      </c>
      <c r="B112" s="149" t="s">
        <v>169</v>
      </c>
      <c r="C112" s="148" t="s">
        <v>53</v>
      </c>
      <c r="D112" s="39">
        <v>67743627291.040001</v>
      </c>
      <c r="E112" s="34">
        <f t="shared" si="56"/>
        <v>0.27529970447720048</v>
      </c>
      <c r="F112" s="39">
        <v>132.0488</v>
      </c>
      <c r="G112" s="39">
        <v>132.0488</v>
      </c>
      <c r="H112" s="35">
        <v>1396</v>
      </c>
      <c r="I112" s="57">
        <v>0.1593</v>
      </c>
      <c r="J112" s="57">
        <v>0.15939999999999999</v>
      </c>
      <c r="K112" s="39">
        <v>67635613999.720001</v>
      </c>
      <c r="L112" s="34">
        <f t="shared" si="55"/>
        <v>0.27845545171804853</v>
      </c>
      <c r="M112" s="39">
        <v>132.41740999999999</v>
      </c>
      <c r="N112" s="39">
        <v>132.41740999999999</v>
      </c>
      <c r="O112" s="35">
        <v>1416</v>
      </c>
      <c r="P112" s="57">
        <v>2.8E-3</v>
      </c>
      <c r="Q112" s="57">
        <v>0.15909999999999999</v>
      </c>
      <c r="R112" s="62">
        <f t="shared" ref="R112:R114" si="62">((K112-D112)/D112)</f>
        <v>-1.5944420994162781E-3</v>
      </c>
      <c r="S112" s="62">
        <f t="shared" ref="S112:S114" si="63">((N112-G112)/G112)</f>
        <v>2.7914680027383031E-3</v>
      </c>
      <c r="T112" s="62">
        <f t="shared" ref="T112:T114" si="64">((O112-H112)/H112)</f>
        <v>1.4326647564469915E-2</v>
      </c>
      <c r="U112" s="63">
        <f t="shared" ref="U112:U114" si="65">P112-I112</f>
        <v>-0.1565</v>
      </c>
      <c r="V112" s="64">
        <f t="shared" ref="V112:V114" si="66">Q112-J112</f>
        <v>-2.9999999999999472E-4</v>
      </c>
    </row>
    <row r="113" spans="1:28">
      <c r="A113" s="182">
        <v>102</v>
      </c>
      <c r="B113" s="149" t="s">
        <v>170</v>
      </c>
      <c r="C113" s="149" t="s">
        <v>171</v>
      </c>
      <c r="D113" s="39">
        <v>116491809.84</v>
      </c>
      <c r="E113" s="34">
        <f t="shared" si="56"/>
        <v>4.7340483681493014E-4</v>
      </c>
      <c r="F113" s="39">
        <v>116.23</v>
      </c>
      <c r="G113" s="39">
        <v>116.23</v>
      </c>
      <c r="H113" s="69">
        <v>88</v>
      </c>
      <c r="I113" s="71">
        <v>-1.14E-2</v>
      </c>
      <c r="J113" s="71">
        <v>-3.5999999999999999E-3</v>
      </c>
      <c r="K113" s="39">
        <v>116186778.70999999</v>
      </c>
      <c r="L113" s="34">
        <f t="shared" si="55"/>
        <v>4.7834033042846227E-4</v>
      </c>
      <c r="M113" s="39">
        <v>117.24</v>
      </c>
      <c r="N113" s="39">
        <v>117.24</v>
      </c>
      <c r="O113" s="69">
        <v>88</v>
      </c>
      <c r="P113" s="71">
        <v>8.6999999999999994E-3</v>
      </c>
      <c r="Q113" s="71">
        <v>5.0000000000000001E-3</v>
      </c>
      <c r="R113" s="62">
        <f t="shared" si="62"/>
        <v>-2.6184770450297444E-3</v>
      </c>
      <c r="S113" s="62">
        <f t="shared" si="63"/>
        <v>8.689667039490586E-3</v>
      </c>
      <c r="T113" s="62">
        <f t="shared" si="64"/>
        <v>0</v>
      </c>
      <c r="U113" s="63">
        <f t="shared" si="65"/>
        <v>2.01E-2</v>
      </c>
      <c r="V113" s="64">
        <f t="shared" si="66"/>
        <v>8.6E-3</v>
      </c>
    </row>
    <row r="114" spans="1:28">
      <c r="A114" s="182">
        <v>103</v>
      </c>
      <c r="B114" s="149" t="s">
        <v>172</v>
      </c>
      <c r="C114" s="148" t="s">
        <v>125</v>
      </c>
      <c r="D114" s="39">
        <v>479549082.93000001</v>
      </c>
      <c r="E114" s="34">
        <f t="shared" si="56"/>
        <v>1.9488138750787395E-3</v>
      </c>
      <c r="F114" s="39">
        <v>1.43</v>
      </c>
      <c r="G114" s="39">
        <v>1.43</v>
      </c>
      <c r="H114" s="35">
        <v>859</v>
      </c>
      <c r="I114" s="57">
        <v>1.41E-2</v>
      </c>
      <c r="J114" s="57">
        <v>4.1500000000000002E-2</v>
      </c>
      <c r="K114" s="39">
        <v>510752927.44</v>
      </c>
      <c r="L114" s="34">
        <f t="shared" si="55"/>
        <v>2.1027669997526694E-3</v>
      </c>
      <c r="M114" s="39">
        <v>1.45</v>
      </c>
      <c r="N114" s="39">
        <v>1.45</v>
      </c>
      <c r="O114" s="35">
        <v>867</v>
      </c>
      <c r="P114" s="57">
        <v>1.5299999999999999E-2</v>
      </c>
      <c r="Q114" s="57">
        <v>5.8299999999999998E-2</v>
      </c>
      <c r="R114" s="62">
        <f t="shared" si="62"/>
        <v>6.5069136029512184E-2</v>
      </c>
      <c r="S114" s="62">
        <f t="shared" si="63"/>
        <v>1.3986013986014E-2</v>
      </c>
      <c r="T114" s="62">
        <f t="shared" si="64"/>
        <v>9.3131548311990685E-3</v>
      </c>
      <c r="U114" s="63">
        <f t="shared" si="65"/>
        <v>1.1999999999999997E-3</v>
      </c>
      <c r="V114" s="64">
        <f t="shared" si="66"/>
        <v>1.6799999999999995E-2</v>
      </c>
    </row>
    <row r="115" spans="1:28">
      <c r="A115" s="182">
        <v>104</v>
      </c>
      <c r="B115" s="149" t="s">
        <v>173</v>
      </c>
      <c r="C115" s="148" t="s">
        <v>127</v>
      </c>
      <c r="D115" s="39">
        <v>2016377906.1500001</v>
      </c>
      <c r="E115" s="34">
        <f t="shared" si="56"/>
        <v>8.1942503505546983E-3</v>
      </c>
      <c r="F115" s="67">
        <v>30.8292</v>
      </c>
      <c r="G115" s="67">
        <v>30.8292</v>
      </c>
      <c r="H115" s="35">
        <v>1329</v>
      </c>
      <c r="I115" s="57">
        <v>0.14599999999999999</v>
      </c>
      <c r="J115" s="57">
        <v>0.14599999999999999</v>
      </c>
      <c r="K115" s="39">
        <v>2018930132.4000001</v>
      </c>
      <c r="L115" s="34">
        <f t="shared" si="55"/>
        <v>8.311924277155951E-3</v>
      </c>
      <c r="M115" s="67">
        <v>30.8843</v>
      </c>
      <c r="N115" s="67">
        <v>30.8843</v>
      </c>
      <c r="O115" s="35">
        <v>1334</v>
      </c>
      <c r="P115" s="57">
        <v>0.14599999999999999</v>
      </c>
      <c r="Q115" s="57">
        <v>0.14599999999999999</v>
      </c>
      <c r="R115" s="62">
        <f t="shared" si="42"/>
        <v>1.2657479742342196E-3</v>
      </c>
      <c r="S115" s="62">
        <f t="shared" si="43"/>
        <v>1.7872666173627432E-3</v>
      </c>
      <c r="T115" s="62">
        <f t="shared" si="44"/>
        <v>3.7622272385252069E-3</v>
      </c>
      <c r="U115" s="63">
        <f t="shared" si="45"/>
        <v>0</v>
      </c>
      <c r="V115" s="64">
        <f t="shared" si="46"/>
        <v>0</v>
      </c>
    </row>
    <row r="116" spans="1:28">
      <c r="A116" s="42"/>
      <c r="B116" s="43"/>
      <c r="C116" s="44" t="s">
        <v>56</v>
      </c>
      <c r="D116" s="66">
        <f>SUM(D77:D115)</f>
        <v>246072284820.23425</v>
      </c>
      <c r="E116" s="46">
        <f>(D116/$D$234)</f>
        <v>2.9847198901444522E-2</v>
      </c>
      <c r="F116" s="47"/>
      <c r="G116" s="52"/>
      <c r="H116" s="49">
        <f>SUM(H77:H115)</f>
        <v>63196</v>
      </c>
      <c r="I116" s="60"/>
      <c r="J116" s="60"/>
      <c r="K116" s="66">
        <f>SUM(K77:K115)</f>
        <v>242895635845.56708</v>
      </c>
      <c r="L116" s="46">
        <f>(K116/$K$234)</f>
        <v>2.9109133042704065E-2</v>
      </c>
      <c r="M116" s="47"/>
      <c r="N116" s="52"/>
      <c r="O116" s="49">
        <f>SUM(O77:O115)</f>
        <v>63810</v>
      </c>
      <c r="P116" s="60"/>
      <c r="Q116" s="60"/>
      <c r="R116" s="62">
        <f t="shared" si="42"/>
        <v>-1.2909413902454906E-2</v>
      </c>
      <c r="S116" s="62" t="e">
        <f t="shared" si="43"/>
        <v>#DIV/0!</v>
      </c>
      <c r="T116" s="62">
        <f t="shared" si="44"/>
        <v>9.7158047977720114E-3</v>
      </c>
      <c r="U116" s="63">
        <f t="shared" si="45"/>
        <v>0</v>
      </c>
      <c r="V116" s="64">
        <f t="shared" si="46"/>
        <v>0</v>
      </c>
    </row>
    <row r="117" spans="1:28" ht="3.75" customHeight="1">
      <c r="A117" s="4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</row>
    <row r="118" spans="1:28" ht="15" customHeight="1">
      <c r="A118" s="191" t="s">
        <v>174</v>
      </c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spans="1:28">
      <c r="A119" s="193" t="s">
        <v>175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Z119" s="72"/>
      <c r="AB119" s="74"/>
    </row>
    <row r="120" spans="1:28" ht="16.5" customHeight="1">
      <c r="A120" s="182">
        <v>105</v>
      </c>
      <c r="B120" s="149" t="s">
        <v>176</v>
      </c>
      <c r="C120" s="148" t="s">
        <v>20</v>
      </c>
      <c r="D120" s="39">
        <v>3407118694.0599999</v>
      </c>
      <c r="E120" s="34">
        <f t="shared" ref="E120:E125" si="67">(D120/$D$158)</f>
        <v>1.8578382395076864E-3</v>
      </c>
      <c r="F120" s="39">
        <v>116.0615</v>
      </c>
      <c r="G120" s="39">
        <v>116.0615</v>
      </c>
      <c r="H120" s="35">
        <v>192</v>
      </c>
      <c r="I120" s="57">
        <v>1E-4</v>
      </c>
      <c r="J120" s="57">
        <v>1.3299999999999999E-2</v>
      </c>
      <c r="K120" s="39">
        <v>3468580468.1500001</v>
      </c>
      <c r="L120" s="34">
        <f t="shared" ref="L120:L136" si="68">(K120/$K$158)</f>
        <v>1.8536688539459087E-3</v>
      </c>
      <c r="M120" s="147">
        <v>116.03100000000001</v>
      </c>
      <c r="N120" s="39">
        <v>116.03100000000001</v>
      </c>
      <c r="O120" s="35">
        <v>192</v>
      </c>
      <c r="P120" s="57">
        <v>-2.9999999999999997E-4</v>
      </c>
      <c r="Q120" s="57">
        <v>1.3100000000000001E-2</v>
      </c>
      <c r="R120" s="62">
        <f>((K120-D120)/D120)</f>
        <v>1.8039223052942987E-2</v>
      </c>
      <c r="S120" s="62">
        <f>((N120-G120)/G120)</f>
        <v>-2.6279170956768018E-4</v>
      </c>
      <c r="T120" s="62">
        <f>((O120-H120)/H120)</f>
        <v>0</v>
      </c>
      <c r="U120" s="62">
        <f>P120-I120</f>
        <v>-3.9999999999999996E-4</v>
      </c>
      <c r="V120" s="109">
        <f>Q120-J120</f>
        <v>-1.9999999999999879E-4</v>
      </c>
      <c r="X120" s="72"/>
      <c r="Y120" s="75"/>
      <c r="Z120" s="72"/>
      <c r="AA120" s="76"/>
    </row>
    <row r="121" spans="1:28" ht="16.5" customHeight="1">
      <c r="A121" s="182">
        <v>106</v>
      </c>
      <c r="B121" s="149" t="s">
        <v>177</v>
      </c>
      <c r="C121" s="148" t="s">
        <v>60</v>
      </c>
      <c r="D121" s="39">
        <v>5507185548.8780537</v>
      </c>
      <c r="E121" s="34">
        <f t="shared" si="67"/>
        <v>3.0029655035521334E-3</v>
      </c>
      <c r="F121" s="39">
        <v>138902.723352</v>
      </c>
      <c r="G121" s="39">
        <v>138902.723352</v>
      </c>
      <c r="H121" s="35">
        <v>103</v>
      </c>
      <c r="I121" s="57">
        <v>-3.3300000000000002E-4</v>
      </c>
      <c r="J121" s="57">
        <v>1.8834E-2</v>
      </c>
      <c r="K121" s="39">
        <f>4030645.8*W139</f>
        <v>5615719832.4664793</v>
      </c>
      <c r="L121" s="34">
        <f t="shared" si="68"/>
        <v>3.0011369323893911E-3</v>
      </c>
      <c r="M121" s="39">
        <f>101.66*W139</f>
        <v>141638.36429599999</v>
      </c>
      <c r="N121" s="39">
        <f>101.66*W139</f>
        <v>141638.36429599999</v>
      </c>
      <c r="O121" s="35">
        <v>103</v>
      </c>
      <c r="P121" s="57">
        <v>-2.1870000000000001E-3</v>
      </c>
      <c r="Q121" s="57">
        <v>1.6646999999999999E-2</v>
      </c>
      <c r="R121" s="63">
        <f>((K121-D121)/D121)</f>
        <v>1.9707758640987987E-2</v>
      </c>
      <c r="S121" s="63">
        <f>((N121-G121)/G121)</f>
        <v>1.9694653049152005E-2</v>
      </c>
      <c r="T121" s="63">
        <f>((O121-H121)/H121)</f>
        <v>0</v>
      </c>
      <c r="U121" s="63">
        <f>P121-I121</f>
        <v>-1.8540000000000002E-3</v>
      </c>
      <c r="V121" s="64">
        <f>Q121-J121</f>
        <v>-2.1870000000000014E-3</v>
      </c>
      <c r="X121" s="72"/>
      <c r="Y121" s="75"/>
      <c r="Z121" s="72"/>
      <c r="AA121" s="76"/>
    </row>
    <row r="122" spans="1:28">
      <c r="A122" s="182">
        <v>107</v>
      </c>
      <c r="B122" s="149" t="s">
        <v>178</v>
      </c>
      <c r="C122" s="148" t="s">
        <v>24</v>
      </c>
      <c r="D122" s="39">
        <v>17324540419.879498</v>
      </c>
      <c r="E122" s="34">
        <f t="shared" si="67"/>
        <v>9.4467485767555925E-3</v>
      </c>
      <c r="F122" s="39">
        <v>1661.8426530600002</v>
      </c>
      <c r="G122" s="39">
        <v>1661.8426530600002</v>
      </c>
      <c r="H122" s="35">
        <v>331</v>
      </c>
      <c r="I122" s="57">
        <v>1.7100000000000001E-2</v>
      </c>
      <c r="J122" s="57">
        <v>6.0499999999999998E-2</v>
      </c>
      <c r="K122" s="39">
        <f>12837189.37*FX_RATE</f>
        <v>17885485978.01297</v>
      </c>
      <c r="L122" s="34">
        <f t="shared" si="68"/>
        <v>9.5583102654129282E-3</v>
      </c>
      <c r="M122" s="39">
        <f>1.2185*W139</f>
        <v>1697.6819485999999</v>
      </c>
      <c r="N122" s="39">
        <f>1.2185*W139</f>
        <v>1697.6819485999999</v>
      </c>
      <c r="O122" s="35">
        <v>333</v>
      </c>
      <c r="P122" s="57">
        <v>-1.7100000000000001E-2</v>
      </c>
      <c r="Q122" s="57">
        <v>5.21E-2</v>
      </c>
      <c r="R122" s="63">
        <f t="shared" ref="R122:R134" si="69">((K122-D122)/D122)</f>
        <v>3.2378668901935241E-2</v>
      </c>
      <c r="S122" s="63">
        <f t="shared" ref="S122:S134" si="70">((N122-G122)/G122)</f>
        <v>2.1565998125037757E-2</v>
      </c>
      <c r="T122" s="63">
        <f t="shared" ref="T122:T134" si="71">((O122-H122)/H122)</f>
        <v>6.0422960725075529E-3</v>
      </c>
      <c r="U122" s="63">
        <f t="shared" ref="U122:U134" si="72">P122-I122</f>
        <v>-3.4200000000000001E-2</v>
      </c>
      <c r="V122" s="64">
        <f t="shared" ref="V122:V134" si="73">Q122-J122</f>
        <v>-8.3999999999999977E-3</v>
      </c>
    </row>
    <row r="123" spans="1:28">
      <c r="A123" s="182">
        <v>108</v>
      </c>
      <c r="B123" s="149" t="s">
        <v>179</v>
      </c>
      <c r="C123" s="148" t="s">
        <v>24</v>
      </c>
      <c r="D123" s="39">
        <v>4201037022.0951385</v>
      </c>
      <c r="E123" s="34">
        <f t="shared" si="67"/>
        <v>2.2907470875149971E-3</v>
      </c>
      <c r="F123" s="39">
        <v>1434.2919608000002</v>
      </c>
      <c r="G123" s="39">
        <v>1434.2919608000002</v>
      </c>
      <c r="H123" s="35">
        <v>116</v>
      </c>
      <c r="I123" s="57">
        <v>-2.9700000000000001E-2</v>
      </c>
      <c r="J123" s="57">
        <v>4.58E-2</v>
      </c>
      <c r="K123" s="39">
        <f>3086555.22*W139</f>
        <v>4300360344.9742317</v>
      </c>
      <c r="L123" s="34">
        <f t="shared" si="68"/>
        <v>2.2981862768991666E-3</v>
      </c>
      <c r="M123" s="39">
        <f>1.054*W139</f>
        <v>1468.4914024</v>
      </c>
      <c r="N123" s="39">
        <f>1.054*W139</f>
        <v>1468.4914024</v>
      </c>
      <c r="O123" s="35">
        <v>118</v>
      </c>
      <c r="P123" s="57">
        <v>9.9099999999999994E-2</v>
      </c>
      <c r="Q123" s="57">
        <v>5.16E-2</v>
      </c>
      <c r="R123" s="63">
        <f t="shared" si="69"/>
        <v>2.3642572621166452E-2</v>
      </c>
      <c r="S123" s="63">
        <f t="shared" ref="S123" si="74">((N123-G123)/G123)</f>
        <v>2.384412834673107E-2</v>
      </c>
      <c r="T123" s="63">
        <f t="shared" ref="T123" si="75">((O123-H123)/H123)</f>
        <v>1.7241379310344827E-2</v>
      </c>
      <c r="U123" s="63">
        <f t="shared" ref="U123" si="76">P123-I123</f>
        <v>0.1288</v>
      </c>
      <c r="V123" s="64">
        <f t="shared" ref="V123" si="77">Q123-J123</f>
        <v>5.7999999999999996E-3</v>
      </c>
    </row>
    <row r="124" spans="1:28">
      <c r="A124" s="182">
        <v>109</v>
      </c>
      <c r="B124" s="149" t="s">
        <v>180</v>
      </c>
      <c r="C124" s="148" t="s">
        <v>28</v>
      </c>
      <c r="D124" s="39">
        <v>49161391405.411842</v>
      </c>
      <c r="E124" s="34">
        <f t="shared" si="67"/>
        <v>2.6806789273179997E-2</v>
      </c>
      <c r="F124" s="39">
        <v>1734.5116278800001</v>
      </c>
      <c r="G124" s="39">
        <v>1734.5116278800001</v>
      </c>
      <c r="H124" s="35">
        <v>659</v>
      </c>
      <c r="I124" s="57">
        <v>3.0999999999999999E-3</v>
      </c>
      <c r="J124" s="57">
        <v>2.01E-2</v>
      </c>
      <c r="K124" s="39">
        <f>35362810.7*W139</f>
        <v>49269434039.514923</v>
      </c>
      <c r="L124" s="34">
        <f t="shared" si="68"/>
        <v>2.6330430033039559E-2</v>
      </c>
      <c r="M124" s="39">
        <f xml:space="preserve"> 1.2544*W139</f>
        <v>1747.6998246399999</v>
      </c>
      <c r="N124" s="39">
        <f xml:space="preserve"> 1.2544*W139</f>
        <v>1747.6998246399999</v>
      </c>
      <c r="O124" s="35">
        <v>654</v>
      </c>
      <c r="P124" s="57">
        <v>-6.4000000000000003E-3</v>
      </c>
      <c r="Q124" s="57">
        <v>5.8999999999999999E-3</v>
      </c>
      <c r="R124" s="63">
        <f t="shared" si="69"/>
        <v>2.1977131040108655E-3</v>
      </c>
      <c r="S124" s="63">
        <f t="shared" ref="S124:T127" si="78">((N124-G124)/G124)</f>
        <v>7.6034063698488868E-3</v>
      </c>
      <c r="T124" s="63">
        <f t="shared" si="78"/>
        <v>-7.5872534142640367E-3</v>
      </c>
      <c r="U124" s="63">
        <f t="shared" si="72"/>
        <v>-9.4999999999999998E-3</v>
      </c>
      <c r="V124" s="64">
        <f t="shared" si="73"/>
        <v>-1.4200000000000001E-2</v>
      </c>
    </row>
    <row r="125" spans="1:28">
      <c r="A125" s="182">
        <v>110</v>
      </c>
      <c r="B125" s="149" t="s">
        <v>181</v>
      </c>
      <c r="C125" s="148" t="s">
        <v>69</v>
      </c>
      <c r="D125" s="39">
        <v>1475114991.277972</v>
      </c>
      <c r="E125" s="34">
        <f t="shared" si="67"/>
        <v>8.0435267583871338E-4</v>
      </c>
      <c r="F125" s="39">
        <v>1495.6447538</v>
      </c>
      <c r="G125" s="39">
        <v>1513.3688940000002</v>
      </c>
      <c r="H125" s="35">
        <v>73</v>
      </c>
      <c r="I125" s="57">
        <v>5.2999999999999998E-4</v>
      </c>
      <c r="J125" s="57">
        <v>0.12770000000000001</v>
      </c>
      <c r="K125" s="39">
        <f>1071688.36*W139</f>
        <v>1493135809.024816</v>
      </c>
      <c r="L125" s="34">
        <f t="shared" si="68"/>
        <v>7.9795736881861905E-4</v>
      </c>
      <c r="M125" s="39">
        <f>1.097*W139</f>
        <v>1528.4013932</v>
      </c>
      <c r="N125" s="39">
        <f>1.11*W139</f>
        <v>1546.5137160000002</v>
      </c>
      <c r="O125" s="35">
        <v>73</v>
      </c>
      <c r="P125" s="57">
        <v>-5.1999999999999995E-4</v>
      </c>
      <c r="Q125" s="57">
        <v>0.114</v>
      </c>
      <c r="R125" s="63">
        <f t="shared" si="69"/>
        <v>1.2216551152552279E-2</v>
      </c>
      <c r="S125" s="63">
        <f t="shared" si="78"/>
        <v>2.1901350114574229E-2</v>
      </c>
      <c r="T125" s="63">
        <f t="shared" si="78"/>
        <v>0</v>
      </c>
      <c r="U125" s="63">
        <f t="shared" si="72"/>
        <v>-1.0499999999999999E-3</v>
      </c>
      <c r="V125" s="64">
        <f t="shared" si="73"/>
        <v>-1.3700000000000004E-2</v>
      </c>
    </row>
    <row r="126" spans="1:28">
      <c r="A126" s="182">
        <v>111</v>
      </c>
      <c r="B126" s="149" t="s">
        <v>182</v>
      </c>
      <c r="C126" s="148" t="s">
        <v>30</v>
      </c>
      <c r="D126" s="39">
        <v>797806851.83990407</v>
      </c>
      <c r="E126" s="34">
        <v>0</v>
      </c>
      <c r="F126" s="39">
        <v>1955.7907013000004</v>
      </c>
      <c r="G126" s="39">
        <v>1955.7907013000004</v>
      </c>
      <c r="H126" s="35">
        <v>76</v>
      </c>
      <c r="I126" s="57">
        <v>4.3899999999999999E-4</v>
      </c>
      <c r="J126" s="57">
        <v>2.18E-2</v>
      </c>
      <c r="K126" s="39">
        <f>585726.39*W139</f>
        <v>816066572.93528402</v>
      </c>
      <c r="L126" s="34">
        <f t="shared" si="68"/>
        <v>4.3611996402762862E-4</v>
      </c>
      <c r="M126" s="39">
        <f>1.4362*W139</f>
        <v>2000.9936927199999</v>
      </c>
      <c r="N126" s="39">
        <f>1.4362*W139</f>
        <v>2000.9936927199999</v>
      </c>
      <c r="O126" s="35">
        <v>76</v>
      </c>
      <c r="P126" s="57">
        <v>4.3100000000000001E-4</v>
      </c>
      <c r="Q126" s="57">
        <v>2.76E-2</v>
      </c>
      <c r="R126" s="63">
        <f t="shared" si="69"/>
        <v>2.2887395681384957E-2</v>
      </c>
      <c r="S126" s="63">
        <f t="shared" si="78"/>
        <v>2.311238691847416E-2</v>
      </c>
      <c r="T126" s="63">
        <f t="shared" si="78"/>
        <v>0</v>
      </c>
      <c r="U126" s="63">
        <f t="shared" si="72"/>
        <v>-7.9999999999999776E-6</v>
      </c>
      <c r="V126" s="64">
        <f t="shared" si="73"/>
        <v>5.7999999999999996E-3</v>
      </c>
    </row>
    <row r="127" spans="1:28">
      <c r="A127" s="182">
        <v>112</v>
      </c>
      <c r="B127" s="149" t="s">
        <v>183</v>
      </c>
      <c r="C127" s="148" t="s">
        <v>79</v>
      </c>
      <c r="D127" s="39">
        <v>1875363665.80515</v>
      </c>
      <c r="E127" s="34">
        <f t="shared" ref="E127:E136" si="79">(D127/$D$158)</f>
        <v>1.0226008085337237E-3</v>
      </c>
      <c r="F127" s="39">
        <v>147423.944602</v>
      </c>
      <c r="G127" s="39">
        <v>147914.76694600002</v>
      </c>
      <c r="H127" s="35">
        <v>84</v>
      </c>
      <c r="I127" s="57">
        <v>1.5E-3</v>
      </c>
      <c r="J127" s="57">
        <v>8.8000000000000005E-3</v>
      </c>
      <c r="K127" s="39">
        <f>1265836.18*W139</f>
        <v>1763633346.467608</v>
      </c>
      <c r="L127" s="34">
        <f>(K127/$K$158)</f>
        <v>9.4251588917902576E-4</v>
      </c>
      <c r="M127" s="39">
        <f>108.25*W139</f>
        <v>150819.91870000001</v>
      </c>
      <c r="N127" s="39">
        <f>108.68*W139</f>
        <v>151419.01860800001</v>
      </c>
      <c r="O127" s="35">
        <v>84</v>
      </c>
      <c r="P127" s="57">
        <v>1.4E-3</v>
      </c>
      <c r="Q127" s="57">
        <v>1.0200000000000001E-2</v>
      </c>
      <c r="R127" s="63">
        <f t="shared" si="69"/>
        <v>-5.9577948200021713E-2</v>
      </c>
      <c r="S127" s="63">
        <f t="shared" si="78"/>
        <v>2.3691019729485899E-2</v>
      </c>
      <c r="T127" s="63">
        <f t="shared" si="78"/>
        <v>0</v>
      </c>
      <c r="U127" s="63">
        <f t="shared" si="72"/>
        <v>-1.0000000000000005E-4</v>
      </c>
      <c r="V127" s="64">
        <f t="shared" si="73"/>
        <v>1.4000000000000002E-3</v>
      </c>
    </row>
    <row r="128" spans="1:28">
      <c r="A128" s="182">
        <v>113</v>
      </c>
      <c r="B128" s="149" t="s">
        <v>184</v>
      </c>
      <c r="C128" s="148" t="s">
        <v>82</v>
      </c>
      <c r="D128" s="39">
        <v>4888024872.54</v>
      </c>
      <c r="E128" s="34">
        <f t="shared" si="79"/>
        <v>2.6653487416513164E-3</v>
      </c>
      <c r="F128" s="39">
        <v>1634.17</v>
      </c>
      <c r="G128" s="39">
        <v>1634.17</v>
      </c>
      <c r="H128" s="35">
        <v>62</v>
      </c>
      <c r="I128" s="57">
        <v>6.5799999999999997E-2</v>
      </c>
      <c r="J128" s="57">
        <v>2.9899999999999999E-2</v>
      </c>
      <c r="K128" s="39">
        <v>4933014157.1400003</v>
      </c>
      <c r="L128" s="34">
        <f t="shared" si="68"/>
        <v>2.6362873178611248E-3</v>
      </c>
      <c r="M128" s="39">
        <v>1674.31</v>
      </c>
      <c r="N128" s="39">
        <v>1674.31</v>
      </c>
      <c r="O128" s="35">
        <v>62</v>
      </c>
      <c r="P128" s="57">
        <v>6.5799999999999997E-2</v>
      </c>
      <c r="Q128" s="57">
        <v>2.9899999999999999E-2</v>
      </c>
      <c r="R128" s="63">
        <f t="shared" si="69"/>
        <v>9.2039802932963131E-3</v>
      </c>
      <c r="S128" s="63">
        <f t="shared" si="70"/>
        <v>2.4562927969550213E-2</v>
      </c>
      <c r="T128" s="63">
        <f t="shared" si="71"/>
        <v>0</v>
      </c>
      <c r="U128" s="63">
        <f t="shared" si="72"/>
        <v>0</v>
      </c>
      <c r="V128" s="64">
        <f t="shared" si="73"/>
        <v>0</v>
      </c>
      <c r="X128" s="73"/>
    </row>
    <row r="129" spans="1:25">
      <c r="A129" s="182">
        <v>114</v>
      </c>
      <c r="B129" s="149" t="s">
        <v>185</v>
      </c>
      <c r="C129" s="148" t="s">
        <v>32</v>
      </c>
      <c r="D129" s="39">
        <v>50644064869.912064</v>
      </c>
      <c r="E129" s="34">
        <f t="shared" si="79"/>
        <v>2.7615263443408991E-2</v>
      </c>
      <c r="F129" s="39">
        <v>176368.82894400004</v>
      </c>
      <c r="G129" s="39">
        <v>176396.09685200002</v>
      </c>
      <c r="H129" s="35">
        <v>2557</v>
      </c>
      <c r="I129" s="57">
        <v>1.9E-3</v>
      </c>
      <c r="J129" s="57">
        <v>1.15E-2</v>
      </c>
      <c r="K129" s="39">
        <f>37292570.25*W139</f>
        <v>51958082339.205902</v>
      </c>
      <c r="L129" s="34">
        <f t="shared" si="68"/>
        <v>2.7767289768056744E-2</v>
      </c>
      <c r="M129" s="39">
        <f>129.59*W139</f>
        <v>180551.993204</v>
      </c>
      <c r="N129" s="39">
        <f>129.62*W139</f>
        <v>180593.79087200001</v>
      </c>
      <c r="O129" s="35">
        <v>2563</v>
      </c>
      <c r="P129" s="57">
        <v>1.8E-3</v>
      </c>
      <c r="Q129" s="57">
        <v>1.3299999999999999E-2</v>
      </c>
      <c r="R129" s="63">
        <f t="shared" si="69"/>
        <v>2.5946129574494405E-2</v>
      </c>
      <c r="S129" s="63">
        <f t="shared" si="70"/>
        <v>2.3796977908881668E-2</v>
      </c>
      <c r="T129" s="63">
        <f t="shared" si="71"/>
        <v>2.3464998044583495E-3</v>
      </c>
      <c r="U129" s="63">
        <f t="shared" si="72"/>
        <v>-1.0000000000000005E-4</v>
      </c>
      <c r="V129" s="64">
        <f t="shared" si="73"/>
        <v>1.7999999999999995E-3</v>
      </c>
    </row>
    <row r="130" spans="1:25">
      <c r="A130" s="182">
        <v>115</v>
      </c>
      <c r="B130" s="150" t="s">
        <v>186</v>
      </c>
      <c r="C130" s="150" t="s">
        <v>32</v>
      </c>
      <c r="D130" s="39">
        <v>150540627684.16693</v>
      </c>
      <c r="E130" s="34">
        <f t="shared" si="79"/>
        <v>8.2086994855427711E-2</v>
      </c>
      <c r="F130" s="39">
        <v>171965.06180200001</v>
      </c>
      <c r="G130" s="39">
        <v>172033.23157200002</v>
      </c>
      <c r="H130" s="35">
        <v>972</v>
      </c>
      <c r="I130" s="57">
        <v>1.9E-3</v>
      </c>
      <c r="J130" s="57">
        <v>1.1599999999999999E-2</v>
      </c>
      <c r="K130" s="39">
        <f>110754240.21*W139</f>
        <v>154308965396.32767</v>
      </c>
      <c r="L130" s="34">
        <f t="shared" si="68"/>
        <v>8.2465355976691676E-2</v>
      </c>
      <c r="M130" s="39">
        <f>126.34*W139</f>
        <v>176023.91250400001</v>
      </c>
      <c r="N130" s="39">
        <f>126.4*W139</f>
        <v>176107.50784000001</v>
      </c>
      <c r="O130" s="35">
        <v>970</v>
      </c>
      <c r="P130" s="57">
        <v>1.6999999999999999E-3</v>
      </c>
      <c r="Q130" s="57">
        <v>1.3299999999999999E-2</v>
      </c>
      <c r="R130" s="63">
        <f t="shared" si="69"/>
        <v>2.5032031353467446E-2</v>
      </c>
      <c r="S130" s="63">
        <f t="shared" si="70"/>
        <v>2.3683076989080478E-2</v>
      </c>
      <c r="T130" s="63">
        <f t="shared" si="71"/>
        <v>-2.05761316872428E-3</v>
      </c>
      <c r="U130" s="63">
        <f t="shared" si="72"/>
        <v>-2.0000000000000009E-4</v>
      </c>
      <c r="V130" s="64">
        <f t="shared" si="73"/>
        <v>1.7000000000000001E-3</v>
      </c>
      <c r="X130" s="72"/>
    </row>
    <row r="131" spans="1:25">
      <c r="A131" s="182">
        <v>116</v>
      </c>
      <c r="B131" s="149" t="s">
        <v>187</v>
      </c>
      <c r="C131" s="148" t="s">
        <v>88</v>
      </c>
      <c r="D131" s="39">
        <v>2239060050.5071783</v>
      </c>
      <c r="E131" s="34">
        <f t="shared" si="79"/>
        <v>1.2209176597335744E-3</v>
      </c>
      <c r="F131" s="39">
        <v>1363.3954000000001</v>
      </c>
      <c r="G131" s="39">
        <v>1363.3954000000001</v>
      </c>
      <c r="H131" s="35">
        <v>13</v>
      </c>
      <c r="I131" s="57">
        <v>8.1699999999999995E-2</v>
      </c>
      <c r="J131" s="57">
        <v>8.2100000000000006E-2</v>
      </c>
      <c r="K131" s="39">
        <f>1642384.39*W139</f>
        <v>2288261248.7200837</v>
      </c>
      <c r="L131" s="34">
        <f t="shared" si="68"/>
        <v>1.2228860323099642E-3</v>
      </c>
      <c r="M131" s="39">
        <f>1*W139</f>
        <v>1393.2556</v>
      </c>
      <c r="N131" s="39">
        <f>1*W139</f>
        <v>1393.2556</v>
      </c>
      <c r="O131" s="35">
        <v>13</v>
      </c>
      <c r="P131" s="57">
        <v>8.1600000000000006E-2</v>
      </c>
      <c r="Q131" s="57">
        <v>8.2100000000000006E-2</v>
      </c>
      <c r="R131" s="63">
        <f t="shared" ref="R131" si="80">((K131-D131)/D131)</f>
        <v>2.1974041384803703E-2</v>
      </c>
      <c r="S131" s="63">
        <f t="shared" ref="S131" si="81">((N131-G131)/G131)</f>
        <v>2.1901350114574135E-2</v>
      </c>
      <c r="T131" s="63">
        <f t="shared" si="71"/>
        <v>0</v>
      </c>
      <c r="U131" s="63">
        <f t="shared" si="72"/>
        <v>-9.9999999999988987E-5</v>
      </c>
      <c r="V131" s="64">
        <f t="shared" si="73"/>
        <v>0</v>
      </c>
    </row>
    <row r="132" spans="1:25">
      <c r="A132" s="182">
        <v>117</v>
      </c>
      <c r="B132" s="149" t="s">
        <v>188</v>
      </c>
      <c r="C132" s="148" t="s">
        <v>36</v>
      </c>
      <c r="D132" s="39">
        <v>257583496.87071371</v>
      </c>
      <c r="E132" s="34">
        <f t="shared" si="79"/>
        <v>1.4045547376638975E-4</v>
      </c>
      <c r="F132" s="39">
        <v>187379.20117578001</v>
      </c>
      <c r="G132" s="39">
        <v>187379.20117578001</v>
      </c>
      <c r="H132" s="35">
        <v>11</v>
      </c>
      <c r="I132" s="57">
        <v>1.9E-3</v>
      </c>
      <c r="J132" s="57">
        <v>1.5900000000000001E-2</v>
      </c>
      <c r="K132" s="39">
        <f>189701.7115*W139</f>
        <v>264302971.87695941</v>
      </c>
      <c r="L132" s="34">
        <f t="shared" si="68"/>
        <v>1.4124803834664098E-4</v>
      </c>
      <c r="M132" s="39">
        <f>137.7402*W139</f>
        <v>191907.30499511998</v>
      </c>
      <c r="N132" s="39">
        <f>137.7402*W139</f>
        <v>191907.30499511998</v>
      </c>
      <c r="O132" s="35">
        <v>11</v>
      </c>
      <c r="P132" s="57">
        <v>2.2000000000000001E-3</v>
      </c>
      <c r="Q132" s="57">
        <v>1.8200000000000001E-2</v>
      </c>
      <c r="R132" s="63">
        <f t="shared" si="69"/>
        <v>2.6086589738388174E-2</v>
      </c>
      <c r="S132" s="63">
        <f t="shared" si="70"/>
        <v>2.4165455882652464E-2</v>
      </c>
      <c r="T132" s="63">
        <f t="shared" si="71"/>
        <v>0</v>
      </c>
      <c r="U132" s="63">
        <f t="shared" si="72"/>
        <v>3.0000000000000014E-4</v>
      </c>
      <c r="V132" s="64">
        <f t="shared" si="73"/>
        <v>2.3E-3</v>
      </c>
    </row>
    <row r="133" spans="1:25">
      <c r="A133" s="182">
        <v>118</v>
      </c>
      <c r="B133" s="149" t="s">
        <v>189</v>
      </c>
      <c r="C133" s="148" t="s">
        <v>42</v>
      </c>
      <c r="D133" s="39">
        <v>14597819521.161657</v>
      </c>
      <c r="E133" s="34">
        <f t="shared" si="79"/>
        <v>7.9599185573217129E-3</v>
      </c>
      <c r="F133" s="39">
        <v>2031.4591460000001</v>
      </c>
      <c r="G133" s="39">
        <v>2031.4591460000001</v>
      </c>
      <c r="H133" s="53">
        <v>118</v>
      </c>
      <c r="I133" s="60">
        <v>-1E-4</v>
      </c>
      <c r="J133" s="60">
        <v>3.6400000000000002E-2</v>
      </c>
      <c r="K133" s="39">
        <f xml:space="preserve"> 10691214.2*W139</f>
        <v>14895594054.949518</v>
      </c>
      <c r="L133" s="34">
        <f t="shared" si="68"/>
        <v>7.9604607747239663E-3</v>
      </c>
      <c r="M133" s="39">
        <f>1.49*W139</f>
        <v>2075.950844</v>
      </c>
      <c r="N133" s="39">
        <f>1.49*W139</f>
        <v>2075.950844</v>
      </c>
      <c r="O133" s="53">
        <v>119</v>
      </c>
      <c r="P133" s="60">
        <v>-2.5999999999999999E-3</v>
      </c>
      <c r="Q133" s="60">
        <v>1.84E-2</v>
      </c>
      <c r="R133" s="63">
        <f t="shared" si="69"/>
        <v>2.0398562494637878E-2</v>
      </c>
      <c r="S133" s="63">
        <f t="shared" si="70"/>
        <v>2.1901350114574152E-2</v>
      </c>
      <c r="T133" s="63">
        <f t="shared" si="71"/>
        <v>8.4745762711864406E-3</v>
      </c>
      <c r="U133" s="63">
        <f t="shared" si="72"/>
        <v>-2.5000000000000001E-3</v>
      </c>
      <c r="V133" s="64">
        <f t="shared" si="73"/>
        <v>-1.8000000000000002E-2</v>
      </c>
    </row>
    <row r="134" spans="1:25">
      <c r="A134" s="182">
        <v>119</v>
      </c>
      <c r="B134" s="149" t="s">
        <v>190</v>
      </c>
      <c r="C134" s="148" t="s">
        <v>104</v>
      </c>
      <c r="D134" s="39">
        <v>38008645613.708206</v>
      </c>
      <c r="E134" s="34">
        <f t="shared" si="79"/>
        <v>2.0725405127843686E-2</v>
      </c>
      <c r="F134" s="39">
        <v>144315.40309000001</v>
      </c>
      <c r="G134" s="39">
        <v>144315.40309000001</v>
      </c>
      <c r="H134" s="35">
        <v>882</v>
      </c>
      <c r="I134" s="60">
        <v>-8.0000000000000004E-4</v>
      </c>
      <c r="J134" s="57">
        <v>0.1113</v>
      </c>
      <c r="K134" s="39">
        <f>27776603*W139</f>
        <v>38699907678.726799</v>
      </c>
      <c r="L134" s="34">
        <f t="shared" si="68"/>
        <v>2.0681893983246546E-2</v>
      </c>
      <c r="M134" s="39">
        <f>105.33*W139</f>
        <v>146751.612348</v>
      </c>
      <c r="N134" s="39">
        <f>105.33*W139</f>
        <v>146751.612348</v>
      </c>
      <c r="O134" s="35">
        <v>887</v>
      </c>
      <c r="P134" s="60">
        <v>-5.0000000000000001E-3</v>
      </c>
      <c r="Q134" s="57">
        <v>7.0400000000000004E-2</v>
      </c>
      <c r="R134" s="63">
        <f t="shared" si="69"/>
        <v>1.8186969144969537E-2</v>
      </c>
      <c r="S134" s="63">
        <f t="shared" si="70"/>
        <v>1.6881145088031142E-2</v>
      </c>
      <c r="T134" s="63">
        <f t="shared" si="71"/>
        <v>5.6689342403628117E-3</v>
      </c>
      <c r="U134" s="63">
        <f t="shared" si="72"/>
        <v>-4.1999999999999997E-3</v>
      </c>
      <c r="V134" s="64">
        <f t="shared" si="73"/>
        <v>-4.0899999999999992E-2</v>
      </c>
    </row>
    <row r="135" spans="1:25">
      <c r="A135" s="182">
        <v>120</v>
      </c>
      <c r="B135" s="149" t="s">
        <v>191</v>
      </c>
      <c r="C135" s="148" t="s">
        <v>46</v>
      </c>
      <c r="D135" s="39">
        <v>2869068431.4232984</v>
      </c>
      <c r="E135" s="34">
        <f t="shared" si="79"/>
        <v>1.5644494724986746E-3</v>
      </c>
      <c r="F135" s="39">
        <v>229336.74023400003</v>
      </c>
      <c r="G135" s="39">
        <v>238348.78382800001</v>
      </c>
      <c r="H135" s="35">
        <v>48</v>
      </c>
      <c r="I135" s="57">
        <v>8.0000000000000004E-4</v>
      </c>
      <c r="J135" s="57">
        <v>1.15E-2</v>
      </c>
      <c r="K135" s="39">
        <f>2095679.68*W139</f>
        <v>2919817449.966208</v>
      </c>
      <c r="L135" s="34">
        <f t="shared" si="68"/>
        <v>1.560400491183319E-3</v>
      </c>
      <c r="M135" s="39">
        <f>167.52*W139</f>
        <v>233398.17811199999</v>
      </c>
      <c r="N135" s="39">
        <f>174.18*W139</f>
        <v>242677.260408</v>
      </c>
      <c r="O135" s="35">
        <v>48</v>
      </c>
      <c r="P135" s="57">
        <v>-4.0000000000000001E-3</v>
      </c>
      <c r="Q135" s="57">
        <v>7.6E-3</v>
      </c>
      <c r="R135" s="63">
        <f t="shared" ref="R135:R136" si="82">((K135-D135)/D135)</f>
        <v>1.7688326282874284E-2</v>
      </c>
      <c r="S135" s="63">
        <f t="shared" ref="S135:S136" si="83">((N135-G135)/G135)</f>
        <v>1.816026291589368E-2</v>
      </c>
      <c r="T135" s="63">
        <f t="shared" ref="T135:T136" si="84">((O135-H135)/H135)</f>
        <v>0</v>
      </c>
      <c r="U135" s="63">
        <f t="shared" ref="U135:U136" si="85">P135-I135</f>
        <v>-4.8000000000000004E-3</v>
      </c>
      <c r="V135" s="64">
        <f t="shared" ref="V135:V136" si="86">Q135-J135</f>
        <v>-3.8999999999999998E-3</v>
      </c>
    </row>
    <row r="136" spans="1:25">
      <c r="A136" s="182">
        <v>121</v>
      </c>
      <c r="B136" s="149" t="s">
        <v>192</v>
      </c>
      <c r="C136" s="148" t="s">
        <v>53</v>
      </c>
      <c r="D136" s="33">
        <v>155901595239.16721</v>
      </c>
      <c r="E136" s="34">
        <f t="shared" si="79"/>
        <v>8.501023041566913E-2</v>
      </c>
      <c r="F136" s="39">
        <v>171775.861672</v>
      </c>
      <c r="G136" s="39">
        <v>171775.861672</v>
      </c>
      <c r="H136" s="35">
        <v>4064</v>
      </c>
      <c r="I136" s="57">
        <v>5.6099999999999997E-2</v>
      </c>
      <c r="J136" s="57">
        <v>5.74E-2</v>
      </c>
      <c r="K136" s="33">
        <f>114328538.08*1394.14</f>
        <v>159389988078.8512</v>
      </c>
      <c r="L136" s="34">
        <f t="shared" si="68"/>
        <v>8.5180741587396566E-2</v>
      </c>
      <c r="M136" s="39">
        <f>126.0488435*1394.14</f>
        <v>175729.73467709002</v>
      </c>
      <c r="N136" s="39">
        <f>126.0488435*1394.14</f>
        <v>175729.73467709002</v>
      </c>
      <c r="O136" s="35">
        <v>4287</v>
      </c>
      <c r="P136" s="57">
        <v>1.2999999999999999E-3</v>
      </c>
      <c r="Q136" s="57">
        <v>5.8799999999999998E-2</v>
      </c>
      <c r="R136" s="63">
        <f t="shared" si="82"/>
        <v>2.2375607089410977E-2</v>
      </c>
      <c r="S136" s="63">
        <f t="shared" si="83"/>
        <v>2.3017628708740238E-2</v>
      </c>
      <c r="T136" s="63">
        <f t="shared" si="84"/>
        <v>5.4872047244094488E-2</v>
      </c>
      <c r="U136" s="63">
        <f t="shared" si="85"/>
        <v>-5.4799999999999995E-2</v>
      </c>
      <c r="V136" s="64">
        <f t="shared" si="86"/>
        <v>1.3999999999999985E-3</v>
      </c>
    </row>
    <row r="137" spans="1:25" ht="6" customHeight="1">
      <c r="A137" s="77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</row>
    <row r="138" spans="1:25">
      <c r="A138" s="193" t="s">
        <v>193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5">
      <c r="A139" s="182">
        <v>122</v>
      </c>
      <c r="B139" s="149" t="s">
        <v>194</v>
      </c>
      <c r="C139" s="148" t="s">
        <v>64</v>
      </c>
      <c r="D139" s="33">
        <v>1543058314.9359863</v>
      </c>
      <c r="E139" s="34">
        <f>(D139/$D$158)</f>
        <v>8.4140090225688093E-4</v>
      </c>
      <c r="F139" s="39">
        <v>167506.75884400003</v>
      </c>
      <c r="G139" s="39">
        <v>167506.75884400003</v>
      </c>
      <c r="H139" s="35">
        <v>23</v>
      </c>
      <c r="I139" s="57">
        <v>-1.2999999999999999E-3</v>
      </c>
      <c r="J139" s="57">
        <v>5.6000000000000001E-2</v>
      </c>
      <c r="K139" s="33">
        <f>1183032.44*W139</f>
        <v>1648266572.0116639</v>
      </c>
      <c r="L139" s="34">
        <f t="shared" ref="L139:L156" si="87">(K139/$K$158)</f>
        <v>8.8086190751336592E-4</v>
      </c>
      <c r="M139" s="39">
        <f>123.04*W139</f>
        <v>171426.169024</v>
      </c>
      <c r="N139" s="39">
        <f>123.04*W139</f>
        <v>171426.169024</v>
      </c>
      <c r="O139" s="35">
        <v>23</v>
      </c>
      <c r="P139" s="57">
        <v>-6.6E-3</v>
      </c>
      <c r="Q139" s="57">
        <v>5.8999999999999997E-2</v>
      </c>
      <c r="R139" s="63">
        <f>((K139-D139)/D139)</f>
        <v>6.8181646835584558E-2</v>
      </c>
      <c r="S139" s="63">
        <f>((N139-G139)/G139)</f>
        <v>2.3398519600335326E-2</v>
      </c>
      <c r="T139" s="63">
        <f>((O139-H139)/H139)</f>
        <v>0</v>
      </c>
      <c r="U139" s="63">
        <f>P139-I139</f>
        <v>-5.3E-3</v>
      </c>
      <c r="V139" s="64">
        <f>Q139-J139</f>
        <v>2.9999999999999957E-3</v>
      </c>
      <c r="W139" s="84">
        <v>1393.2556</v>
      </c>
      <c r="Y139" s="124"/>
    </row>
    <row r="140" spans="1:25">
      <c r="A140" s="182">
        <v>123</v>
      </c>
      <c r="B140" s="148" t="s">
        <v>195</v>
      </c>
      <c r="C140" s="148" t="s">
        <v>26</v>
      </c>
      <c r="D140" s="39">
        <v>27825595767.254776</v>
      </c>
      <c r="E140" s="34">
        <f t="shared" ref="E140:E157" si="88">(D140/$D$158)</f>
        <v>1.5172778084783324E-2</v>
      </c>
      <c r="F140" s="33">
        <v>186348.88327200004</v>
      </c>
      <c r="G140" s="33">
        <v>186348.88327200004</v>
      </c>
      <c r="H140" s="35">
        <v>669</v>
      </c>
      <c r="I140" s="57">
        <v>5.0000000000000001E-4</v>
      </c>
      <c r="J140" s="57">
        <v>7.7999999999999996E-3</v>
      </c>
      <c r="K140" s="39">
        <f>19979267.28*W139</f>
        <v>27836226021.756767</v>
      </c>
      <c r="L140" s="34">
        <f t="shared" si="87"/>
        <v>1.4876156301326934E-2</v>
      </c>
      <c r="M140" s="33">
        <f>136.81*W139</f>
        <v>190611.29863599999</v>
      </c>
      <c r="N140" s="33">
        <f>136.81*W139</f>
        <v>190611.29863599999</v>
      </c>
      <c r="O140" s="35">
        <v>670</v>
      </c>
      <c r="P140" s="57">
        <v>5.0000000000000001E-4</v>
      </c>
      <c r="Q140" s="57">
        <v>8.8000000000000005E-3</v>
      </c>
      <c r="R140" s="63">
        <f t="shared" ref="R140:R158" si="89">((K140-D140)/D140)</f>
        <v>3.8203151482927021E-4</v>
      </c>
      <c r="S140" s="63">
        <f t="shared" ref="S140:S158" si="90">((N140-G140)/G140)</f>
        <v>2.2873307793202152E-2</v>
      </c>
      <c r="T140" s="63">
        <f t="shared" ref="T140:T158" si="91">((O140-H140)/H140)</f>
        <v>1.4947683109118087E-3</v>
      </c>
      <c r="U140" s="63">
        <f t="shared" ref="U140:U158" si="92">P140-I140</f>
        <v>0</v>
      </c>
      <c r="V140" s="64">
        <f t="shared" ref="V140:V158" si="93">Q140-J140</f>
        <v>1.0000000000000009E-3</v>
      </c>
    </row>
    <row r="141" spans="1:25">
      <c r="A141" s="182">
        <v>124</v>
      </c>
      <c r="B141" s="148" t="s">
        <v>196</v>
      </c>
      <c r="C141" s="148" t="s">
        <v>137</v>
      </c>
      <c r="D141" s="39">
        <v>499845084.98140448</v>
      </c>
      <c r="E141" s="34">
        <f t="shared" si="88"/>
        <v>2.7255619662661188E-4</v>
      </c>
      <c r="F141" s="33">
        <v>136339.54</v>
      </c>
      <c r="G141" s="33">
        <v>136339.54</v>
      </c>
      <c r="H141" s="35">
        <v>19</v>
      </c>
      <c r="I141" s="57">
        <v>5.9999999999999995E-4</v>
      </c>
      <c r="J141" s="57">
        <v>3.3E-4</v>
      </c>
      <c r="K141" s="39">
        <f>403658.092399636*W139</f>
        <v>562398897.72111022</v>
      </c>
      <c r="L141" s="34">
        <f t="shared" si="87"/>
        <v>3.0055561050747675E-4</v>
      </c>
      <c r="M141" s="33">
        <f>100*W139</f>
        <v>139325.56</v>
      </c>
      <c r="N141" s="33">
        <f>100*W139</f>
        <v>139325.56</v>
      </c>
      <c r="O141" s="35">
        <v>22</v>
      </c>
      <c r="P141" s="57">
        <v>8.0000000000000004E-4</v>
      </c>
      <c r="Q141" s="57">
        <v>4.2999999999999999E-4</v>
      </c>
      <c r="R141" s="63">
        <v>0</v>
      </c>
      <c r="S141" s="63">
        <f t="shared" ref="S141" si="94">((N141-G141)/G141)</f>
        <v>2.190135011457417E-2</v>
      </c>
      <c r="T141" s="63">
        <f t="shared" ref="T141" si="95">((O141-H141)/H141)</f>
        <v>0.15789473684210525</v>
      </c>
      <c r="U141" s="63">
        <f t="shared" ref="U141" si="96">P141-I141</f>
        <v>2.0000000000000009E-4</v>
      </c>
      <c r="V141" s="64">
        <f t="shared" ref="V141" si="97">Q141-J141</f>
        <v>9.9999999999999991E-5</v>
      </c>
    </row>
    <row r="142" spans="1:25">
      <c r="A142" s="182">
        <v>125</v>
      </c>
      <c r="B142" s="149" t="s">
        <v>197</v>
      </c>
      <c r="C142" s="148" t="s">
        <v>73</v>
      </c>
      <c r="D142" s="33">
        <v>17298086445.189999</v>
      </c>
      <c r="E142" s="34">
        <f t="shared" si="88"/>
        <v>9.432323718047031E-3</v>
      </c>
      <c r="F142" s="33">
        <v>164252.62</v>
      </c>
      <c r="G142" s="33">
        <v>164252.62</v>
      </c>
      <c r="H142" s="35">
        <v>467</v>
      </c>
      <c r="I142" s="57">
        <v>1.1000000000000001E-3</v>
      </c>
      <c r="J142" s="57">
        <v>6.7799999999999999E-2</v>
      </c>
      <c r="K142" s="33">
        <v>17679257713.310001</v>
      </c>
      <c r="L142" s="34">
        <f t="shared" ref="L142:L143" si="98">(K142/$K$116)</f>
        <v>7.278540699903914E-2</v>
      </c>
      <c r="M142" s="33">
        <v>167310.57</v>
      </c>
      <c r="N142" s="33">
        <v>167310.57</v>
      </c>
      <c r="O142" s="35">
        <v>470</v>
      </c>
      <c r="P142" s="57">
        <v>1.2999999999999999E-3</v>
      </c>
      <c r="Q142" s="57">
        <v>6.4699999999999994E-2</v>
      </c>
      <c r="R142" s="63">
        <f t="shared" si="89"/>
        <v>2.203545862299661E-2</v>
      </c>
      <c r="S142" s="63">
        <f t="shared" si="90"/>
        <v>1.861735904121354E-2</v>
      </c>
      <c r="T142" s="63">
        <f t="shared" si="91"/>
        <v>6.4239828693790149E-3</v>
      </c>
      <c r="U142" s="63">
        <f t="shared" si="92"/>
        <v>1.9999999999999987E-4</v>
      </c>
      <c r="V142" s="64">
        <f t="shared" si="93"/>
        <v>-3.1000000000000055E-3</v>
      </c>
    </row>
    <row r="143" spans="1:25">
      <c r="A143" s="182">
        <v>126</v>
      </c>
      <c r="B143" s="149" t="s">
        <v>198</v>
      </c>
      <c r="C143" s="148" t="s">
        <v>75</v>
      </c>
      <c r="D143" s="39">
        <v>131340282.64914201</v>
      </c>
      <c r="E143" s="34">
        <f t="shared" ref="E143" si="99">(D143/$D$116)</f>
        <v>5.3374675146813629E-4</v>
      </c>
      <c r="F143" s="38">
        <v>1460.46915248</v>
      </c>
      <c r="G143" s="38">
        <v>1460.46915248</v>
      </c>
      <c r="H143" s="35">
        <v>5</v>
      </c>
      <c r="I143" s="57">
        <v>-1E-3</v>
      </c>
      <c r="J143" s="57">
        <v>0.1278</v>
      </c>
      <c r="K143" s="39">
        <f>106413.34*W139</f>
        <v>148260981.86970398</v>
      </c>
      <c r="L143" s="34">
        <f t="shared" si="98"/>
        <v>6.1038964884477481E-4</v>
      </c>
      <c r="M143" s="38">
        <f>1.07*W139</f>
        <v>1490.783492</v>
      </c>
      <c r="N143" s="38">
        <f>1.07*W139</f>
        <v>1490.783492</v>
      </c>
      <c r="O143" s="35">
        <v>5</v>
      </c>
      <c r="P143" s="57">
        <v>-1.1000000000000001E-3</v>
      </c>
      <c r="Q143" s="57">
        <v>0.12659999999999999</v>
      </c>
      <c r="R143" s="62">
        <f t="shared" si="89"/>
        <v>0.12883099441595805</v>
      </c>
      <c r="S143" s="62">
        <f t="shared" si="90"/>
        <v>2.0756576384050061E-2</v>
      </c>
      <c r="T143" s="62">
        <f t="shared" si="91"/>
        <v>0</v>
      </c>
      <c r="U143" s="63">
        <f t="shared" si="92"/>
        <v>-1.0000000000000005E-4</v>
      </c>
      <c r="V143" s="64">
        <f t="shared" si="93"/>
        <v>-1.2000000000000066E-3</v>
      </c>
    </row>
    <row r="144" spans="1:25">
      <c r="A144" s="182">
        <v>127</v>
      </c>
      <c r="B144" s="149" t="s">
        <v>199</v>
      </c>
      <c r="C144" s="148" t="s">
        <v>71</v>
      </c>
      <c r="D144" s="33">
        <v>10941317732.389099</v>
      </c>
      <c r="E144" s="34">
        <f t="shared" si="88"/>
        <v>5.9660963703068544E-3</v>
      </c>
      <c r="F144" s="33">
        <v>1848.2035648757201</v>
      </c>
      <c r="G144" s="33">
        <v>1848.2035648757201</v>
      </c>
      <c r="H144" s="35">
        <v>326</v>
      </c>
      <c r="I144" s="57">
        <v>6.9599999999999995E-2</v>
      </c>
      <c r="J144" s="57">
        <v>7.2499999999999995E-2</v>
      </c>
      <c r="K144" s="33">
        <v>11791522092.171801</v>
      </c>
      <c r="L144" s="34">
        <f t="shared" si="87"/>
        <v>6.3015915137560321E-3</v>
      </c>
      <c r="M144" s="33">
        <v>1883.1186653833599</v>
      </c>
      <c r="N144" s="33">
        <v>1883.1186653833599</v>
      </c>
      <c r="O144" s="35">
        <v>330</v>
      </c>
      <c r="P144" s="57">
        <v>8.1500000000000003E-2</v>
      </c>
      <c r="Q144" s="57">
        <v>7.3599999999999999E-2</v>
      </c>
      <c r="R144" s="63">
        <f t="shared" si="89"/>
        <v>7.7705846825550012E-2</v>
      </c>
      <c r="S144" s="63">
        <f t="shared" si="90"/>
        <v>1.8891371692591492E-2</v>
      </c>
      <c r="T144" s="62">
        <f t="shared" si="91"/>
        <v>1.2269938650306749E-2</v>
      </c>
      <c r="U144" s="63">
        <f t="shared" si="92"/>
        <v>1.1900000000000008E-2</v>
      </c>
      <c r="V144" s="64">
        <f t="shared" si="93"/>
        <v>1.1000000000000038E-3</v>
      </c>
    </row>
    <row r="145" spans="1:24">
      <c r="A145" s="182">
        <v>128</v>
      </c>
      <c r="B145" s="149" t="s">
        <v>200</v>
      </c>
      <c r="C145" s="148" t="s">
        <v>94</v>
      </c>
      <c r="D145" s="33">
        <v>412275553.46733606</v>
      </c>
      <c r="E145" s="34">
        <f t="shared" si="88"/>
        <v>2.2480616533294284E-4</v>
      </c>
      <c r="F145" s="33">
        <v>1417.9312160000002</v>
      </c>
      <c r="G145" s="33">
        <v>1417.9312160000002</v>
      </c>
      <c r="H145" s="35">
        <v>12</v>
      </c>
      <c r="I145" s="57">
        <v>5.9999999999999995E-4</v>
      </c>
      <c r="J145" s="57">
        <v>4.1999999999999997E-3</v>
      </c>
      <c r="K145" s="33">
        <f>200388.4*W139</f>
        <v>279192260.47503996</v>
      </c>
      <c r="L145" s="34">
        <f t="shared" si="87"/>
        <v>1.4920512937713809E-4</v>
      </c>
      <c r="M145" s="33">
        <f>1.04*W139</f>
        <v>1448.9858240000001</v>
      </c>
      <c r="N145" s="33">
        <f>1.04*W139</f>
        <v>1448.9858240000001</v>
      </c>
      <c r="O145" s="35">
        <v>11</v>
      </c>
      <c r="P145" s="57">
        <v>6.8900000000000003E-2</v>
      </c>
      <c r="Q145" s="57">
        <v>6.8900000000000003E-2</v>
      </c>
      <c r="R145" s="63">
        <f t="shared" si="89"/>
        <v>-0.32280180542608883</v>
      </c>
      <c r="S145" s="63">
        <f t="shared" si="90"/>
        <v>2.1901350114574183E-2</v>
      </c>
      <c r="T145" s="62">
        <f t="shared" si="91"/>
        <v>-8.3333333333333329E-2</v>
      </c>
      <c r="U145" s="63">
        <f t="shared" si="92"/>
        <v>6.83E-2</v>
      </c>
      <c r="V145" s="64">
        <f t="shared" si="93"/>
        <v>6.4700000000000008E-2</v>
      </c>
    </row>
    <row r="146" spans="1:24">
      <c r="A146" s="182">
        <v>129</v>
      </c>
      <c r="B146" s="149" t="s">
        <v>201</v>
      </c>
      <c r="C146" s="148" t="s">
        <v>38</v>
      </c>
      <c r="D146" s="33">
        <v>123381316547.57001</v>
      </c>
      <c r="E146" s="34">
        <f t="shared" si="88"/>
        <v>6.7277529345398671E-2</v>
      </c>
      <c r="F146" s="33">
        <v>100</v>
      </c>
      <c r="G146" s="33">
        <v>100</v>
      </c>
      <c r="H146" s="35">
        <v>2765</v>
      </c>
      <c r="I146" s="57">
        <v>5.1999999999999998E-2</v>
      </c>
      <c r="J146" s="57">
        <v>5.2299999999999999E-2</v>
      </c>
      <c r="K146" s="33">
        <v>127217925606.40401</v>
      </c>
      <c r="L146" s="34">
        <f t="shared" si="87"/>
        <v>6.7987439970212241E-2</v>
      </c>
      <c r="M146" s="33">
        <v>100</v>
      </c>
      <c r="N146" s="33">
        <v>100</v>
      </c>
      <c r="O146" s="35">
        <v>2833</v>
      </c>
      <c r="P146" s="57">
        <v>6.08E-2</v>
      </c>
      <c r="Q146" s="57">
        <v>5.2299999999999999E-2</v>
      </c>
      <c r="R146" s="63">
        <f t="shared" si="89"/>
        <v>3.1095543200455187E-2</v>
      </c>
      <c r="S146" s="63">
        <f t="shared" si="90"/>
        <v>0</v>
      </c>
      <c r="T146" s="63">
        <f t="shared" si="91"/>
        <v>2.4593128390596745E-2</v>
      </c>
      <c r="U146" s="63">
        <f t="shared" si="92"/>
        <v>8.8000000000000023E-3</v>
      </c>
      <c r="V146" s="64">
        <f t="shared" si="93"/>
        <v>0</v>
      </c>
    </row>
    <row r="147" spans="1:24" ht="15.6">
      <c r="A147" s="182">
        <v>130</v>
      </c>
      <c r="B147" s="149" t="s">
        <v>202</v>
      </c>
      <c r="C147" s="148" t="s">
        <v>151</v>
      </c>
      <c r="D147" s="33">
        <v>1361462187.1265242</v>
      </c>
      <c r="E147" s="34">
        <f t="shared" si="88"/>
        <v>7.4237992274738267E-4</v>
      </c>
      <c r="F147" s="33">
        <v>1554.2707559999999</v>
      </c>
      <c r="G147" s="33">
        <v>1554.2707559999999</v>
      </c>
      <c r="H147" s="35">
        <v>53</v>
      </c>
      <c r="I147" s="57">
        <v>1.9E-3</v>
      </c>
      <c r="J147" s="57">
        <v>0.12559999999999999</v>
      </c>
      <c r="K147" s="33">
        <f>1100295.74*W139</f>
        <v>1532993201.411144</v>
      </c>
      <c r="L147" s="34">
        <f t="shared" si="87"/>
        <v>8.1925784246899484E-4</v>
      </c>
      <c r="M147" s="33">
        <f>1.14*W139</f>
        <v>1588.3113839999999</v>
      </c>
      <c r="N147" s="33">
        <f>1.14*W139</f>
        <v>1588.3113839999999</v>
      </c>
      <c r="O147" s="35">
        <v>53</v>
      </c>
      <c r="P147" s="57">
        <v>1.9E-3</v>
      </c>
      <c r="Q147" s="57">
        <v>0.12659999999999999</v>
      </c>
      <c r="R147" s="63">
        <f t="shared" si="89"/>
        <v>0.12599028890155947</v>
      </c>
      <c r="S147" s="63">
        <f t="shared" si="90"/>
        <v>2.1901350114574229E-2</v>
      </c>
      <c r="T147" s="63">
        <f t="shared" si="91"/>
        <v>0</v>
      </c>
      <c r="U147" s="63">
        <f t="shared" si="92"/>
        <v>0</v>
      </c>
      <c r="V147" s="64">
        <f t="shared" si="93"/>
        <v>1.0000000000000009E-3</v>
      </c>
      <c r="X147" s="85"/>
    </row>
    <row r="148" spans="1:24" ht="15.6">
      <c r="A148" s="182">
        <v>131</v>
      </c>
      <c r="B148" s="149" t="s">
        <v>329</v>
      </c>
      <c r="C148" s="148" t="s">
        <v>44</v>
      </c>
      <c r="D148" s="39">
        <v>11437631037.138901</v>
      </c>
      <c r="E148" s="34">
        <f t="shared" si="88"/>
        <v>6.2367267530839959E-3</v>
      </c>
      <c r="F148" s="33">
        <v>14724.670320000003</v>
      </c>
      <c r="G148" s="33">
        <v>14724.670320000003</v>
      </c>
      <c r="H148" s="35">
        <v>187</v>
      </c>
      <c r="I148" s="57">
        <v>5.5100000000000003E-2</v>
      </c>
      <c r="J148" s="57">
        <v>7.4999999999999997E-2</v>
      </c>
      <c r="K148" s="39">
        <f>7982893.38*W139</f>
        <v>11122210905.887928</v>
      </c>
      <c r="L148" s="34">
        <f t="shared" si="87"/>
        <v>5.9439001437548251E-3</v>
      </c>
      <c r="M148" s="33">
        <f>10.65*W139</f>
        <v>14838.172140000001</v>
      </c>
      <c r="N148" s="33">
        <f>10.65*W139</f>
        <v>14838.172140000001</v>
      </c>
      <c r="O148" s="35">
        <v>187</v>
      </c>
      <c r="P148" s="57">
        <v>5.5800000000000002E-2</v>
      </c>
      <c r="Q148" s="57">
        <v>7.5600000000000001E-2</v>
      </c>
      <c r="R148" s="63">
        <f t="shared" si="89"/>
        <v>-2.7577400444793017E-2</v>
      </c>
      <c r="S148" s="63">
        <f t="shared" si="90"/>
        <v>7.708275807427222E-3</v>
      </c>
      <c r="T148" s="63">
        <f t="shared" si="91"/>
        <v>0</v>
      </c>
      <c r="U148" s="63">
        <f t="shared" si="92"/>
        <v>6.9999999999999923E-4</v>
      </c>
      <c r="V148" s="64">
        <f t="shared" si="93"/>
        <v>6.0000000000000331E-4</v>
      </c>
      <c r="X148" s="85"/>
    </row>
    <row r="149" spans="1:24" ht="15.6">
      <c r="A149" s="182">
        <v>132</v>
      </c>
      <c r="B149" s="148" t="s">
        <v>203</v>
      </c>
      <c r="C149" s="151" t="s">
        <v>48</v>
      </c>
      <c r="D149" s="33">
        <v>30007129760.369999</v>
      </c>
      <c r="E149" s="34">
        <f t="shared" si="88"/>
        <v>1.6362327858984407E-2</v>
      </c>
      <c r="F149" s="33">
        <v>1499.7349400000003</v>
      </c>
      <c r="G149" s="33">
        <v>1499.7349400000003</v>
      </c>
      <c r="H149" s="35">
        <v>737</v>
      </c>
      <c r="I149" s="57">
        <v>1.8E-3</v>
      </c>
      <c r="J149" s="57">
        <v>5.7000000000000002E-2</v>
      </c>
      <c r="K149" s="33">
        <v>30965087261.540001</v>
      </c>
      <c r="L149" s="34">
        <f t="shared" si="87"/>
        <v>1.6548273376816948E-2</v>
      </c>
      <c r="M149" s="33">
        <f>1.09*W139</f>
        <v>1518.648604</v>
      </c>
      <c r="N149" s="33">
        <f>1.1*W139</f>
        <v>1532.5811600000002</v>
      </c>
      <c r="O149" s="35">
        <v>741</v>
      </c>
      <c r="P149" s="57">
        <v>-4.1999999999999997E-3</v>
      </c>
      <c r="Q149" s="57">
        <v>5.5E-2</v>
      </c>
      <c r="R149" s="63">
        <f t="shared" si="89"/>
        <v>3.1924329611663263E-2</v>
      </c>
      <c r="S149" s="63">
        <f t="shared" si="90"/>
        <v>2.1901350114574177E-2</v>
      </c>
      <c r="T149" s="63">
        <f t="shared" si="91"/>
        <v>5.4274084124830389E-3</v>
      </c>
      <c r="U149" s="63">
        <f t="shared" si="92"/>
        <v>-6.0000000000000001E-3</v>
      </c>
      <c r="V149" s="64">
        <f t="shared" si="93"/>
        <v>-2.0000000000000018E-3</v>
      </c>
      <c r="X149" s="85"/>
    </row>
    <row r="150" spans="1:24">
      <c r="A150" s="182">
        <v>133</v>
      </c>
      <c r="B150" s="149" t="s">
        <v>204</v>
      </c>
      <c r="C150" s="148" t="s">
        <v>106</v>
      </c>
      <c r="D150" s="39">
        <v>412891323.12349999</v>
      </c>
      <c r="E150" s="34">
        <f t="shared" si="88"/>
        <v>2.2514193303482664E-4</v>
      </c>
      <c r="F150" s="33">
        <v>1726.6157999999998</v>
      </c>
      <c r="G150" s="33">
        <v>1726.6157999999998</v>
      </c>
      <c r="H150" s="35">
        <v>2</v>
      </c>
      <c r="I150" s="57">
        <v>-5.6769E-2</v>
      </c>
      <c r="J150" s="57">
        <v>-5.5378999999999998E-2</v>
      </c>
      <c r="K150" s="39">
        <f>309791.22*1345.33</f>
        <v>416771422.00259995</v>
      </c>
      <c r="L150" s="34">
        <f t="shared" si="87"/>
        <v>2.2272979141608793E-4</v>
      </c>
      <c r="M150" s="33">
        <f>1.24*1345.33</f>
        <v>1668.2092</v>
      </c>
      <c r="N150" s="33">
        <f>1.24*1345.33</f>
        <v>1668.2092</v>
      </c>
      <c r="O150" s="35">
        <v>2</v>
      </c>
      <c r="P150" s="57">
        <v>1.6999999999999999E-3</v>
      </c>
      <c r="Q150" s="57">
        <v>1.5E-3</v>
      </c>
      <c r="R150" s="63">
        <f t="shared" si="89"/>
        <v>9.3973853694653397E-3</v>
      </c>
      <c r="S150" s="63">
        <f t="shared" si="90"/>
        <v>-3.3827212747618671E-2</v>
      </c>
      <c r="T150" s="63">
        <f t="shared" si="91"/>
        <v>0</v>
      </c>
      <c r="U150" s="63">
        <f t="shared" ref="U150" si="100">P150-I150</f>
        <v>5.8469E-2</v>
      </c>
      <c r="V150" s="64">
        <f t="shared" ref="V150" si="101">Q150-J150</f>
        <v>5.6878999999999999E-2</v>
      </c>
    </row>
    <row r="151" spans="1:24">
      <c r="A151" s="182">
        <v>134</v>
      </c>
      <c r="B151" s="149" t="s">
        <v>205</v>
      </c>
      <c r="C151" s="148" t="s">
        <v>111</v>
      </c>
      <c r="D151" s="39">
        <v>754078875.68501413</v>
      </c>
      <c r="E151" s="34">
        <f t="shared" si="88"/>
        <v>4.1118513813299842E-4</v>
      </c>
      <c r="F151" s="33">
        <v>1470.2855993600001</v>
      </c>
      <c r="G151" s="33">
        <v>1470.2855993600001</v>
      </c>
      <c r="H151" s="35">
        <v>11</v>
      </c>
      <c r="I151" s="57">
        <v>-1.6999999999999999E-3</v>
      </c>
      <c r="J151" s="57">
        <v>9.4000000000000004E-3</v>
      </c>
      <c r="K151" s="39">
        <f>552123.32*W139</f>
        <v>769248907.48059189</v>
      </c>
      <c r="L151" s="34">
        <f t="shared" si="87"/>
        <v>4.1109980114984211E-4</v>
      </c>
      <c r="M151" s="33">
        <f>1.0765*W139</f>
        <v>1499.8396533999999</v>
      </c>
      <c r="N151" s="33">
        <f>1.0765*W139</f>
        <v>1499.8396533999999</v>
      </c>
      <c r="O151" s="35">
        <v>11</v>
      </c>
      <c r="P151" s="57">
        <v>-1.6999999999999999E-3</v>
      </c>
      <c r="Q151" s="57">
        <v>7.6E-3</v>
      </c>
      <c r="R151" s="63">
        <f t="shared" ref="R151" si="102">((K151-D151)/D151)</f>
        <v>2.0117301100361855E-2</v>
      </c>
      <c r="S151" s="63">
        <f t="shared" ref="S151" si="103">((N151-G151)/G151)</f>
        <v>2.0100893358993874E-2</v>
      </c>
      <c r="T151" s="63">
        <f t="shared" si="91"/>
        <v>0</v>
      </c>
      <c r="U151" s="63">
        <f t="shared" si="92"/>
        <v>0</v>
      </c>
      <c r="V151" s="64">
        <f t="shared" si="93"/>
        <v>-1.8000000000000004E-3</v>
      </c>
    </row>
    <row r="152" spans="1:24">
      <c r="A152" s="182">
        <v>135</v>
      </c>
      <c r="B152" s="149" t="s">
        <v>206</v>
      </c>
      <c r="C152" s="148" t="s">
        <v>50</v>
      </c>
      <c r="D152" s="39">
        <v>905366421582.05005</v>
      </c>
      <c r="E152" s="34">
        <f t="shared" si="88"/>
        <v>0.49367941355075934</v>
      </c>
      <c r="F152" s="33">
        <v>2295.6</v>
      </c>
      <c r="G152" s="33">
        <v>2295.6</v>
      </c>
      <c r="H152" s="35">
        <v>13274</v>
      </c>
      <c r="I152" s="57">
        <v>6.9999999999999999E-4</v>
      </c>
      <c r="J152" s="57">
        <v>5.7000000000000002E-3</v>
      </c>
      <c r="K152" s="39">
        <v>920305616806.39001</v>
      </c>
      <c r="L152" s="34">
        <f t="shared" si="87"/>
        <v>0.49182709573849492</v>
      </c>
      <c r="M152" s="33">
        <v>2346.9</v>
      </c>
      <c r="N152" s="33">
        <v>2346.9</v>
      </c>
      <c r="O152" s="35">
        <v>13303</v>
      </c>
      <c r="P152" s="57">
        <v>6.9999999999999999E-4</v>
      </c>
      <c r="Q152" s="57">
        <v>6.3E-3</v>
      </c>
      <c r="R152" s="63">
        <f t="shared" si="89"/>
        <v>1.650071713310839E-2</v>
      </c>
      <c r="S152" s="63">
        <f t="shared" si="90"/>
        <v>2.2347098797700027E-2</v>
      </c>
      <c r="T152" s="63">
        <f t="shared" si="91"/>
        <v>2.1847220129576615E-3</v>
      </c>
      <c r="U152" s="63">
        <f t="shared" si="92"/>
        <v>0</v>
      </c>
      <c r="V152" s="64">
        <f t="shared" si="93"/>
        <v>5.9999999999999984E-4</v>
      </c>
    </row>
    <row r="153" spans="1:24">
      <c r="A153" s="182">
        <v>136</v>
      </c>
      <c r="B153" s="149" t="s">
        <v>207</v>
      </c>
      <c r="C153" s="149" t="s">
        <v>116</v>
      </c>
      <c r="D153" s="39">
        <v>557430876.29350603</v>
      </c>
      <c r="E153" s="34">
        <f t="shared" si="88"/>
        <v>3.0395665395099289E-4</v>
      </c>
      <c r="F153" s="33">
        <v>158086.65100678001</v>
      </c>
      <c r="G153" s="33">
        <v>158086.65100678001</v>
      </c>
      <c r="H153" s="35">
        <v>31</v>
      </c>
      <c r="I153" s="57">
        <v>5.8999999999999999E-3</v>
      </c>
      <c r="J153" s="57">
        <v>0.02</v>
      </c>
      <c r="K153" s="39">
        <f>407680.67*W139</f>
        <v>568003376.48925197</v>
      </c>
      <c r="L153" s="34">
        <f t="shared" si="87"/>
        <v>3.0355074002241821E-4</v>
      </c>
      <c r="M153" s="33">
        <f>115.62*W139</f>
        <v>161088.21247200001</v>
      </c>
      <c r="N153" s="33">
        <f>115.62*W139</f>
        <v>161088.21247200001</v>
      </c>
      <c r="O153" s="35">
        <v>32</v>
      </c>
      <c r="P153" s="57">
        <v>-2.8999999999999998E-3</v>
      </c>
      <c r="Q153" s="57">
        <v>1.6899999999999998E-2</v>
      </c>
      <c r="R153" s="63">
        <f t="shared" ref="R153" si="104">((K153-D153)/D153)</f>
        <v>1.8966477540758201E-2</v>
      </c>
      <c r="S153" s="63">
        <f t="shared" ref="S153" si="105">((N153-G153)/G153)</f>
        <v>1.8986811638455618E-2</v>
      </c>
      <c r="T153" s="63">
        <f t="shared" ref="T153" si="106">((O153-H153)/H153)</f>
        <v>3.2258064516129031E-2</v>
      </c>
      <c r="U153" s="63">
        <f t="shared" ref="U153" si="107">P153-I153</f>
        <v>-8.7999999999999988E-3</v>
      </c>
      <c r="V153" s="64">
        <f t="shared" ref="V153" si="108">Q153-J153</f>
        <v>-3.1000000000000021E-3</v>
      </c>
    </row>
    <row r="154" spans="1:24" ht="16.5" customHeight="1">
      <c r="A154" s="182">
        <v>137</v>
      </c>
      <c r="B154" s="149" t="s">
        <v>208</v>
      </c>
      <c r="C154" s="148" t="s">
        <v>53</v>
      </c>
      <c r="D154" s="39">
        <v>188165961259.32877</v>
      </c>
      <c r="E154" s="34">
        <f t="shared" si="88"/>
        <v>0.10260338708210166</v>
      </c>
      <c r="F154" s="33">
        <v>1716.8893919999998</v>
      </c>
      <c r="G154" s="33">
        <v>1716.8893919999998</v>
      </c>
      <c r="H154" s="35">
        <v>984</v>
      </c>
      <c r="I154" s="57">
        <v>5.5100000000000003E-2</v>
      </c>
      <c r="J154" s="57">
        <v>5.3100000000000001E-2</v>
      </c>
      <c r="K154" s="39">
        <f>138985275.43*1394.14</f>
        <v>193764931887.98022</v>
      </c>
      <c r="L154" s="34">
        <f t="shared" si="87"/>
        <v>0.10355130074847861</v>
      </c>
      <c r="M154" s="33">
        <f>1.25976221*1394.14</f>
        <v>1756.2848874494002</v>
      </c>
      <c r="N154" s="33">
        <f>1.25976221*1394.14</f>
        <v>1756.2848874494002</v>
      </c>
      <c r="O154" s="35">
        <v>992</v>
      </c>
      <c r="P154" s="57">
        <v>1.1999999999999999E-3</v>
      </c>
      <c r="Q154" s="57">
        <v>5.4100000000000002E-2</v>
      </c>
      <c r="R154" s="63">
        <f t="shared" si="89"/>
        <v>2.9755491328928529E-2</v>
      </c>
      <c r="S154" s="63">
        <f t="shared" si="90"/>
        <v>2.2945855238530367E-2</v>
      </c>
      <c r="T154" s="63">
        <f t="shared" si="91"/>
        <v>8.130081300813009E-3</v>
      </c>
      <c r="U154" s="63">
        <f t="shared" si="92"/>
        <v>-5.3900000000000003E-2</v>
      </c>
      <c r="V154" s="64">
        <f t="shared" si="93"/>
        <v>1.0000000000000009E-3</v>
      </c>
    </row>
    <row r="155" spans="1:24" ht="16.5" customHeight="1">
      <c r="A155" s="182">
        <v>138</v>
      </c>
      <c r="B155" s="149" t="s">
        <v>209</v>
      </c>
      <c r="C155" s="148" t="s">
        <v>113</v>
      </c>
      <c r="D155" s="33">
        <v>2342063395.8942041</v>
      </c>
      <c r="E155" s="34">
        <f t="shared" si="88"/>
        <v>1.2770834617030977E-3</v>
      </c>
      <c r="F155" s="33">
        <v>156081.50539200002</v>
      </c>
      <c r="G155" s="33">
        <v>156081.50539200002</v>
      </c>
      <c r="H155" s="35">
        <v>32</v>
      </c>
      <c r="I155" s="57">
        <v>1.1000000000000001E-3</v>
      </c>
      <c r="J155" s="57">
        <v>2.3900000000000001E-2</v>
      </c>
      <c r="K155" s="33">
        <f>1708942.39485676*W139</f>
        <v>2380993561.7115922</v>
      </c>
      <c r="L155" s="34">
        <f t="shared" si="87"/>
        <v>1.27244376981242E-3</v>
      </c>
      <c r="M155" s="33">
        <f>113.88*W139</f>
        <v>158663.947728</v>
      </c>
      <c r="N155" s="33">
        <f>113.88*W139</f>
        <v>158663.947728</v>
      </c>
      <c r="O155" s="35">
        <v>32</v>
      </c>
      <c r="P155" s="57">
        <v>-4.7999999999999996E-3</v>
      </c>
      <c r="Q155" s="57">
        <v>1.9E-2</v>
      </c>
      <c r="R155" s="63">
        <f t="shared" si="89"/>
        <v>1.6622165687587825E-2</v>
      </c>
      <c r="S155" s="63">
        <f t="shared" si="90"/>
        <v>1.6545473017537553E-2</v>
      </c>
      <c r="T155" s="63">
        <f t="shared" si="91"/>
        <v>0</v>
      </c>
      <c r="U155" s="63">
        <f t="shared" si="92"/>
        <v>-5.8999999999999999E-3</v>
      </c>
      <c r="V155" s="64">
        <f t="shared" si="93"/>
        <v>-4.9000000000000016E-3</v>
      </c>
    </row>
    <row r="156" spans="1:24" ht="16.5" customHeight="1">
      <c r="A156" s="182">
        <v>139</v>
      </c>
      <c r="B156" s="149" t="s">
        <v>210</v>
      </c>
      <c r="C156" s="148" t="s">
        <v>123</v>
      </c>
      <c r="D156" s="33">
        <v>5913893240.9429626</v>
      </c>
      <c r="E156" s="34">
        <f t="shared" si="88"/>
        <v>3.2247356179709295E-3</v>
      </c>
      <c r="F156" s="33">
        <v>1595.1726180000001</v>
      </c>
      <c r="G156" s="33">
        <v>1595.1726180000001</v>
      </c>
      <c r="H156" s="35">
        <v>57</v>
      </c>
      <c r="I156" s="57">
        <v>1.0999999999999999E-2</v>
      </c>
      <c r="J156" s="57">
        <v>1.2200000000000001E-2</v>
      </c>
      <c r="K156" s="33">
        <f>4315262.95*W139</f>
        <v>6012264270.5600204</v>
      </c>
      <c r="L156" s="34">
        <f t="shared" si="87"/>
        <v>3.2130570769122401E-3</v>
      </c>
      <c r="M156" s="33">
        <f>1.16*W139</f>
        <v>1616.1764959999998</v>
      </c>
      <c r="N156" s="33">
        <f>1.16*W139</f>
        <v>1616.1764959999998</v>
      </c>
      <c r="O156" s="35">
        <v>58</v>
      </c>
      <c r="P156" s="57">
        <v>5.5999999999999999E-3</v>
      </c>
      <c r="Q156" s="57">
        <v>1.9E-3</v>
      </c>
      <c r="R156" s="63">
        <f t="shared" ref="R156" si="109">((K156-D156)/D156)</f>
        <v>1.6633886613985047E-2</v>
      </c>
      <c r="S156" s="63">
        <f t="shared" ref="S156" si="110">((N156-G156)/G156)</f>
        <v>1.3167150540945255E-2</v>
      </c>
      <c r="T156" s="63">
        <f t="shared" si="91"/>
        <v>1.7543859649122806E-2</v>
      </c>
      <c r="U156" s="63">
        <f t="shared" si="92"/>
        <v>-5.3999999999999994E-3</v>
      </c>
      <c r="V156" s="64">
        <f t="shared" si="93"/>
        <v>-1.03E-2</v>
      </c>
    </row>
    <row r="157" spans="1:24">
      <c r="A157" s="182">
        <v>140</v>
      </c>
      <c r="B157" s="149" t="s">
        <v>211</v>
      </c>
      <c r="C157" s="148" t="s">
        <v>125</v>
      </c>
      <c r="D157" s="33">
        <v>1867840818.1047082</v>
      </c>
      <c r="E157" s="34">
        <f t="shared" si="88"/>
        <v>1.0184987400756334E-3</v>
      </c>
      <c r="F157" s="33">
        <v>2058.727054</v>
      </c>
      <c r="G157" s="33">
        <v>2058.727054</v>
      </c>
      <c r="H157" s="35">
        <v>133</v>
      </c>
      <c r="I157" s="57">
        <v>-1.1000000000000001E-3</v>
      </c>
      <c r="J157" s="57">
        <v>1.34E-2</v>
      </c>
      <c r="K157" s="33">
        <f>1382336.19*W139</f>
        <v>1925947637.8001637</v>
      </c>
      <c r="L157" s="34">
        <f>(K157/$K$158)</f>
        <v>1.0292594285480105E-3</v>
      </c>
      <c r="M157" s="33">
        <f>1.51*W139</f>
        <v>2103.8159559999999</v>
      </c>
      <c r="N157" s="33">
        <f>1.51*W139</f>
        <v>2103.8159559999999</v>
      </c>
      <c r="O157" s="35">
        <v>137</v>
      </c>
      <c r="P157" s="57">
        <v>-8.9999999999999998E-4</v>
      </c>
      <c r="Q157" s="57">
        <v>1.3100000000000001E-2</v>
      </c>
      <c r="R157" s="63">
        <f t="shared" si="89"/>
        <v>3.1109085491779941E-2</v>
      </c>
      <c r="S157" s="63">
        <f t="shared" si="90"/>
        <v>2.1901350114574229E-2</v>
      </c>
      <c r="T157" s="63">
        <f t="shared" si="91"/>
        <v>3.007518796992481E-2</v>
      </c>
      <c r="U157" s="63">
        <f t="shared" si="92"/>
        <v>2.0000000000000009E-4</v>
      </c>
      <c r="V157" s="64">
        <f t="shared" si="93"/>
        <v>-2.9999999999999992E-4</v>
      </c>
    </row>
    <row r="158" spans="1:24">
      <c r="A158" s="42"/>
      <c r="B158" s="43"/>
      <c r="C158" s="78" t="s">
        <v>56</v>
      </c>
      <c r="D158" s="66">
        <f>SUM(D120:D157)</f>
        <v>1833915688463.2009</v>
      </c>
      <c r="E158" s="46">
        <f>(D158/$D$234)</f>
        <v>0.22244376835054178</v>
      </c>
      <c r="F158" s="47"/>
      <c r="G158" s="52"/>
      <c r="H158" s="49">
        <f>SUM(H120:H157)</f>
        <v>30148</v>
      </c>
      <c r="I158" s="82"/>
      <c r="J158" s="82"/>
      <c r="K158" s="66">
        <f>SUM(K120:K157)</f>
        <v>1871197469152.2844</v>
      </c>
      <c r="L158" s="46">
        <f>(K158/$K$234)</f>
        <v>0.22424831096329909</v>
      </c>
      <c r="M158" s="47"/>
      <c r="N158" s="52"/>
      <c r="O158" s="49">
        <f>SUM(O120:O157)</f>
        <v>30505</v>
      </c>
      <c r="P158" s="82"/>
      <c r="Q158" s="82"/>
      <c r="R158" s="63">
        <f t="shared" si="89"/>
        <v>2.0329059249351411E-2</v>
      </c>
      <c r="S158" s="63" t="e">
        <f t="shared" si="90"/>
        <v>#DIV/0!</v>
      </c>
      <c r="T158" s="63">
        <f t="shared" si="91"/>
        <v>1.1841581531113175E-2</v>
      </c>
      <c r="U158" s="63">
        <f t="shared" si="92"/>
        <v>0</v>
      </c>
      <c r="V158" s="64">
        <f t="shared" si="93"/>
        <v>0</v>
      </c>
    </row>
    <row r="159" spans="1:24" ht="6" customHeight="1">
      <c r="A159" s="4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</row>
    <row r="160" spans="1:24">
      <c r="A160" s="194" t="s">
        <v>212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</row>
    <row r="161" spans="1:22">
      <c r="A161" s="182">
        <v>141</v>
      </c>
      <c r="B161" s="149" t="s">
        <v>213</v>
      </c>
      <c r="C161" s="148" t="s">
        <v>214</v>
      </c>
      <c r="D161" s="79">
        <v>2355014833.5423102</v>
      </c>
      <c r="E161" s="34">
        <f>(D161/$D$167)</f>
        <v>4.7956569875300245E-3</v>
      </c>
      <c r="F161" s="67">
        <v>110.980906387479</v>
      </c>
      <c r="G161" s="67">
        <v>110.980906387479</v>
      </c>
      <c r="H161" s="35">
        <v>8</v>
      </c>
      <c r="I161" s="57">
        <v>1.8E-3</v>
      </c>
      <c r="J161" s="57">
        <v>5.57E-2</v>
      </c>
      <c r="K161" s="79">
        <v>2359253860.2426901</v>
      </c>
      <c r="L161" s="34">
        <f>(K161/$K$167)</f>
        <v>4.7929708017080226E-3</v>
      </c>
      <c r="M161" s="67">
        <v>111.18067201897701</v>
      </c>
      <c r="N161" s="67">
        <v>111.18067201897701</v>
      </c>
      <c r="O161" s="35">
        <v>8</v>
      </c>
      <c r="P161" s="57">
        <v>1.8E-3</v>
      </c>
      <c r="Q161" s="57">
        <v>5.7599999999999998E-2</v>
      </c>
      <c r="R161" s="63">
        <f t="shared" ref="R161:R167" si="111">((K161-D161)/D161)</f>
        <v>1.8000000000015668E-3</v>
      </c>
      <c r="S161" s="63">
        <f t="shared" ref="S161:T167" si="112">((N161-G161)/G161)</f>
        <v>1.8000000000049407E-3</v>
      </c>
      <c r="T161" s="63">
        <f t="shared" si="112"/>
        <v>0</v>
      </c>
      <c r="U161" s="63">
        <f t="shared" ref="U161:V167" si="113">P161-I161</f>
        <v>0</v>
      </c>
      <c r="V161" s="64">
        <f t="shared" si="113"/>
        <v>1.8999999999999989E-3</v>
      </c>
    </row>
    <row r="162" spans="1:22">
      <c r="A162" s="182">
        <v>142</v>
      </c>
      <c r="B162" s="149" t="s">
        <v>215</v>
      </c>
      <c r="C162" s="148" t="s">
        <v>24</v>
      </c>
      <c r="D162" s="79">
        <v>257019410195.45001</v>
      </c>
      <c r="E162" s="34">
        <v>0</v>
      </c>
      <c r="F162" s="67">
        <v>108.9435647</v>
      </c>
      <c r="G162" s="67">
        <v>108.9435647</v>
      </c>
      <c r="H162" s="35">
        <v>45</v>
      </c>
      <c r="I162" s="57">
        <v>9.8900000000000002E-2</v>
      </c>
      <c r="J162" s="57">
        <v>4.9000000000000002E-2</v>
      </c>
      <c r="K162" s="79">
        <v>257866669272.94</v>
      </c>
      <c r="L162" s="34">
        <f t="shared" ref="L162:L166" si="114">(K162/$K$167)</f>
        <v>0.52387216034130479</v>
      </c>
      <c r="M162" s="67">
        <v>103.1467</v>
      </c>
      <c r="N162" s="67">
        <v>103.1467</v>
      </c>
      <c r="O162" s="35">
        <v>45</v>
      </c>
      <c r="P162" s="57">
        <v>0.1719</v>
      </c>
      <c r="Q162" s="57">
        <v>0.11700000000000001</v>
      </c>
      <c r="R162" s="63">
        <f t="shared" ref="R162" si="115">((K162-D162)/D162)</f>
        <v>3.2964789579343185E-3</v>
      </c>
      <c r="S162" s="63">
        <f t="shared" ref="S162" si="116">((N162-G162)/G162)</f>
        <v>-5.3209794593769157E-2</v>
      </c>
      <c r="T162" s="63">
        <f t="shared" ref="T162" si="117">((O162-H162)/H162)</f>
        <v>0</v>
      </c>
      <c r="U162" s="63">
        <f t="shared" ref="U162" si="118">P162-I162</f>
        <v>7.2999999999999995E-2</v>
      </c>
      <c r="V162" s="64">
        <f t="shared" ref="V162" si="119">Q162-J162</f>
        <v>6.8000000000000005E-2</v>
      </c>
    </row>
    <row r="163" spans="1:22">
      <c r="A163" s="182">
        <v>143</v>
      </c>
      <c r="B163" s="149" t="s">
        <v>216</v>
      </c>
      <c r="C163" s="148" t="s">
        <v>48</v>
      </c>
      <c r="D163" s="39">
        <v>163627573866</v>
      </c>
      <c r="E163" s="34">
        <f>(D163/$D$167)</f>
        <v>0.33320457552394867</v>
      </c>
      <c r="F163" s="67">
        <v>103</v>
      </c>
      <c r="G163" s="67">
        <v>103</v>
      </c>
      <c r="H163" s="35">
        <v>851</v>
      </c>
      <c r="I163" s="57">
        <v>9.4E-2</v>
      </c>
      <c r="J163" s="57">
        <v>9.4E-2</v>
      </c>
      <c r="K163" s="39">
        <v>163627573866</v>
      </c>
      <c r="L163" s="34">
        <f t="shared" si="114"/>
        <v>0.33241958278003442</v>
      </c>
      <c r="M163" s="67">
        <v>103</v>
      </c>
      <c r="N163" s="67">
        <v>103</v>
      </c>
      <c r="O163" s="35">
        <v>851</v>
      </c>
      <c r="P163" s="57">
        <v>9.4E-2</v>
      </c>
      <c r="Q163" s="57">
        <v>9.4E-2</v>
      </c>
      <c r="R163" s="63">
        <f t="shared" si="111"/>
        <v>0</v>
      </c>
      <c r="S163" s="63">
        <f t="shared" si="112"/>
        <v>0</v>
      </c>
      <c r="T163" s="63">
        <f t="shared" si="112"/>
        <v>0</v>
      </c>
      <c r="U163" s="63">
        <f t="shared" si="113"/>
        <v>0</v>
      </c>
      <c r="V163" s="64">
        <f t="shared" si="113"/>
        <v>0</v>
      </c>
    </row>
    <row r="164" spans="1:22" ht="15.75" customHeight="1">
      <c r="A164" s="182">
        <v>144</v>
      </c>
      <c r="B164" s="149" t="s">
        <v>218</v>
      </c>
      <c r="C164" s="148" t="s">
        <v>161</v>
      </c>
      <c r="D164" s="39">
        <v>6516335555.31919</v>
      </c>
      <c r="E164" s="34">
        <f>(D164/$D$167)</f>
        <v>1.3269602252123298E-2</v>
      </c>
      <c r="F164" s="67">
        <v>418.75</v>
      </c>
      <c r="G164" s="67">
        <v>418.75</v>
      </c>
      <c r="H164" s="35">
        <v>4897</v>
      </c>
      <c r="I164" s="57">
        <v>9.9400000000000002E-2</v>
      </c>
      <c r="J164" s="57">
        <v>0.1114</v>
      </c>
      <c r="K164" s="39">
        <v>6517987103.6999998</v>
      </c>
      <c r="L164" s="34">
        <f t="shared" si="114"/>
        <v>1.3241695775260876E-2</v>
      </c>
      <c r="M164" s="67">
        <v>418.75</v>
      </c>
      <c r="N164" s="67">
        <v>418.75</v>
      </c>
      <c r="O164" s="35">
        <v>4897</v>
      </c>
      <c r="P164" s="57">
        <v>1.7399999999999999E-2</v>
      </c>
      <c r="Q164" s="57">
        <v>9.98E-2</v>
      </c>
      <c r="R164" s="63">
        <f t="shared" si="111"/>
        <v>2.5344741178370551E-4</v>
      </c>
      <c r="S164" s="63">
        <f t="shared" si="112"/>
        <v>0</v>
      </c>
      <c r="T164" s="63">
        <f t="shared" si="112"/>
        <v>0</v>
      </c>
      <c r="U164" s="63">
        <f t="shared" si="113"/>
        <v>-8.2000000000000003E-2</v>
      </c>
      <c r="V164" s="64">
        <f t="shared" si="113"/>
        <v>-1.1599999999999999E-2</v>
      </c>
    </row>
    <row r="165" spans="1:22">
      <c r="A165" s="182">
        <v>145</v>
      </c>
      <c r="B165" s="149" t="s">
        <v>217</v>
      </c>
      <c r="C165" s="148" t="s">
        <v>161</v>
      </c>
      <c r="D165" s="39">
        <v>27943184193.689999</v>
      </c>
      <c r="E165" s="34">
        <f>(D165/$D$167)</f>
        <v>5.6902370474984275E-2</v>
      </c>
      <c r="F165" s="67">
        <v>69.25</v>
      </c>
      <c r="G165" s="67">
        <v>69.25</v>
      </c>
      <c r="H165" s="35">
        <v>6424</v>
      </c>
      <c r="I165" s="57">
        <v>1.3599999999999999E-2</v>
      </c>
      <c r="J165" s="57">
        <v>3.1699999999999999E-2</v>
      </c>
      <c r="K165" s="39">
        <v>27984793840.560001</v>
      </c>
      <c r="L165" s="34">
        <f t="shared" si="114"/>
        <v>5.6852847431952479E-2</v>
      </c>
      <c r="M165" s="67">
        <v>69.25</v>
      </c>
      <c r="N165" s="67">
        <v>69.25</v>
      </c>
      <c r="O165" s="35">
        <v>6424</v>
      </c>
      <c r="P165" s="57">
        <v>7.4700000000000003E-2</v>
      </c>
      <c r="Q165" s="57">
        <v>3.32E-2</v>
      </c>
      <c r="R165" s="63">
        <f t="shared" si="111"/>
        <v>1.489080363267936E-3</v>
      </c>
      <c r="S165" s="63">
        <f t="shared" si="112"/>
        <v>0</v>
      </c>
      <c r="T165" s="63">
        <f t="shared" si="112"/>
        <v>0</v>
      </c>
      <c r="U165" s="63">
        <f t="shared" si="113"/>
        <v>6.1100000000000002E-2</v>
      </c>
      <c r="V165" s="64">
        <f t="shared" si="113"/>
        <v>1.5000000000000013E-3</v>
      </c>
    </row>
    <row r="166" spans="1:22">
      <c r="A166" s="182">
        <v>146</v>
      </c>
      <c r="B166" s="149" t="s">
        <v>325</v>
      </c>
      <c r="C166" s="148" t="s">
        <v>161</v>
      </c>
      <c r="D166" s="39">
        <v>33610891177.212002</v>
      </c>
      <c r="E166" s="34">
        <f>(D166/$D$167)</f>
        <v>6.8443859815803615E-2</v>
      </c>
      <c r="F166" s="67">
        <v>7.6</v>
      </c>
      <c r="G166" s="67">
        <v>7.6</v>
      </c>
      <c r="H166" s="35">
        <v>211092</v>
      </c>
      <c r="I166" s="57">
        <v>0</v>
      </c>
      <c r="J166" s="57">
        <v>0</v>
      </c>
      <c r="K166" s="39">
        <v>33875775588.355701</v>
      </c>
      <c r="L166" s="34">
        <f t="shared" si="114"/>
        <v>6.882074286973941E-2</v>
      </c>
      <c r="M166" s="67">
        <v>7.5</v>
      </c>
      <c r="N166" s="67">
        <v>7.5</v>
      </c>
      <c r="O166" s="35">
        <v>211092</v>
      </c>
      <c r="P166" s="57">
        <v>0</v>
      </c>
      <c r="Q166" s="57">
        <v>0</v>
      </c>
      <c r="R166" s="63">
        <f t="shared" si="111"/>
        <v>7.8809100820060908E-3</v>
      </c>
      <c r="S166" s="63">
        <f t="shared" si="112"/>
        <v>-1.3157894736842059E-2</v>
      </c>
      <c r="T166" s="63">
        <f t="shared" si="112"/>
        <v>0</v>
      </c>
      <c r="U166" s="63">
        <f t="shared" si="113"/>
        <v>0</v>
      </c>
      <c r="V166" s="64">
        <f t="shared" si="113"/>
        <v>0</v>
      </c>
    </row>
    <row r="167" spans="1:22">
      <c r="A167" s="42"/>
      <c r="B167" s="80"/>
      <c r="C167" s="44" t="s">
        <v>56</v>
      </c>
      <c r="D167" s="45">
        <f>SUM(D161:D166)</f>
        <v>491072409821.2135</v>
      </c>
      <c r="E167" s="46">
        <f>(D167/$D$234)</f>
        <v>5.9564350782750956E-2</v>
      </c>
      <c r="F167" s="47"/>
      <c r="G167" s="81"/>
      <c r="H167" s="49">
        <f>SUM(H161:H166)</f>
        <v>223317</v>
      </c>
      <c r="I167" s="83"/>
      <c r="J167" s="83"/>
      <c r="K167" s="45">
        <f>SUM(K161:K166)</f>
        <v>492232053531.7984</v>
      </c>
      <c r="L167" s="46">
        <f>(K167/$K$234)</f>
        <v>5.8990143170997808E-2</v>
      </c>
      <c r="M167" s="47"/>
      <c r="N167" s="81"/>
      <c r="O167" s="49">
        <f>SUM(O161:O166)</f>
        <v>223317</v>
      </c>
      <c r="P167" s="83"/>
      <c r="Q167" s="83"/>
      <c r="R167" s="63">
        <f t="shared" si="111"/>
        <v>2.36145156476434E-3</v>
      </c>
      <c r="S167" s="63" t="e">
        <f t="shared" si="112"/>
        <v>#DIV/0!</v>
      </c>
      <c r="T167" s="63">
        <f t="shared" si="112"/>
        <v>0</v>
      </c>
      <c r="U167" s="63">
        <f t="shared" si="113"/>
        <v>0</v>
      </c>
      <c r="V167" s="64">
        <f t="shared" si="113"/>
        <v>0</v>
      </c>
    </row>
    <row r="168" spans="1:22" ht="5.25" customHeight="1">
      <c r="A168" s="4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</row>
    <row r="169" spans="1:22" ht="15" customHeight="1">
      <c r="A169" s="194" t="s">
        <v>219</v>
      </c>
      <c r="B169" s="194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</row>
    <row r="170" spans="1:22">
      <c r="A170" s="185">
        <v>147</v>
      </c>
      <c r="B170" s="149" t="s">
        <v>220</v>
      </c>
      <c r="C170" s="148" t="s">
        <v>60</v>
      </c>
      <c r="D170" s="33">
        <v>771465037.96000004</v>
      </c>
      <c r="E170" s="34">
        <f t="shared" ref="E170:E198" si="120">(D170/$D$199)</f>
        <v>6.6648409478776531E-3</v>
      </c>
      <c r="F170" s="33">
        <v>8.76</v>
      </c>
      <c r="G170" s="33">
        <v>8.89</v>
      </c>
      <c r="H170" s="37">
        <v>11960</v>
      </c>
      <c r="I170" s="58">
        <v>1.0697999999999999E-2</v>
      </c>
      <c r="J170" s="58">
        <v>0.117343</v>
      </c>
      <c r="K170" s="33">
        <v>796738376.75999999</v>
      </c>
      <c r="L170" s="61">
        <f t="shared" ref="L170:L198" si="121">(K170/$K$199)</f>
        <v>6.6793155132626979E-3</v>
      </c>
      <c r="M170" s="33">
        <v>8.8800000000000008</v>
      </c>
      <c r="N170" s="33">
        <v>9.02</v>
      </c>
      <c r="O170" s="37">
        <v>11963</v>
      </c>
      <c r="P170" s="58">
        <v>1.5391E-2</v>
      </c>
      <c r="Q170" s="58">
        <v>0.13273399999999999</v>
      </c>
      <c r="R170" s="63">
        <f>((K170-D170)/D170)</f>
        <v>3.2760186860613584E-2</v>
      </c>
      <c r="S170" s="63">
        <f>((N170-G170)/G170)</f>
        <v>1.4623172103486952E-2</v>
      </c>
      <c r="T170" s="63">
        <f>((O170-H170)/H170)</f>
        <v>2.5083612040133777E-4</v>
      </c>
      <c r="U170" s="63">
        <f>P170-I170</f>
        <v>4.693000000000001E-3</v>
      </c>
      <c r="V170" s="64">
        <f>Q170-J170</f>
        <v>1.5390999999999988E-2</v>
      </c>
    </row>
    <row r="171" spans="1:22">
      <c r="A171" s="185">
        <v>148</v>
      </c>
      <c r="B171" s="149" t="s">
        <v>221</v>
      </c>
      <c r="C171" s="149" t="s">
        <v>222</v>
      </c>
      <c r="D171" s="33">
        <v>2681902731.6486902</v>
      </c>
      <c r="E171" s="34">
        <f t="shared" si="120"/>
        <v>2.3169494746492842E-2</v>
      </c>
      <c r="F171" s="33">
        <v>2722.1740425662701</v>
      </c>
      <c r="G171" s="33">
        <v>2743.5609579422198</v>
      </c>
      <c r="H171" s="37">
        <v>254</v>
      </c>
      <c r="I171" s="58">
        <v>-4.1999999999999997E-3</v>
      </c>
      <c r="J171" s="58">
        <v>0.2399</v>
      </c>
      <c r="K171" s="33">
        <v>2727111750.7054801</v>
      </c>
      <c r="L171" s="61">
        <f t="shared" si="121"/>
        <v>2.2862259876274355E-2</v>
      </c>
      <c r="M171" s="33">
        <v>2729.0591278017801</v>
      </c>
      <c r="N171" s="33">
        <v>2750.1338882688701</v>
      </c>
      <c r="O171" s="37">
        <v>207</v>
      </c>
      <c r="P171" s="58">
        <v>-5.0000000000000001E-4</v>
      </c>
      <c r="Q171" s="58">
        <v>0.2429</v>
      </c>
      <c r="R171" s="63">
        <f>((K171-D171)/D171)</f>
        <v>1.6857068872515667E-2</v>
      </c>
      <c r="S171" s="63">
        <f>((N171-G171)/G171)</f>
        <v>2.3957660964749453E-3</v>
      </c>
      <c r="T171" s="63">
        <f>((O171-H171)/H171)</f>
        <v>-0.18503937007874016</v>
      </c>
      <c r="U171" s="63">
        <f>P171-I171</f>
        <v>3.6999999999999997E-3</v>
      </c>
      <c r="V171" s="64">
        <f>Q171-J171</f>
        <v>3.0000000000000027E-3</v>
      </c>
    </row>
    <row r="172" spans="1:22">
      <c r="A172" s="185">
        <v>149</v>
      </c>
      <c r="B172" s="149" t="s">
        <v>223</v>
      </c>
      <c r="C172" s="148" t="s">
        <v>24</v>
      </c>
      <c r="D172" s="33">
        <v>12207112090.4</v>
      </c>
      <c r="E172" s="34">
        <f t="shared" si="120"/>
        <v>0.10545968580840429</v>
      </c>
      <c r="F172" s="33">
        <v>1200.9839999999999</v>
      </c>
      <c r="G172" s="33">
        <v>1237.1946</v>
      </c>
      <c r="H172" s="37">
        <v>22547</v>
      </c>
      <c r="I172" s="58">
        <v>-7.3499999999999996E-2</v>
      </c>
      <c r="J172" s="58">
        <v>0.87019999999999997</v>
      </c>
      <c r="K172" s="33">
        <v>12613705057.549999</v>
      </c>
      <c r="L172" s="61">
        <f t="shared" si="121"/>
        <v>0.10574476933473057</v>
      </c>
      <c r="M172" s="33">
        <v>1222.5759</v>
      </c>
      <c r="N172" s="33">
        <v>1259.4375</v>
      </c>
      <c r="O172" s="37">
        <v>22585</v>
      </c>
      <c r="P172" s="58">
        <v>0.9375</v>
      </c>
      <c r="Q172" s="58">
        <v>0.89139999999999997</v>
      </c>
      <c r="R172" s="63">
        <f t="shared" ref="R172:R198" si="122">((K172-D172)/D172)</f>
        <v>3.3307875289336882E-2</v>
      </c>
      <c r="S172" s="63">
        <f t="shared" ref="S172:T198" si="123">((N172-G172)/G172)</f>
        <v>1.7978497481317784E-2</v>
      </c>
      <c r="T172" s="63">
        <f t="shared" si="123"/>
        <v>1.6853683416862555E-3</v>
      </c>
      <c r="U172" s="63">
        <f t="shared" ref="U172:V198" si="124">P172-I172</f>
        <v>1.0109999999999999</v>
      </c>
      <c r="V172" s="64">
        <f t="shared" si="124"/>
        <v>2.1199999999999997E-2</v>
      </c>
    </row>
    <row r="173" spans="1:22">
      <c r="A173" s="185">
        <v>150</v>
      </c>
      <c r="B173" s="149" t="s">
        <v>224</v>
      </c>
      <c r="C173" s="148" t="s">
        <v>127</v>
      </c>
      <c r="D173" s="33">
        <v>7379873845.1300001</v>
      </c>
      <c r="E173" s="34">
        <f t="shared" si="120"/>
        <v>6.375620795889389E-2</v>
      </c>
      <c r="F173" s="33">
        <v>42.873199999999997</v>
      </c>
      <c r="G173" s="33">
        <v>43.457900000000002</v>
      </c>
      <c r="H173" s="35">
        <v>6240</v>
      </c>
      <c r="I173" s="57">
        <v>2.1499999999999998E-2</v>
      </c>
      <c r="J173" s="57">
        <v>0.2646</v>
      </c>
      <c r="K173" s="33">
        <v>7440113169.9499998</v>
      </c>
      <c r="L173" s="61">
        <f t="shared" si="121"/>
        <v>6.2372875169594888E-2</v>
      </c>
      <c r="M173" s="33">
        <v>42.967399999999998</v>
      </c>
      <c r="N173" s="33">
        <v>43.552599999999998</v>
      </c>
      <c r="O173" s="35">
        <v>6245</v>
      </c>
      <c r="P173" s="57">
        <v>1.11E-2</v>
      </c>
      <c r="Q173" s="57">
        <v>0.26740000000000003</v>
      </c>
      <c r="R173" s="63">
        <f t="shared" si="122"/>
        <v>8.162649671816789E-3</v>
      </c>
      <c r="S173" s="63">
        <f t="shared" si="123"/>
        <v>2.1791204821216856E-3</v>
      </c>
      <c r="T173" s="63">
        <f t="shared" si="123"/>
        <v>8.0128205128205125E-4</v>
      </c>
      <c r="U173" s="63">
        <f t="shared" si="124"/>
        <v>-1.0399999999999998E-2</v>
      </c>
      <c r="V173" s="64">
        <f t="shared" si="124"/>
        <v>2.8000000000000247E-3</v>
      </c>
    </row>
    <row r="174" spans="1:22">
      <c r="A174" s="185">
        <v>151</v>
      </c>
      <c r="B174" s="149" t="s">
        <v>225</v>
      </c>
      <c r="C174" s="148" t="s">
        <v>135</v>
      </c>
      <c r="D174" s="39">
        <v>3015428207.0251598</v>
      </c>
      <c r="E174" s="34">
        <f t="shared" si="120"/>
        <v>2.6050888116343401E-2</v>
      </c>
      <c r="F174" s="33">
        <v>7.2042999999999999</v>
      </c>
      <c r="G174" s="33">
        <v>7.3893000000000004</v>
      </c>
      <c r="H174" s="35">
        <v>2736</v>
      </c>
      <c r="I174" s="57">
        <v>1.9800000000000002E-2</v>
      </c>
      <c r="J174" s="57">
        <v>1.2751999999999999</v>
      </c>
      <c r="K174" s="39">
        <v>3168004676.3800001</v>
      </c>
      <c r="L174" s="61">
        <f t="shared" si="121"/>
        <v>2.6558407876727301E-2</v>
      </c>
      <c r="M174" s="33">
        <v>7.5701999999999998</v>
      </c>
      <c r="N174" s="33">
        <v>7.7618999999999998</v>
      </c>
      <c r="O174" s="35">
        <v>2736</v>
      </c>
      <c r="P174" s="57">
        <v>2.6293000000000002</v>
      </c>
      <c r="Q174" s="57">
        <v>1.4783999999999999</v>
      </c>
      <c r="R174" s="63">
        <f t="shared" si="122"/>
        <v>5.0598607852568658E-2</v>
      </c>
      <c r="S174" s="63">
        <f t="shared" si="123"/>
        <v>5.0424262108724693E-2</v>
      </c>
      <c r="T174" s="63">
        <f t="shared" si="123"/>
        <v>0</v>
      </c>
      <c r="U174" s="63">
        <f t="shared" si="124"/>
        <v>2.6095000000000002</v>
      </c>
      <c r="V174" s="64">
        <f t="shared" si="124"/>
        <v>0.20320000000000005</v>
      </c>
    </row>
    <row r="175" spans="1:22">
      <c r="A175" s="185">
        <v>152</v>
      </c>
      <c r="B175" s="149" t="s">
        <v>226</v>
      </c>
      <c r="C175" s="148" t="s">
        <v>28</v>
      </c>
      <c r="D175" s="39">
        <v>1526152736.6400001</v>
      </c>
      <c r="E175" s="34">
        <f t="shared" si="120"/>
        <v>1.3184739102073477E-2</v>
      </c>
      <c r="F175" s="33">
        <v>1.4901</v>
      </c>
      <c r="G175" s="33">
        <v>1.5025999999999999</v>
      </c>
      <c r="H175" s="35">
        <v>282</v>
      </c>
      <c r="I175" s="57">
        <v>9.1000000000000004E-3</v>
      </c>
      <c r="J175" s="57">
        <v>0.1988</v>
      </c>
      <c r="K175" s="39">
        <v>1663259071.3699999</v>
      </c>
      <c r="L175" s="61">
        <f t="shared" si="121"/>
        <v>1.394363876778967E-2</v>
      </c>
      <c r="M175" s="33">
        <v>1.542</v>
      </c>
      <c r="N175" s="33">
        <v>1.5545</v>
      </c>
      <c r="O175" s="35">
        <v>327</v>
      </c>
      <c r="P175" s="57">
        <v>3.4500000000000003E-2</v>
      </c>
      <c r="Q175" s="57">
        <v>0.2402</v>
      </c>
      <c r="R175" s="63">
        <f t="shared" ref="R175" si="125">((K175-D175)/D175)</f>
        <v>8.983788544772725E-2</v>
      </c>
      <c r="S175" s="63">
        <f t="shared" ref="S175" si="126">((N175-G175)/G175)</f>
        <v>3.4540130440569722E-2</v>
      </c>
      <c r="T175" s="63">
        <f t="shared" ref="T175" si="127">((O175-H175)/H175)</f>
        <v>0.15957446808510639</v>
      </c>
      <c r="U175" s="63">
        <f t="shared" ref="U175" si="128">P175-I175</f>
        <v>2.5400000000000002E-2</v>
      </c>
      <c r="V175" s="64">
        <f t="shared" ref="V175" si="129">Q175-J175</f>
        <v>4.1399999999999992E-2</v>
      </c>
    </row>
    <row r="176" spans="1:22">
      <c r="A176" s="185">
        <v>153</v>
      </c>
      <c r="B176" s="149" t="s">
        <v>227</v>
      </c>
      <c r="C176" s="148" t="s">
        <v>71</v>
      </c>
      <c r="D176" s="33">
        <v>8757624161.35429</v>
      </c>
      <c r="E176" s="34">
        <f t="shared" si="120"/>
        <v>7.5658868833590756E-2</v>
      </c>
      <c r="F176" s="33">
        <v>13426.5193814783</v>
      </c>
      <c r="G176" s="33">
        <v>13527.776175377099</v>
      </c>
      <c r="H176" s="35">
        <v>1528</v>
      </c>
      <c r="I176" s="57">
        <v>0.56710000000000005</v>
      </c>
      <c r="J176" s="57">
        <v>1.2725</v>
      </c>
      <c r="K176" s="33">
        <v>8994302465.1898308</v>
      </c>
      <c r="L176" s="61">
        <f t="shared" si="121"/>
        <v>7.5402146726033598E-2</v>
      </c>
      <c r="M176" s="33">
        <v>13505.614052001099</v>
      </c>
      <c r="N176" s="33">
        <v>13609.014561616301</v>
      </c>
      <c r="O176" s="35">
        <v>1554</v>
      </c>
      <c r="P176" s="57">
        <v>0.30719999999999997</v>
      </c>
      <c r="Q176" s="57">
        <v>1.1753</v>
      </c>
      <c r="R176" s="63">
        <f t="shared" si="122"/>
        <v>2.7025400893538748E-2</v>
      </c>
      <c r="S176" s="63">
        <f t="shared" si="123"/>
        <v>6.0053023635229571E-3</v>
      </c>
      <c r="T176" s="63">
        <f t="shared" si="123"/>
        <v>1.7015706806282723E-2</v>
      </c>
      <c r="U176" s="63">
        <f t="shared" si="124"/>
        <v>-0.25990000000000008</v>
      </c>
      <c r="V176" s="64">
        <f t="shared" si="124"/>
        <v>-9.7199999999999953E-2</v>
      </c>
    </row>
    <row r="177" spans="1:22">
      <c r="A177" s="185">
        <v>154</v>
      </c>
      <c r="B177" s="149" t="s">
        <v>228</v>
      </c>
      <c r="C177" s="148" t="s">
        <v>73</v>
      </c>
      <c r="D177" s="33">
        <v>1617751516.96</v>
      </c>
      <c r="E177" s="34">
        <f t="shared" si="120"/>
        <v>1.397607930780298E-2</v>
      </c>
      <c r="F177" s="33">
        <v>272.08999999999997</v>
      </c>
      <c r="G177" s="33">
        <v>274.3</v>
      </c>
      <c r="H177" s="35">
        <v>508</v>
      </c>
      <c r="I177" s="57">
        <v>1.9E-3</v>
      </c>
      <c r="J177" s="57">
        <v>0.17860000000000001</v>
      </c>
      <c r="K177" s="33">
        <v>1690159937.46</v>
      </c>
      <c r="L177" s="61">
        <f t="shared" si="121"/>
        <v>1.4169157429167351E-2</v>
      </c>
      <c r="M177" s="33">
        <v>275.70999999999998</v>
      </c>
      <c r="N177" s="33">
        <v>277.91000000000003</v>
      </c>
      <c r="O177" s="35">
        <v>508</v>
      </c>
      <c r="P177" s="57">
        <v>1.32E-2</v>
      </c>
      <c r="Q177" s="57">
        <v>0.19420000000000001</v>
      </c>
      <c r="R177" s="63">
        <f t="shared" si="122"/>
        <v>4.4758678784036242E-2</v>
      </c>
      <c r="S177" s="63">
        <f t="shared" si="123"/>
        <v>1.3160772876412735E-2</v>
      </c>
      <c r="T177" s="63">
        <f t="shared" si="123"/>
        <v>0</v>
      </c>
      <c r="U177" s="63">
        <f t="shared" si="124"/>
        <v>1.1299999999999999E-2</v>
      </c>
      <c r="V177" s="64">
        <f t="shared" si="124"/>
        <v>1.5600000000000003E-2</v>
      </c>
    </row>
    <row r="178" spans="1:22">
      <c r="A178" s="185">
        <v>155</v>
      </c>
      <c r="B178" s="149" t="s">
        <v>229</v>
      </c>
      <c r="C178" s="148" t="s">
        <v>230</v>
      </c>
      <c r="D178" s="33">
        <v>4264273155.48</v>
      </c>
      <c r="E178" s="34">
        <f t="shared" si="120"/>
        <v>3.6839909705735939E-2</v>
      </c>
      <c r="F178" s="33">
        <v>2.5691999999999999</v>
      </c>
      <c r="G178" s="33">
        <v>2.6179000000000001</v>
      </c>
      <c r="H178" s="35">
        <v>4265</v>
      </c>
      <c r="I178" s="57">
        <v>1.0999999999999999E-2</v>
      </c>
      <c r="J178" s="57">
        <v>0.2094</v>
      </c>
      <c r="K178" s="33">
        <v>4135117952.2199998</v>
      </c>
      <c r="L178" s="61">
        <f t="shared" si="121"/>
        <v>3.4666031275852514E-2</v>
      </c>
      <c r="M178" s="33">
        <v>2.5691999999999999</v>
      </c>
      <c r="N178" s="33">
        <v>2.4159000000000002</v>
      </c>
      <c r="O178" s="35">
        <v>4392</v>
      </c>
      <c r="P178" s="57">
        <v>-5.9700000000000003E-2</v>
      </c>
      <c r="Q178" s="57">
        <v>0.13730000000000001</v>
      </c>
      <c r="R178" s="63">
        <f t="shared" si="122"/>
        <v>-3.0287741556617547E-2</v>
      </c>
      <c r="S178" s="63">
        <f t="shared" si="123"/>
        <v>-7.7161083311050829E-2</v>
      </c>
      <c r="T178" s="63">
        <f t="shared" si="123"/>
        <v>2.9777256740914419E-2</v>
      </c>
      <c r="U178" s="63">
        <f t="shared" si="124"/>
        <v>-7.0699999999999999E-2</v>
      </c>
      <c r="V178" s="64">
        <f t="shared" si="124"/>
        <v>-7.2099999999999997E-2</v>
      </c>
    </row>
    <row r="179" spans="1:22">
      <c r="A179" s="185">
        <v>156</v>
      </c>
      <c r="B179" s="149" t="s">
        <v>231</v>
      </c>
      <c r="C179" s="148" t="s">
        <v>30</v>
      </c>
      <c r="D179" s="51">
        <v>677767403.57000005</v>
      </c>
      <c r="E179" s="34">
        <f t="shared" si="120"/>
        <v>5.8553683215444288E-3</v>
      </c>
      <c r="F179" s="33">
        <v>248.33189999999999</v>
      </c>
      <c r="G179" s="33">
        <v>249.84979999999999</v>
      </c>
      <c r="H179" s="35">
        <v>183</v>
      </c>
      <c r="I179" s="57">
        <v>1.067E-3</v>
      </c>
      <c r="J179" s="57">
        <v>0.2094</v>
      </c>
      <c r="K179" s="51">
        <v>689227824.61000001</v>
      </c>
      <c r="L179" s="61">
        <f t="shared" si="121"/>
        <v>5.7780197808603856E-3</v>
      </c>
      <c r="M179" s="33">
        <v>252.5437</v>
      </c>
      <c r="N179" s="33">
        <v>254.1027</v>
      </c>
      <c r="O179" s="35">
        <v>186</v>
      </c>
      <c r="P179" s="57">
        <v>4.1999999999999997E-3</v>
      </c>
      <c r="Q179" s="57">
        <v>0.2165</v>
      </c>
      <c r="R179" s="63">
        <f t="shared" si="122"/>
        <v>1.6909076741717818E-2</v>
      </c>
      <c r="S179" s="63">
        <f t="shared" si="123"/>
        <v>1.7021826713489511E-2</v>
      </c>
      <c r="T179" s="63">
        <f t="shared" si="123"/>
        <v>1.6393442622950821E-2</v>
      </c>
      <c r="U179" s="63">
        <f t="shared" si="124"/>
        <v>3.1329999999999995E-3</v>
      </c>
      <c r="V179" s="64">
        <f t="shared" si="124"/>
        <v>7.0999999999999952E-3</v>
      </c>
    </row>
    <row r="180" spans="1:22">
      <c r="A180" s="185">
        <v>157</v>
      </c>
      <c r="B180" s="149" t="s">
        <v>232</v>
      </c>
      <c r="C180" s="148" t="s">
        <v>79</v>
      </c>
      <c r="D180" s="51">
        <v>1059649710.89</v>
      </c>
      <c r="E180" s="34">
        <f t="shared" si="120"/>
        <v>9.154526045952285E-3</v>
      </c>
      <c r="F180" s="33">
        <v>186.84</v>
      </c>
      <c r="G180" s="33">
        <v>187.33</v>
      </c>
      <c r="H180" s="35">
        <v>81</v>
      </c>
      <c r="I180" s="57">
        <v>5.1000000000000004E-3</v>
      </c>
      <c r="J180" s="57">
        <v>0.1013</v>
      </c>
      <c r="K180" s="51">
        <v>1109096802.6700001</v>
      </c>
      <c r="L180" s="61">
        <f t="shared" si="121"/>
        <v>9.2979172283743135E-3</v>
      </c>
      <c r="M180" s="33">
        <v>189.19</v>
      </c>
      <c r="N180" s="33">
        <v>189.74</v>
      </c>
      <c r="O180" s="35">
        <v>81</v>
      </c>
      <c r="P180" s="57">
        <v>1.4E-2</v>
      </c>
      <c r="Q180" s="57">
        <v>0.1153</v>
      </c>
      <c r="R180" s="63">
        <f t="shared" si="122"/>
        <v>4.6663620318897148E-2</v>
      </c>
      <c r="S180" s="63">
        <f t="shared" si="123"/>
        <v>1.2864997597822007E-2</v>
      </c>
      <c r="T180" s="63">
        <f t="shared" si="123"/>
        <v>0</v>
      </c>
      <c r="U180" s="63">
        <f t="shared" si="124"/>
        <v>8.8999999999999999E-3</v>
      </c>
      <c r="V180" s="64">
        <f t="shared" si="124"/>
        <v>1.3999999999999999E-2</v>
      </c>
    </row>
    <row r="181" spans="1:22" ht="15.75" customHeight="1">
      <c r="A181" s="185">
        <v>158</v>
      </c>
      <c r="B181" s="149" t="s">
        <v>233</v>
      </c>
      <c r="C181" s="148" t="s">
        <v>82</v>
      </c>
      <c r="D181" s="39">
        <v>743854675.44000006</v>
      </c>
      <c r="E181" s="34">
        <f t="shared" si="120"/>
        <v>6.4263094971256573E-3</v>
      </c>
      <c r="F181" s="33">
        <v>2.2884099999999998</v>
      </c>
      <c r="G181" s="33">
        <v>2.2608199999999998</v>
      </c>
      <c r="H181" s="35">
        <v>143</v>
      </c>
      <c r="I181" s="57">
        <v>6.8000000000000005E-2</v>
      </c>
      <c r="J181" s="57">
        <v>0.25069999999999998</v>
      </c>
      <c r="K181" s="39">
        <v>801941741.89999998</v>
      </c>
      <c r="L181" s="61">
        <f t="shared" si="121"/>
        <v>6.7229370062327062E-3</v>
      </c>
      <c r="M181" s="33">
        <v>2.3641999999999999</v>
      </c>
      <c r="N181" s="33">
        <v>2.3930899999999999</v>
      </c>
      <c r="O181" s="35">
        <v>149</v>
      </c>
      <c r="P181" s="57">
        <v>6.8000000000000005E-2</v>
      </c>
      <c r="Q181" s="57">
        <v>0.30599999999999999</v>
      </c>
      <c r="R181" s="63">
        <f t="shared" si="122"/>
        <v>7.8089267134928794E-2</v>
      </c>
      <c r="S181" s="63">
        <f t="shared" si="123"/>
        <v>5.8505321078192923E-2</v>
      </c>
      <c r="T181" s="63">
        <f t="shared" si="123"/>
        <v>4.195804195804196E-2</v>
      </c>
      <c r="U181" s="63">
        <f t="shared" si="124"/>
        <v>0</v>
      </c>
      <c r="V181" s="64">
        <f t="shared" si="124"/>
        <v>5.5300000000000016E-2</v>
      </c>
    </row>
    <row r="182" spans="1:22">
      <c r="A182" s="185">
        <v>159</v>
      </c>
      <c r="B182" s="149" t="s">
        <v>234</v>
      </c>
      <c r="C182" s="148" t="s">
        <v>32</v>
      </c>
      <c r="D182" s="33">
        <v>17501479730.48</v>
      </c>
      <c r="E182" s="34">
        <f t="shared" si="120"/>
        <v>0.15119878804177486</v>
      </c>
      <c r="F182" s="33">
        <v>525.12</v>
      </c>
      <c r="G182" s="33">
        <v>530.29</v>
      </c>
      <c r="H182" s="35">
        <v>5581</v>
      </c>
      <c r="I182" s="57">
        <v>7.1000000000000004E-3</v>
      </c>
      <c r="J182" s="57">
        <v>0.22600000000000001</v>
      </c>
      <c r="K182" s="33">
        <v>17847151185.650002</v>
      </c>
      <c r="L182" s="61">
        <f t="shared" si="121"/>
        <v>0.14961844095752053</v>
      </c>
      <c r="M182" s="33">
        <v>532.98</v>
      </c>
      <c r="N182" s="33">
        <v>538.5</v>
      </c>
      <c r="O182" s="35">
        <v>5589</v>
      </c>
      <c r="P182" s="57">
        <v>1.52E-2</v>
      </c>
      <c r="Q182" s="57">
        <v>0.24440000000000001</v>
      </c>
      <c r="R182" s="63">
        <f t="shared" si="122"/>
        <v>1.9750984516354465E-2</v>
      </c>
      <c r="S182" s="63">
        <f t="shared" si="123"/>
        <v>1.5482094702898484E-2</v>
      </c>
      <c r="T182" s="63">
        <f t="shared" si="123"/>
        <v>1.4334348683031715E-3</v>
      </c>
      <c r="U182" s="63">
        <f t="shared" si="124"/>
        <v>8.0999999999999996E-3</v>
      </c>
      <c r="V182" s="64">
        <f t="shared" si="124"/>
        <v>1.84E-2</v>
      </c>
    </row>
    <row r="183" spans="1:22">
      <c r="A183" s="185">
        <v>160</v>
      </c>
      <c r="B183" s="149" t="s">
        <v>235</v>
      </c>
      <c r="C183" s="148" t="s">
        <v>92</v>
      </c>
      <c r="D183" s="33">
        <v>5846296837.0799999</v>
      </c>
      <c r="E183" s="34">
        <f t="shared" si="120"/>
        <v>5.050732908940804E-2</v>
      </c>
      <c r="F183" s="33">
        <v>3.6276999999999999</v>
      </c>
      <c r="G183" s="33">
        <v>3.7073</v>
      </c>
      <c r="H183" s="35">
        <v>10202</v>
      </c>
      <c r="I183" s="57">
        <v>7.7000000000000002E-3</v>
      </c>
      <c r="J183" s="57">
        <v>0.18679999999999999</v>
      </c>
      <c r="K183" s="33">
        <v>5186339129.0299997</v>
      </c>
      <c r="L183" s="61">
        <f t="shared" si="121"/>
        <v>4.3478758413072312E-2</v>
      </c>
      <c r="M183" s="33">
        <v>3.6166</v>
      </c>
      <c r="N183" s="33">
        <v>3.6293000000000002</v>
      </c>
      <c r="O183" s="35">
        <v>10202</v>
      </c>
      <c r="P183" s="57">
        <v>-1.29E-2</v>
      </c>
      <c r="Q183" s="57">
        <v>0.17150000000000001</v>
      </c>
      <c r="R183" s="63">
        <f t="shared" si="122"/>
        <v>-0.11288474164777847</v>
      </c>
      <c r="S183" s="63">
        <f t="shared" si="123"/>
        <v>-2.1039570576969722E-2</v>
      </c>
      <c r="T183" s="63">
        <f t="shared" si="123"/>
        <v>0</v>
      </c>
      <c r="U183" s="63">
        <f t="shared" si="124"/>
        <v>-2.06E-2</v>
      </c>
      <c r="V183" s="64">
        <f t="shared" si="124"/>
        <v>-1.529999999999998E-2</v>
      </c>
    </row>
    <row r="184" spans="1:22">
      <c r="A184" s="185">
        <v>161</v>
      </c>
      <c r="B184" s="149" t="s">
        <v>236</v>
      </c>
      <c r="C184" s="148" t="s">
        <v>94</v>
      </c>
      <c r="D184" s="33">
        <v>335843257.04000002</v>
      </c>
      <c r="E184" s="34">
        <f t="shared" si="120"/>
        <v>2.9014171497747749E-3</v>
      </c>
      <c r="F184" s="33">
        <v>382.74225625999998</v>
      </c>
      <c r="G184" s="33">
        <v>382.74225625999998</v>
      </c>
      <c r="H184" s="35">
        <v>32</v>
      </c>
      <c r="I184" s="57">
        <v>8.9999999999999998E-4</v>
      </c>
      <c r="J184" s="57">
        <v>0.1011</v>
      </c>
      <c r="K184" s="33">
        <v>332211755.23000002</v>
      </c>
      <c r="L184" s="61">
        <f t="shared" si="121"/>
        <v>2.7850385962572737E-3</v>
      </c>
      <c r="M184" s="33">
        <v>382.8354162</v>
      </c>
      <c r="N184" s="33">
        <v>382.8354162</v>
      </c>
      <c r="O184" s="35">
        <v>32</v>
      </c>
      <c r="P184" s="57">
        <v>-1.06E-2</v>
      </c>
      <c r="Q184" s="57">
        <v>8.9700000000000002E-2</v>
      </c>
      <c r="R184" s="63">
        <f t="shared" si="122"/>
        <v>-1.0813085372047469E-2</v>
      </c>
      <c r="S184" s="63">
        <f t="shared" si="123"/>
        <v>2.4340124059031676E-4</v>
      </c>
      <c r="T184" s="63">
        <f t="shared" si="123"/>
        <v>0</v>
      </c>
      <c r="U184" s="63">
        <f t="shared" si="124"/>
        <v>-1.15E-2</v>
      </c>
      <c r="V184" s="64">
        <f t="shared" si="124"/>
        <v>-1.1399999999999993E-2</v>
      </c>
    </row>
    <row r="185" spans="1:22">
      <c r="A185" s="185">
        <v>162</v>
      </c>
      <c r="B185" s="149" t="s">
        <v>237</v>
      </c>
      <c r="C185" s="149" t="s">
        <v>96</v>
      </c>
      <c r="D185" s="54">
        <v>82432181.799999997</v>
      </c>
      <c r="E185" s="34">
        <f t="shared" si="120"/>
        <v>7.1214812551495153E-4</v>
      </c>
      <c r="F185" s="33">
        <v>1.6285000000000001</v>
      </c>
      <c r="G185" s="33">
        <v>1.6285000000000001</v>
      </c>
      <c r="H185" s="35">
        <v>29</v>
      </c>
      <c r="I185" s="57">
        <v>4.0000000000000002E-4</v>
      </c>
      <c r="J185" s="57">
        <v>0.13519999999999999</v>
      </c>
      <c r="K185" s="54">
        <v>82591238.739999995</v>
      </c>
      <c r="L185" s="61">
        <f t="shared" si="121"/>
        <v>6.9238906806398063E-4</v>
      </c>
      <c r="M185" s="33">
        <v>1.6287</v>
      </c>
      <c r="N185" s="33">
        <v>1.6287</v>
      </c>
      <c r="O185" s="35">
        <v>29</v>
      </c>
      <c r="P185" s="57">
        <v>1.9E-3</v>
      </c>
      <c r="Q185" s="57">
        <v>0.13739999999999999</v>
      </c>
      <c r="R185" s="63">
        <f t="shared" si="122"/>
        <v>1.9295490732722255E-3</v>
      </c>
      <c r="S185" s="63">
        <f t="shared" si="123"/>
        <v>1.2281240405279581E-4</v>
      </c>
      <c r="T185" s="63">
        <f t="shared" si="123"/>
        <v>0</v>
      </c>
      <c r="U185" s="63">
        <f t="shared" si="124"/>
        <v>1.5E-3</v>
      </c>
      <c r="V185" s="64">
        <f t="shared" si="124"/>
        <v>2.2000000000000075E-3</v>
      </c>
    </row>
    <row r="186" spans="1:22" ht="13.5" customHeight="1">
      <c r="A186" s="185">
        <v>163</v>
      </c>
      <c r="B186" s="149" t="s">
        <v>238</v>
      </c>
      <c r="C186" s="148" t="s">
        <v>38</v>
      </c>
      <c r="D186" s="39">
        <v>11017064607.93</v>
      </c>
      <c r="E186" s="34">
        <f t="shared" si="120"/>
        <v>9.5178627301776272E-2</v>
      </c>
      <c r="F186" s="33">
        <v>7.4429999999999996</v>
      </c>
      <c r="G186" s="33">
        <v>7.5265000000000004</v>
      </c>
      <c r="H186" s="35">
        <v>6107</v>
      </c>
      <c r="I186" s="57">
        <v>-1.2999999999999999E-3</v>
      </c>
      <c r="J186" s="57">
        <v>0.1986</v>
      </c>
      <c r="K186" s="39">
        <v>11932404855.18</v>
      </c>
      <c r="L186" s="61">
        <f t="shared" si="121"/>
        <v>0.1000332093752563</v>
      </c>
      <c r="M186" s="33">
        <v>7.6016320000000004</v>
      </c>
      <c r="N186" s="33">
        <v>7.6831740000000002</v>
      </c>
      <c r="O186" s="35">
        <v>6711</v>
      </c>
      <c r="P186" s="57">
        <v>2.1299999999999999E-2</v>
      </c>
      <c r="Q186" s="57">
        <v>0.1986</v>
      </c>
      <c r="R186" s="63">
        <f t="shared" si="122"/>
        <v>8.3083859433042168E-2</v>
      </c>
      <c r="S186" s="63">
        <f t="shared" si="123"/>
        <v>2.0816315684581112E-2</v>
      </c>
      <c r="T186" s="63">
        <f t="shared" si="123"/>
        <v>9.8902898313410842E-2</v>
      </c>
      <c r="U186" s="63">
        <f t="shared" si="124"/>
        <v>2.2599999999999999E-2</v>
      </c>
      <c r="V186" s="64">
        <f t="shared" si="124"/>
        <v>0</v>
      </c>
    </row>
    <row r="187" spans="1:22" ht="13.5" customHeight="1">
      <c r="A187" s="185">
        <v>164</v>
      </c>
      <c r="B187" s="149" t="s">
        <v>239</v>
      </c>
      <c r="C187" s="148" t="s">
        <v>240</v>
      </c>
      <c r="D187" s="39">
        <v>119216737.67</v>
      </c>
      <c r="E187" s="34">
        <f t="shared" si="120"/>
        <v>1.0299372697387249E-3</v>
      </c>
      <c r="F187" s="33">
        <v>2.9693000000000001</v>
      </c>
      <c r="G187" s="33">
        <v>2.9870999999999999</v>
      </c>
      <c r="H187" s="35">
        <v>115</v>
      </c>
      <c r="I187" s="57">
        <v>-4.1999999999999998E-5</v>
      </c>
      <c r="J187" s="57">
        <v>6.5450000000000003E-4</v>
      </c>
      <c r="K187" s="39">
        <v>135244842.56</v>
      </c>
      <c r="L187" s="61">
        <f t="shared" si="121"/>
        <v>1.1338012594213113E-3</v>
      </c>
      <c r="M187" s="33">
        <v>2.9967999999999999</v>
      </c>
      <c r="N187" s="33">
        <v>3.0127999999999999</v>
      </c>
      <c r="O187" s="35">
        <v>117</v>
      </c>
      <c r="P187" s="57">
        <v>-8.8570000000000001E-5</v>
      </c>
      <c r="Q187" s="57">
        <v>7.4888000000000005E-4</v>
      </c>
      <c r="R187" s="63">
        <f t="shared" si="122"/>
        <v>0.13444508886299908</v>
      </c>
      <c r="S187" s="63">
        <f t="shared" si="123"/>
        <v>8.6036624150514062E-3</v>
      </c>
      <c r="T187" s="63">
        <f t="shared" si="123"/>
        <v>1.7391304347826087E-2</v>
      </c>
      <c r="U187" s="63">
        <f>P187-I187</f>
        <v>-4.6570000000000003E-5</v>
      </c>
      <c r="V187" s="64">
        <f>Q187-J187</f>
        <v>9.4380000000000028E-5</v>
      </c>
    </row>
    <row r="188" spans="1:22">
      <c r="A188" s="185">
        <v>165</v>
      </c>
      <c r="B188" s="149" t="s">
        <v>241</v>
      </c>
      <c r="C188" s="148" t="s">
        <v>151</v>
      </c>
      <c r="D188" s="39">
        <v>1345881913.46</v>
      </c>
      <c r="E188" s="34">
        <f t="shared" si="120"/>
        <v>1.1627343361607048E-2</v>
      </c>
      <c r="F188" s="33">
        <v>431.92</v>
      </c>
      <c r="G188" s="33">
        <v>437.29</v>
      </c>
      <c r="H188" s="35">
        <v>158</v>
      </c>
      <c r="I188" s="57">
        <v>1.37E-2</v>
      </c>
      <c r="J188" s="57">
        <v>1.3683000000000001</v>
      </c>
      <c r="K188" s="39">
        <v>1451107159.46</v>
      </c>
      <c r="L188" s="61">
        <f t="shared" si="121"/>
        <v>1.2165100670815773E-2</v>
      </c>
      <c r="M188" s="33">
        <v>439.87</v>
      </c>
      <c r="N188" s="33">
        <v>445.1</v>
      </c>
      <c r="O188" s="35">
        <v>158</v>
      </c>
      <c r="P188" s="57">
        <v>1.37E-2</v>
      </c>
      <c r="Q188" s="57">
        <v>1.3482000000000001</v>
      </c>
      <c r="R188" s="63">
        <f t="shared" si="122"/>
        <v>7.8183119148608218E-2</v>
      </c>
      <c r="S188" s="63">
        <f t="shared" si="123"/>
        <v>1.7860001372087177E-2</v>
      </c>
      <c r="T188" s="63">
        <f t="shared" si="123"/>
        <v>0</v>
      </c>
      <c r="U188" s="63">
        <f t="shared" si="124"/>
        <v>0</v>
      </c>
      <c r="V188" s="64">
        <f t="shared" si="124"/>
        <v>-2.0100000000000007E-2</v>
      </c>
    </row>
    <row r="189" spans="1:22">
      <c r="A189" s="185">
        <v>166</v>
      </c>
      <c r="B189" s="149" t="s">
        <v>242</v>
      </c>
      <c r="C189" s="148" t="s">
        <v>34</v>
      </c>
      <c r="D189" s="39">
        <v>2667838966.8200002</v>
      </c>
      <c r="E189" s="34">
        <f t="shared" si="120"/>
        <v>2.3047995065885885E-2</v>
      </c>
      <c r="F189" s="33">
        <v>552.22</v>
      </c>
      <c r="G189" s="33">
        <v>552.22</v>
      </c>
      <c r="H189" s="35">
        <v>823</v>
      </c>
      <c r="I189" s="57">
        <v>-8.8000000000000005E-3</v>
      </c>
      <c r="J189" s="57">
        <v>0.23830000000000001</v>
      </c>
      <c r="K189" s="39">
        <v>2834860108.2399998</v>
      </c>
      <c r="L189" s="61">
        <f t="shared" si="121"/>
        <v>2.3765549208132009E-2</v>
      </c>
      <c r="M189" s="33">
        <v>552.22</v>
      </c>
      <c r="N189" s="33">
        <v>552.22</v>
      </c>
      <c r="O189" s="35">
        <v>823</v>
      </c>
      <c r="P189" s="57">
        <v>-3.2649999999999998E-2</v>
      </c>
      <c r="Q189" s="57">
        <v>0.14187</v>
      </c>
      <c r="R189" s="63">
        <f t="shared" si="122"/>
        <v>6.2605405909894468E-2</v>
      </c>
      <c r="S189" s="63">
        <f t="shared" si="123"/>
        <v>0</v>
      </c>
      <c r="T189" s="63">
        <f t="shared" si="123"/>
        <v>0</v>
      </c>
      <c r="U189" s="63">
        <f t="shared" si="124"/>
        <v>-2.3849999999999996E-2</v>
      </c>
      <c r="V189" s="64">
        <f t="shared" si="124"/>
        <v>-9.6430000000000016E-2</v>
      </c>
    </row>
    <row r="190" spans="1:22">
      <c r="A190" s="185">
        <v>167</v>
      </c>
      <c r="B190" s="149" t="s">
        <v>243</v>
      </c>
      <c r="C190" s="148" t="s">
        <v>106</v>
      </c>
      <c r="D190" s="33">
        <v>49455704.109999999</v>
      </c>
      <c r="E190" s="34">
        <f t="shared" si="120"/>
        <v>4.2725773125125004E-4</v>
      </c>
      <c r="F190" s="33">
        <v>2.85</v>
      </c>
      <c r="G190" s="33">
        <v>2.85</v>
      </c>
      <c r="H190" s="35">
        <v>8</v>
      </c>
      <c r="I190" s="57">
        <v>2.4656999999999998E-2</v>
      </c>
      <c r="J190" s="57">
        <v>8.4527000000000005E-2</v>
      </c>
      <c r="K190" s="33">
        <v>56652369.759999998</v>
      </c>
      <c r="L190" s="61">
        <f t="shared" si="121"/>
        <v>4.749351396123937E-4</v>
      </c>
      <c r="M190" s="33">
        <v>3.17</v>
      </c>
      <c r="N190" s="33">
        <v>3.17</v>
      </c>
      <c r="O190" s="35">
        <v>8</v>
      </c>
      <c r="P190" s="57">
        <v>2.4656999999999998E-2</v>
      </c>
      <c r="Q190" s="57">
        <v>5.8400000000000001E-2</v>
      </c>
      <c r="R190" s="63">
        <f t="shared" si="122"/>
        <v>0.14551740349289305</v>
      </c>
      <c r="S190" s="63">
        <f t="shared" si="123"/>
        <v>0.11228070175438591</v>
      </c>
      <c r="T190" s="63">
        <f t="shared" si="123"/>
        <v>0</v>
      </c>
      <c r="U190" s="63">
        <f t="shared" si="124"/>
        <v>0</v>
      </c>
      <c r="V190" s="64">
        <f t="shared" si="124"/>
        <v>-2.6127000000000004E-2</v>
      </c>
    </row>
    <row r="191" spans="1:22">
      <c r="A191" s="185">
        <v>168</v>
      </c>
      <c r="B191" s="149" t="s">
        <v>244</v>
      </c>
      <c r="C191" s="148" t="s">
        <v>46</v>
      </c>
      <c r="D191" s="33">
        <v>551308972.14999998</v>
      </c>
      <c r="E191" s="34">
        <f t="shared" si="120"/>
        <v>4.7628686093590345E-3</v>
      </c>
      <c r="F191" s="33">
        <v>4.17</v>
      </c>
      <c r="G191" s="33">
        <v>4.24</v>
      </c>
      <c r="H191" s="35">
        <v>139</v>
      </c>
      <c r="I191" s="57">
        <v>4.7000000000000002E-3</v>
      </c>
      <c r="J191" s="57">
        <v>0.18260000000000001</v>
      </c>
      <c r="K191" s="33">
        <v>555428485.73000002</v>
      </c>
      <c r="L191" s="61">
        <f t="shared" si="121"/>
        <v>4.6563366463291608E-3</v>
      </c>
      <c r="M191" s="33">
        <v>4.1900000000000004</v>
      </c>
      <c r="N191" s="33">
        <v>4.25</v>
      </c>
      <c r="O191" s="35">
        <v>138</v>
      </c>
      <c r="P191" s="57">
        <v>5.3E-3</v>
      </c>
      <c r="Q191" s="57">
        <v>0.18770000000000001</v>
      </c>
      <c r="R191" s="63">
        <f t="shared" si="122"/>
        <v>7.4722411353740983E-3</v>
      </c>
      <c r="S191" s="63">
        <f t="shared" si="123"/>
        <v>2.3584905660376855E-3</v>
      </c>
      <c r="T191" s="63">
        <f t="shared" si="123"/>
        <v>-7.1942446043165471E-3</v>
      </c>
      <c r="U191" s="63">
        <f t="shared" si="124"/>
        <v>5.9999999999999984E-4</v>
      </c>
      <c r="V191" s="64">
        <f t="shared" si="124"/>
        <v>5.0999999999999934E-3</v>
      </c>
    </row>
    <row r="192" spans="1:22">
      <c r="A192" s="185">
        <v>169</v>
      </c>
      <c r="B192" s="149" t="s">
        <v>326</v>
      </c>
      <c r="C192" s="148" t="s">
        <v>327</v>
      </c>
      <c r="D192" s="33">
        <v>218568161.08618</v>
      </c>
      <c r="E192" s="34">
        <f t="shared" si="120"/>
        <v>1.8882541116335353E-3</v>
      </c>
      <c r="F192" s="33">
        <v>124.18604171412601</v>
      </c>
      <c r="G192" s="33">
        <v>124.906915606873</v>
      </c>
      <c r="H192" s="35">
        <v>108</v>
      </c>
      <c r="I192" s="57">
        <v>7.6E-3</v>
      </c>
      <c r="J192" s="57">
        <v>7.7299999999999994E-2</v>
      </c>
      <c r="K192" s="33">
        <v>218920149.48438999</v>
      </c>
      <c r="L192" s="34">
        <f t="shared" si="121"/>
        <v>1.8352784217112485E-3</v>
      </c>
      <c r="M192" s="33">
        <v>122.208384126304</v>
      </c>
      <c r="N192" s="33">
        <v>122.88832012789899</v>
      </c>
      <c r="O192" s="35">
        <v>108</v>
      </c>
      <c r="P192" s="57">
        <v>-1.6E-2</v>
      </c>
      <c r="Q192" s="57">
        <v>6.0199999999999997E-2</v>
      </c>
      <c r="R192" s="63">
        <f t="shared" ref="R192" si="130">((K192-D192)/D192)</f>
        <v>1.6104285109998357E-3</v>
      </c>
      <c r="S192" s="63">
        <f t="shared" ref="S192" si="131">((N192-G192)/G192)</f>
        <v>-1.6160798376666771E-2</v>
      </c>
      <c r="T192" s="63">
        <f t="shared" ref="T192" si="132">((O192-H192)/H192)</f>
        <v>0</v>
      </c>
      <c r="U192" s="63">
        <f t="shared" ref="U192" si="133">P192-I192</f>
        <v>-2.3599999999999999E-2</v>
      </c>
      <c r="V192" s="64">
        <f t="shared" ref="V192" si="134">Q192-J192</f>
        <v>-1.7099999999999997E-2</v>
      </c>
    </row>
    <row r="193" spans="1:22">
      <c r="A193" s="185">
        <v>170</v>
      </c>
      <c r="B193" s="149" t="s">
        <v>245</v>
      </c>
      <c r="C193" s="148" t="s">
        <v>50</v>
      </c>
      <c r="D193" s="39">
        <v>8843429548.1000004</v>
      </c>
      <c r="E193" s="34">
        <f t="shared" si="120"/>
        <v>7.640015875211191E-2</v>
      </c>
      <c r="F193" s="33">
        <v>11700.67</v>
      </c>
      <c r="G193" s="33">
        <v>11814.87</v>
      </c>
      <c r="H193" s="35">
        <v>5253</v>
      </c>
      <c r="I193" s="57">
        <v>2E-3</v>
      </c>
      <c r="J193" s="57">
        <v>0.21410000000000001</v>
      </c>
      <c r="K193" s="39">
        <v>9762183181.2900009</v>
      </c>
      <c r="L193" s="34">
        <f t="shared" si="121"/>
        <v>8.1839539136124712E-2</v>
      </c>
      <c r="M193" s="33">
        <v>11918.79</v>
      </c>
      <c r="N193" s="33">
        <v>12027.98</v>
      </c>
      <c r="O193" s="35">
        <v>5613</v>
      </c>
      <c r="P193" s="57">
        <v>1.7999999999999999E-2</v>
      </c>
      <c r="Q193" s="57">
        <v>0.23599999999999999</v>
      </c>
      <c r="R193" s="63">
        <f t="shared" si="122"/>
        <v>0.10389110109294573</v>
      </c>
      <c r="S193" s="63">
        <f t="shared" si="123"/>
        <v>1.8037439260863534E-2</v>
      </c>
      <c r="T193" s="63">
        <f t="shared" si="123"/>
        <v>6.8532267275842371E-2</v>
      </c>
      <c r="U193" s="63">
        <f t="shared" si="124"/>
        <v>1.6E-2</v>
      </c>
      <c r="V193" s="64">
        <f t="shared" si="124"/>
        <v>2.1899999999999975E-2</v>
      </c>
    </row>
    <row r="194" spans="1:22">
      <c r="A194" s="185">
        <v>171</v>
      </c>
      <c r="B194" s="149" t="s">
        <v>246</v>
      </c>
      <c r="C194" s="149" t="s">
        <v>116</v>
      </c>
      <c r="D194" s="39">
        <v>184575019.69999999</v>
      </c>
      <c r="E194" s="34">
        <f t="shared" si="120"/>
        <v>1.5945805561128584E-3</v>
      </c>
      <c r="F194" s="33">
        <v>1649.3510000000001</v>
      </c>
      <c r="G194" s="33">
        <v>1678.2362000000001</v>
      </c>
      <c r="H194" s="35">
        <v>68</v>
      </c>
      <c r="I194" s="57">
        <v>7.0000000000000001E-3</v>
      </c>
      <c r="J194" s="57">
        <v>0.14460000000000001</v>
      </c>
      <c r="K194" s="39">
        <v>187249288.33000001</v>
      </c>
      <c r="L194" s="34">
        <f t="shared" si="121"/>
        <v>1.5697713488786972E-3</v>
      </c>
      <c r="M194" s="33">
        <v>1661.9333999999999</v>
      </c>
      <c r="N194" s="33">
        <v>1690.2946099999999</v>
      </c>
      <c r="O194" s="35">
        <v>71</v>
      </c>
      <c r="P194" s="57">
        <v>7.6E-3</v>
      </c>
      <c r="Q194" s="57">
        <v>0.1525</v>
      </c>
      <c r="R194" s="63">
        <f t="shared" si="122"/>
        <v>1.4488789622488797E-2</v>
      </c>
      <c r="S194" s="63">
        <f t="shared" si="123"/>
        <v>7.1851685716229135E-3</v>
      </c>
      <c r="T194" s="63">
        <f t="shared" si="123"/>
        <v>4.4117647058823532E-2</v>
      </c>
      <c r="U194" s="63">
        <f t="shared" si="124"/>
        <v>5.9999999999999984E-4</v>
      </c>
      <c r="V194" s="64">
        <f t="shared" si="124"/>
        <v>7.8999999999999904E-3</v>
      </c>
    </row>
    <row r="195" spans="1:22">
      <c r="A195" s="185">
        <v>172</v>
      </c>
      <c r="B195" s="149" t="s">
        <v>247</v>
      </c>
      <c r="C195" s="149" t="s">
        <v>96</v>
      </c>
      <c r="D195" s="39">
        <v>821918084.75999999</v>
      </c>
      <c r="E195" s="34">
        <f t="shared" si="120"/>
        <v>7.1007149223444805E-3</v>
      </c>
      <c r="F195" s="33">
        <v>1.5634999999999999</v>
      </c>
      <c r="G195" s="33">
        <v>1.5634999999999999</v>
      </c>
      <c r="H195" s="35">
        <v>47</v>
      </c>
      <c r="I195" s="57">
        <v>2.8E-3</v>
      </c>
      <c r="J195" s="57">
        <v>2.4199999999999999E-2</v>
      </c>
      <c r="K195" s="39">
        <v>823986273.13</v>
      </c>
      <c r="L195" s="34">
        <f t="shared" si="121"/>
        <v>6.9077434417227548E-3</v>
      </c>
      <c r="M195" s="33">
        <v>1.5673999999999999</v>
      </c>
      <c r="N195" s="33">
        <v>1.5673999999999999</v>
      </c>
      <c r="O195" s="35">
        <v>47</v>
      </c>
      <c r="P195" s="57">
        <v>2.5000000000000001E-3</v>
      </c>
      <c r="Q195" s="57">
        <v>2.6800000000000001E-2</v>
      </c>
      <c r="R195" s="63">
        <f t="shared" si="122"/>
        <v>2.5162950035390883E-3</v>
      </c>
      <c r="S195" s="63">
        <f t="shared" si="123"/>
        <v>2.4944035817077164E-3</v>
      </c>
      <c r="T195" s="63">
        <f t="shared" si="123"/>
        <v>0</v>
      </c>
      <c r="U195" s="63">
        <f t="shared" si="124"/>
        <v>-2.9999999999999992E-4</v>
      </c>
      <c r="V195" s="64">
        <f t="shared" si="124"/>
        <v>2.6000000000000016E-3</v>
      </c>
    </row>
    <row r="196" spans="1:22">
      <c r="A196" s="185">
        <v>173</v>
      </c>
      <c r="B196" s="149" t="s">
        <v>248</v>
      </c>
      <c r="C196" s="148" t="s">
        <v>53</v>
      </c>
      <c r="D196" s="33">
        <v>5095142306.1099997</v>
      </c>
      <c r="E196" s="34">
        <f t="shared" si="120"/>
        <v>4.4017954678571468E-2</v>
      </c>
      <c r="F196" s="33">
        <v>2.7286999999999999</v>
      </c>
      <c r="G196" s="33">
        <v>2.75</v>
      </c>
      <c r="H196" s="35">
        <v>2823</v>
      </c>
      <c r="I196" s="57">
        <v>7.4999999999999997E-3</v>
      </c>
      <c r="J196" s="57">
        <v>0.22850000000000001</v>
      </c>
      <c r="K196" s="33">
        <v>5371760199.4899998</v>
      </c>
      <c r="L196" s="61">
        <f t="shared" si="121"/>
        <v>4.5033203220219239E-2</v>
      </c>
      <c r="M196" s="33">
        <v>2.7638500000000001</v>
      </c>
      <c r="N196" s="33">
        <v>2.78478</v>
      </c>
      <c r="O196" s="35">
        <v>3195</v>
      </c>
      <c r="P196" s="57">
        <v>1.29E-2</v>
      </c>
      <c r="Q196" s="57">
        <v>0.24440000000000001</v>
      </c>
      <c r="R196" s="63">
        <f t="shared" si="122"/>
        <v>5.4290513740565226E-2</v>
      </c>
      <c r="S196" s="63">
        <f t="shared" si="123"/>
        <v>1.264727272727274E-2</v>
      </c>
      <c r="T196" s="63">
        <f t="shared" si="123"/>
        <v>0.13177470775770456</v>
      </c>
      <c r="U196" s="63">
        <f t="shared" si="124"/>
        <v>5.4000000000000003E-3</v>
      </c>
      <c r="V196" s="64">
        <f t="shared" si="124"/>
        <v>1.5899999999999997E-2</v>
      </c>
    </row>
    <row r="197" spans="1:22">
      <c r="A197" s="185">
        <v>174</v>
      </c>
      <c r="B197" s="149" t="s">
        <v>249</v>
      </c>
      <c r="C197" s="148" t="s">
        <v>53</v>
      </c>
      <c r="D197" s="33">
        <v>3395573784.9099998</v>
      </c>
      <c r="E197" s="34">
        <f t="shared" si="120"/>
        <v>2.9335041887382941E-2</v>
      </c>
      <c r="F197" s="33">
        <v>2.1631999999999998</v>
      </c>
      <c r="G197" s="33">
        <v>2.1795</v>
      </c>
      <c r="H197" s="35">
        <v>1598</v>
      </c>
      <c r="I197" s="57">
        <v>1.1599999999999999E-2</v>
      </c>
      <c r="J197" s="57">
        <v>0.21010000000000001</v>
      </c>
      <c r="K197" s="33">
        <v>3601547925.5500002</v>
      </c>
      <c r="L197" s="61">
        <f t="shared" si="121"/>
        <v>3.0192941161828218E-2</v>
      </c>
      <c r="M197" s="33">
        <v>2.2021999999999999</v>
      </c>
      <c r="N197" s="33">
        <v>2.2186699999999999</v>
      </c>
      <c r="O197" s="35">
        <v>1617</v>
      </c>
      <c r="P197" s="57">
        <v>1.7999999999999999E-2</v>
      </c>
      <c r="Q197" s="57">
        <v>0.2319</v>
      </c>
      <c r="R197" s="63">
        <f t="shared" si="122"/>
        <v>6.0659597961132135E-2</v>
      </c>
      <c r="S197" s="63">
        <f t="shared" si="123"/>
        <v>1.7972011929341558E-2</v>
      </c>
      <c r="T197" s="63">
        <f t="shared" si="123"/>
        <v>1.1889862327909888E-2</v>
      </c>
      <c r="U197" s="63">
        <f t="shared" si="124"/>
        <v>6.3999999999999994E-3</v>
      </c>
      <c r="V197" s="64">
        <f t="shared" si="124"/>
        <v>2.1799999999999986E-2</v>
      </c>
    </row>
    <row r="198" spans="1:22">
      <c r="A198" s="185">
        <v>175</v>
      </c>
      <c r="B198" s="149" t="s">
        <v>250</v>
      </c>
      <c r="C198" s="148" t="s">
        <v>121</v>
      </c>
      <c r="D198" s="39">
        <v>12972574049.27</v>
      </c>
      <c r="E198" s="34">
        <f t="shared" si="120"/>
        <v>0.1120726649539141</v>
      </c>
      <c r="F198" s="33">
        <v>820.44</v>
      </c>
      <c r="G198" s="33">
        <v>830.55</v>
      </c>
      <c r="H198" s="35">
        <v>41</v>
      </c>
      <c r="I198" s="57">
        <v>1.6500000000000001E-2</v>
      </c>
      <c r="J198" s="57">
        <v>0.19409999999999999</v>
      </c>
      <c r="K198" s="39">
        <v>13076017962.559999</v>
      </c>
      <c r="L198" s="61">
        <f t="shared" si="121"/>
        <v>0.10962048795013374</v>
      </c>
      <c r="M198" s="33">
        <v>827.26</v>
      </c>
      <c r="N198" s="33">
        <v>837.02</v>
      </c>
      <c r="O198" s="35">
        <v>41</v>
      </c>
      <c r="P198" s="57">
        <v>8.0000000000000002E-3</v>
      </c>
      <c r="Q198" s="57">
        <v>0.2036</v>
      </c>
      <c r="R198" s="63">
        <f t="shared" si="122"/>
        <v>7.9740468543187896E-3</v>
      </c>
      <c r="S198" s="63">
        <f t="shared" si="123"/>
        <v>7.790018662332223E-3</v>
      </c>
      <c r="T198" s="63">
        <f t="shared" si="123"/>
        <v>0</v>
      </c>
      <c r="U198" s="63">
        <f t="shared" si="124"/>
        <v>-8.5000000000000006E-3</v>
      </c>
      <c r="V198" s="64">
        <f t="shared" si="124"/>
        <v>9.5000000000000084E-3</v>
      </c>
    </row>
    <row r="199" spans="1:22">
      <c r="A199" s="42"/>
      <c r="B199" s="43"/>
      <c r="C199" s="44" t="s">
        <v>56</v>
      </c>
      <c r="D199" s="86">
        <f>SUM(D170:D198)</f>
        <v>115751455134.97435</v>
      </c>
      <c r="E199" s="46">
        <f>(D199/$D$234)</f>
        <v>1.4040007419239121E-2</v>
      </c>
      <c r="F199" s="47"/>
      <c r="G199" s="87"/>
      <c r="H199" s="49">
        <f>SUM(H170:H198)</f>
        <v>83859</v>
      </c>
      <c r="I199" s="105"/>
      <c r="J199" s="105"/>
      <c r="K199" s="86">
        <f>SUM(K170:K198)</f>
        <v>119284434936.1797</v>
      </c>
      <c r="L199" s="46">
        <f>(K199/$K$234)</f>
        <v>1.4295302072404039E-2</v>
      </c>
      <c r="M199" s="47"/>
      <c r="N199" s="87"/>
      <c r="O199" s="49">
        <f>SUM(O170:O198)</f>
        <v>85432</v>
      </c>
      <c r="P199" s="105"/>
      <c r="Q199" s="105"/>
      <c r="R199" s="63">
        <f t="shared" ref="R199" si="135">((K199-D199)/D199)</f>
        <v>3.0522119977547144E-2</v>
      </c>
      <c r="S199" s="63" t="e">
        <f t="shared" ref="S199" si="136">((N199-G199)/G199)</f>
        <v>#DIV/0!</v>
      </c>
      <c r="T199" s="63">
        <f t="shared" ref="T199" si="137">((O199-H199)/H199)</f>
        <v>1.8757676576157598E-2</v>
      </c>
      <c r="U199" s="63">
        <f t="shared" ref="U199" si="138">P199-I199</f>
        <v>0</v>
      </c>
      <c r="V199" s="64">
        <f t="shared" ref="V199" si="139">Q199-J199</f>
        <v>0</v>
      </c>
    </row>
    <row r="200" spans="1:22" ht="5.25" customHeight="1">
      <c r="A200" s="4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</row>
    <row r="201" spans="1:22" ht="15" customHeight="1">
      <c r="A201" s="194" t="s">
        <v>251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</row>
    <row r="202" spans="1:22" ht="15" customHeight="1">
      <c r="A202" s="182">
        <v>176</v>
      </c>
      <c r="B202" s="149" t="s">
        <v>331</v>
      </c>
      <c r="C202" s="148" t="s">
        <v>137</v>
      </c>
      <c r="D202" s="88">
        <v>583748990.58352804</v>
      </c>
      <c r="E202" s="34">
        <v>0</v>
      </c>
      <c r="F202" s="89">
        <v>1000</v>
      </c>
      <c r="G202" s="89">
        <v>1000</v>
      </c>
      <c r="H202" s="35">
        <v>30</v>
      </c>
      <c r="I202" s="57">
        <v>1.8E-3</v>
      </c>
      <c r="J202" s="57">
        <v>1.38E-2</v>
      </c>
      <c r="K202" s="88">
        <v>584901748.43014705</v>
      </c>
      <c r="L202" s="61">
        <f>(K202/$K$205)</f>
        <v>3.956284141169527E-2</v>
      </c>
      <c r="M202" s="89">
        <v>1000</v>
      </c>
      <c r="N202" s="89">
        <v>1000</v>
      </c>
      <c r="O202" s="35">
        <v>30</v>
      </c>
      <c r="P202" s="57">
        <v>1.9499999999999999E-3</v>
      </c>
      <c r="Q202" s="57">
        <v>1.6570000000000001E-2</v>
      </c>
      <c r="R202" s="63">
        <f>((K202-D202)/D202)</f>
        <v>1.9747491905154103E-3</v>
      </c>
      <c r="S202" s="63">
        <f t="shared" ref="S202" si="140">((N202-G202)/G202)</f>
        <v>0</v>
      </c>
      <c r="T202" s="63">
        <f t="shared" ref="T202" si="141">((O202-H202)/H202)</f>
        <v>0</v>
      </c>
      <c r="U202" s="63">
        <f t="shared" ref="U202" si="142">P202-I202</f>
        <v>1.4999999999999996E-4</v>
      </c>
      <c r="V202" s="64">
        <f t="shared" ref="V202" si="143">Q202-J202</f>
        <v>2.7700000000000016E-3</v>
      </c>
    </row>
    <row r="203" spans="1:22">
      <c r="A203" s="182">
        <v>177</v>
      </c>
      <c r="B203" s="149" t="s">
        <v>252</v>
      </c>
      <c r="C203" s="148" t="s">
        <v>253</v>
      </c>
      <c r="D203" s="88">
        <v>1831632795.6800001</v>
      </c>
      <c r="E203" s="34">
        <f>(D203/$D$205)</f>
        <v>0.13036197713161707</v>
      </c>
      <c r="F203" s="89">
        <v>50.187399999999997</v>
      </c>
      <c r="G203" s="89">
        <v>50.723700000000001</v>
      </c>
      <c r="H203" s="35">
        <v>1536</v>
      </c>
      <c r="I203" s="57">
        <v>1.01E-2</v>
      </c>
      <c r="J203" s="57">
        <v>0.25580000000000003</v>
      </c>
      <c r="K203" s="88">
        <v>1838235044.3099999</v>
      </c>
      <c r="L203" s="61">
        <f>(K203/$K$205)</f>
        <v>0.12433849228635459</v>
      </c>
      <c r="M203" s="89">
        <v>50.091700000000003</v>
      </c>
      <c r="N203" s="89">
        <v>50.623100000000001</v>
      </c>
      <c r="O203" s="35">
        <v>1540</v>
      </c>
      <c r="P203" s="57">
        <v>4.3E-3</v>
      </c>
      <c r="Q203" s="57">
        <v>0.25330000000000003</v>
      </c>
      <c r="R203" s="63">
        <f>((K203-D203)/D203)</f>
        <v>3.6045700020067442E-3</v>
      </c>
      <c r="S203" s="63">
        <f t="shared" ref="S203:T205" si="144">((N203-G203)/G203)</f>
        <v>-1.9832938054597758E-3</v>
      </c>
      <c r="T203" s="63">
        <f t="shared" si="144"/>
        <v>2.6041666666666665E-3</v>
      </c>
      <c r="U203" s="63">
        <f t="shared" ref="U203:V205" si="145">P203-I203</f>
        <v>-5.7999999999999996E-3</v>
      </c>
      <c r="V203" s="64">
        <f t="shared" si="145"/>
        <v>-2.5000000000000022E-3</v>
      </c>
    </row>
    <row r="204" spans="1:22">
      <c r="A204" s="182">
        <v>178</v>
      </c>
      <c r="B204" s="149" t="s">
        <v>254</v>
      </c>
      <c r="C204" s="148" t="s">
        <v>50</v>
      </c>
      <c r="D204" s="51">
        <v>11634978878.57</v>
      </c>
      <c r="E204" s="34">
        <f>(D204/$D$205)</f>
        <v>0.82809111852132333</v>
      </c>
      <c r="F204" s="89">
        <v>5.86</v>
      </c>
      <c r="G204" s="89">
        <v>5.95</v>
      </c>
      <c r="H204" s="35">
        <v>13170</v>
      </c>
      <c r="I204" s="57">
        <v>6.7999999999999996E-3</v>
      </c>
      <c r="J204" s="57">
        <v>0.3135</v>
      </c>
      <c r="K204" s="51">
        <v>12360982030.870001</v>
      </c>
      <c r="L204" s="61">
        <f>(K204/$K$205)</f>
        <v>0.83609866630195018</v>
      </c>
      <c r="M204" s="89">
        <v>5.99</v>
      </c>
      <c r="N204" s="89">
        <v>6.08</v>
      </c>
      <c r="O204" s="35">
        <v>13552</v>
      </c>
      <c r="P204" s="57">
        <v>2.18E-2</v>
      </c>
      <c r="Q204" s="57">
        <v>0.3422</v>
      </c>
      <c r="R204" s="63">
        <f>((K204-D204)/D204)</f>
        <v>6.2398321464699619E-2</v>
      </c>
      <c r="S204" s="63">
        <f t="shared" si="144"/>
        <v>2.1848739495798301E-2</v>
      </c>
      <c r="T204" s="63">
        <f t="shared" si="144"/>
        <v>2.9005315110098708E-2</v>
      </c>
      <c r="U204" s="63">
        <f t="shared" si="145"/>
        <v>1.4999999999999999E-2</v>
      </c>
      <c r="V204" s="64">
        <f t="shared" si="145"/>
        <v>2.8700000000000003E-2</v>
      </c>
    </row>
    <row r="205" spans="1:22">
      <c r="A205" s="42"/>
      <c r="B205" s="43"/>
      <c r="C205" s="78" t="s">
        <v>56</v>
      </c>
      <c r="D205" s="86">
        <f>SUM(D202:D204)</f>
        <v>14050360664.833527</v>
      </c>
      <c r="E205" s="46">
        <f>(D205/$D$234)</f>
        <v>1.7042305666673547E-3</v>
      </c>
      <c r="F205" s="47"/>
      <c r="G205" s="87"/>
      <c r="H205" s="49">
        <f>SUM(H202:H204)</f>
        <v>14736</v>
      </c>
      <c r="I205" s="105"/>
      <c r="J205" s="105"/>
      <c r="K205" s="86">
        <f>SUM(K202:K204)</f>
        <v>14784118823.610147</v>
      </c>
      <c r="L205" s="46">
        <f>(K205/$K$234)</f>
        <v>1.7717604528276968E-3</v>
      </c>
      <c r="M205" s="47"/>
      <c r="N205" s="87"/>
      <c r="O205" s="49">
        <f>SUM(O202:O204)</f>
        <v>15122</v>
      </c>
      <c r="P205" s="105"/>
      <c r="Q205" s="105"/>
      <c r="R205" s="63">
        <f>((K205-D205)/D205)</f>
        <v>5.222343940345496E-2</v>
      </c>
      <c r="S205" s="63" t="e">
        <f t="shared" si="144"/>
        <v>#DIV/0!</v>
      </c>
      <c r="T205" s="63">
        <f t="shared" si="144"/>
        <v>2.6194353963083606E-2</v>
      </c>
      <c r="U205" s="63">
        <f t="shared" si="145"/>
        <v>0</v>
      </c>
      <c r="V205" s="64">
        <f t="shared" si="145"/>
        <v>0</v>
      </c>
    </row>
    <row r="206" spans="1:22" ht="6" customHeight="1">
      <c r="A206" s="4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</row>
    <row r="207" spans="1:22" ht="15" customHeight="1">
      <c r="A207" s="195" t="s">
        <v>255</v>
      </c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</row>
    <row r="208" spans="1:22">
      <c r="A208" s="196" t="s">
        <v>256</v>
      </c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</row>
    <row r="209" spans="1:24">
      <c r="A209" s="182">
        <v>179</v>
      </c>
      <c r="B209" s="149" t="s">
        <v>257</v>
      </c>
      <c r="C209" s="148" t="s">
        <v>258</v>
      </c>
      <c r="D209" s="55">
        <v>12134753906.66</v>
      </c>
      <c r="E209" s="34">
        <f>(D209/$D$233)</f>
        <v>0.11625535578485861</v>
      </c>
      <c r="F209" s="90">
        <v>3.56</v>
      </c>
      <c r="G209" s="90">
        <v>3.62</v>
      </c>
      <c r="H209" s="53">
        <v>15868</v>
      </c>
      <c r="I209" s="60">
        <v>5.5999999999999999E-3</v>
      </c>
      <c r="J209" s="60">
        <v>0.20610000000000001</v>
      </c>
      <c r="K209" s="55">
        <v>12890442734.09</v>
      </c>
      <c r="L209" s="34">
        <f>(K209/$K$233)</f>
        <v>0.11889944685398372</v>
      </c>
      <c r="M209" s="90">
        <v>3.66</v>
      </c>
      <c r="N209" s="90">
        <v>3.73</v>
      </c>
      <c r="O209" s="53">
        <v>15927</v>
      </c>
      <c r="P209" s="60">
        <v>3.0599999999999999E-2</v>
      </c>
      <c r="Q209" s="60">
        <v>0.24299999999999999</v>
      </c>
      <c r="R209" s="62">
        <f>((K209-D209)/D209)</f>
        <v>6.2274755074781571E-2</v>
      </c>
      <c r="S209" s="62">
        <f>((N209-G209)/G209)</f>
        <v>3.0386740331491677E-2</v>
      </c>
      <c r="T209" s="62">
        <f>((O209-H209)/H209)</f>
        <v>3.7181749432820773E-3</v>
      </c>
      <c r="U209" s="62">
        <f>P209-I209</f>
        <v>2.4999999999999998E-2</v>
      </c>
      <c r="V209" s="109">
        <f>Q209-J209</f>
        <v>3.6899999999999988E-2</v>
      </c>
    </row>
    <row r="210" spans="1:24">
      <c r="A210" s="182">
        <v>180</v>
      </c>
      <c r="B210" s="149" t="s">
        <v>259</v>
      </c>
      <c r="C210" s="148" t="s">
        <v>50</v>
      </c>
      <c r="D210" s="55">
        <v>17353385601.02</v>
      </c>
      <c r="E210" s="34">
        <f>(D210/$D$233)</f>
        <v>0.16625174541126755</v>
      </c>
      <c r="F210" s="90">
        <v>1204.71</v>
      </c>
      <c r="G210" s="90">
        <v>1217.6400000000001</v>
      </c>
      <c r="H210" s="53">
        <v>4458</v>
      </c>
      <c r="I210" s="60">
        <v>8.3999999999999995E-3</v>
      </c>
      <c r="J210" s="60">
        <v>0.28060000000000002</v>
      </c>
      <c r="K210" s="55">
        <v>19249680540.540001</v>
      </c>
      <c r="L210" s="34">
        <f>(K210/$K$233)</f>
        <v>0.1775560712382061</v>
      </c>
      <c r="M210" s="90">
        <v>1243.2</v>
      </c>
      <c r="N210" s="90">
        <v>1255.94</v>
      </c>
      <c r="O210" s="53">
        <v>4918</v>
      </c>
      <c r="P210" s="60">
        <v>3.15E-2</v>
      </c>
      <c r="Q210" s="60">
        <v>0.32090000000000002</v>
      </c>
      <c r="R210" s="62">
        <f>((K210-D210)/D210)</f>
        <v>0.10927521482658345</v>
      </c>
      <c r="S210" s="62">
        <f>((N210-G210)/G210)</f>
        <v>3.1454288623895363E-2</v>
      </c>
      <c r="T210" s="62">
        <f>((O210-H210)/H210)</f>
        <v>0.1031852848811126</v>
      </c>
      <c r="U210" s="62">
        <f>P210-I210</f>
        <v>2.3100000000000002E-2</v>
      </c>
      <c r="V210" s="109">
        <f>Q210-J210</f>
        <v>4.0300000000000002E-2</v>
      </c>
    </row>
    <row r="211" spans="1:24" ht="6" customHeight="1">
      <c r="A211" s="77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</row>
    <row r="212" spans="1:24" ht="15" customHeight="1">
      <c r="A212" s="196" t="s">
        <v>193</v>
      </c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</row>
    <row r="213" spans="1:24">
      <c r="A213" s="182">
        <v>181</v>
      </c>
      <c r="B213" s="149" t="s">
        <v>260</v>
      </c>
      <c r="C213" s="148" t="s">
        <v>24</v>
      </c>
      <c r="D213" s="39">
        <v>1399282443.23</v>
      </c>
      <c r="E213" s="34">
        <f>(D213/$D$233)</f>
        <v>1.3405634719294008E-2</v>
      </c>
      <c r="F213" s="89">
        <v>1.1594</v>
      </c>
      <c r="G213" s="89">
        <v>1.1594</v>
      </c>
      <c r="H213" s="35">
        <v>900</v>
      </c>
      <c r="I213" s="57">
        <v>0.1353</v>
      </c>
      <c r="J213" s="57">
        <v>0.13700000000000001</v>
      </c>
      <c r="K213" s="39">
        <v>1406687176.8599999</v>
      </c>
      <c r="L213" s="34">
        <f t="shared" ref="L213:L226" si="146">(K213/$K$233)</f>
        <v>1.2975064602158776E-2</v>
      </c>
      <c r="M213" s="89">
        <v>1.1624000000000001</v>
      </c>
      <c r="N213" s="89">
        <v>1.1624000000000001</v>
      </c>
      <c r="O213" s="35">
        <v>900</v>
      </c>
      <c r="P213" s="57">
        <v>0.13489999999999999</v>
      </c>
      <c r="Q213" s="57">
        <v>0.1371</v>
      </c>
      <c r="R213" s="63">
        <f>((K213-D213)/D213)</f>
        <v>5.2918077160371835E-3</v>
      </c>
      <c r="S213" s="63">
        <f>((N213-G213)/G213)</f>
        <v>2.587545282042534E-3</v>
      </c>
      <c r="T213" s="63">
        <f>((O213-H213)/H213)</f>
        <v>0</v>
      </c>
      <c r="U213" s="63">
        <f>P213-I213</f>
        <v>-4.0000000000001146E-4</v>
      </c>
      <c r="V213" s="64">
        <f>Q213-J213</f>
        <v>9.9999999999988987E-5</v>
      </c>
      <c r="X213" s="110"/>
    </row>
    <row r="214" spans="1:24">
      <c r="A214" s="182">
        <v>182</v>
      </c>
      <c r="B214" s="149" t="s">
        <v>261</v>
      </c>
      <c r="C214" s="148" t="s">
        <v>262</v>
      </c>
      <c r="D214" s="39">
        <v>374621548.85000002</v>
      </c>
      <c r="E214" s="34">
        <f>(D214/$D$233)</f>
        <v>3.5890106862677068E-3</v>
      </c>
      <c r="F214" s="89">
        <v>1144.52</v>
      </c>
      <c r="G214" s="89">
        <v>1144.52</v>
      </c>
      <c r="H214" s="35">
        <v>19</v>
      </c>
      <c r="I214" s="57">
        <v>2.3999999999999998E-3</v>
      </c>
      <c r="J214" s="57">
        <v>1.9300000000000001E-2</v>
      </c>
      <c r="K214" s="39">
        <v>373472645.94999999</v>
      </c>
      <c r="L214" s="34">
        <f t="shared" si="146"/>
        <v>3.4448538296604531E-3</v>
      </c>
      <c r="M214" s="89">
        <v>1141.01</v>
      </c>
      <c r="N214" s="89">
        <v>1141.01</v>
      </c>
      <c r="O214" s="35">
        <v>19</v>
      </c>
      <c r="P214" s="57">
        <v>2.0999999999999999E-3</v>
      </c>
      <c r="Q214" s="57">
        <v>2.1399999999999999E-2</v>
      </c>
      <c r="R214" s="63">
        <f>((K214-D214)/D214)</f>
        <v>-3.0668361270911864E-3</v>
      </c>
      <c r="S214" s="63">
        <f>((N214-G214)/G214)</f>
        <v>-3.0667878237164844E-3</v>
      </c>
      <c r="T214" s="63">
        <f>((O214-H214)/H214)</f>
        <v>0</v>
      </c>
      <c r="U214" s="63">
        <f>P214-I214</f>
        <v>-2.9999999999999992E-4</v>
      </c>
      <c r="V214" s="64">
        <f>Q214-J214</f>
        <v>2.0999999999999977E-3</v>
      </c>
      <c r="X214" s="110"/>
    </row>
    <row r="215" spans="1:24">
      <c r="A215" s="182">
        <v>183</v>
      </c>
      <c r="B215" s="149" t="s">
        <v>263</v>
      </c>
      <c r="C215" s="148" t="s">
        <v>73</v>
      </c>
      <c r="D215" s="39">
        <v>324928250.89999998</v>
      </c>
      <c r="E215" s="34">
        <f>(D215/$D$233)</f>
        <v>3.1129308186628479E-3</v>
      </c>
      <c r="F215" s="89">
        <v>125.14</v>
      </c>
      <c r="G215" s="89">
        <v>125.14</v>
      </c>
      <c r="H215" s="35">
        <v>80</v>
      </c>
      <c r="I215" s="57">
        <v>3.2000000000000002E-3</v>
      </c>
      <c r="J215" s="57">
        <v>0.1331</v>
      </c>
      <c r="K215" s="39">
        <v>327131010.92000002</v>
      </c>
      <c r="L215" s="34">
        <f t="shared" si="146"/>
        <v>3.0174057671664874E-3</v>
      </c>
      <c r="M215" s="89">
        <v>125.55</v>
      </c>
      <c r="N215" s="89">
        <v>125.55</v>
      </c>
      <c r="O215" s="35">
        <v>80</v>
      </c>
      <c r="P215" s="57">
        <v>3.3E-3</v>
      </c>
      <c r="Q215" s="57">
        <v>0.14990000000000001</v>
      </c>
      <c r="R215" s="63">
        <f t="shared" ref="R215:R234" si="147">((K215-D215)/D215)</f>
        <v>6.7792197628206933E-3</v>
      </c>
      <c r="S215" s="63">
        <f t="shared" ref="S215:S233" si="148">((N215-G215)/G215)</f>
        <v>3.2763305098289642E-3</v>
      </c>
      <c r="T215" s="63">
        <f t="shared" ref="T215:T233" si="149">((O215-H215)/H215)</f>
        <v>0</v>
      </c>
      <c r="U215" s="63">
        <f t="shared" ref="U215:U233" si="150">P215-I215</f>
        <v>9.9999999999999829E-5</v>
      </c>
      <c r="V215" s="64">
        <f t="shared" ref="V215:V233" si="151">Q215-J215</f>
        <v>1.6800000000000009E-2</v>
      </c>
    </row>
    <row r="216" spans="1:24">
      <c r="A216" s="182">
        <v>184</v>
      </c>
      <c r="B216" s="187" t="s">
        <v>264</v>
      </c>
      <c r="C216" s="148" t="s">
        <v>265</v>
      </c>
      <c r="D216" s="39">
        <v>55402992.366796799</v>
      </c>
      <c r="E216" s="34">
        <v>0</v>
      </c>
      <c r="F216" s="89">
        <v>108.35</v>
      </c>
      <c r="G216" s="89">
        <v>108.35</v>
      </c>
      <c r="H216" s="35">
        <v>14</v>
      </c>
      <c r="I216" s="57">
        <v>3.0000000000000001E-3</v>
      </c>
      <c r="J216" s="57">
        <v>8.3500000000000005E-2</v>
      </c>
      <c r="K216" s="39">
        <v>55554997.961674601</v>
      </c>
      <c r="L216" s="34">
        <f t="shared" si="146"/>
        <v>5.1243069488595143E-4</v>
      </c>
      <c r="M216" s="89">
        <v>108.65</v>
      </c>
      <c r="N216" s="89">
        <v>108.65</v>
      </c>
      <c r="O216" s="35">
        <v>14</v>
      </c>
      <c r="P216" s="57">
        <v>3.0000000000000001E-3</v>
      </c>
      <c r="Q216" s="57">
        <v>8.5000000000000006E-2</v>
      </c>
      <c r="R216" s="63">
        <f t="shared" si="147"/>
        <v>2.7436351067726679E-3</v>
      </c>
      <c r="S216" s="63">
        <f t="shared" si="148"/>
        <v>2.7688047992617572E-3</v>
      </c>
      <c r="T216" s="63">
        <f t="shared" si="149"/>
        <v>0</v>
      </c>
      <c r="U216" s="63">
        <f t="shared" si="150"/>
        <v>0</v>
      </c>
      <c r="V216" s="64">
        <f t="shared" si="151"/>
        <v>1.5000000000000013E-3</v>
      </c>
    </row>
    <row r="217" spans="1:24">
      <c r="A217" s="182">
        <v>185</v>
      </c>
      <c r="B217" s="187" t="s">
        <v>266</v>
      </c>
      <c r="C217" s="148" t="s">
        <v>79</v>
      </c>
      <c r="D217" s="51">
        <v>73768197.939999998</v>
      </c>
      <c r="E217" s="34">
        <f>(D217/$D$233)</f>
        <v>7.0672616544912193E-4</v>
      </c>
      <c r="F217" s="89">
        <v>105.42</v>
      </c>
      <c r="G217" s="89">
        <v>105.42</v>
      </c>
      <c r="H217" s="35">
        <v>15</v>
      </c>
      <c r="I217" s="57">
        <v>-5.7000000000000002E-3</v>
      </c>
      <c r="J217" s="57">
        <v>6.8199999999999997E-2</v>
      </c>
      <c r="K217" s="51">
        <v>74515396.019999996</v>
      </c>
      <c r="L217" s="34">
        <f t="shared" si="146"/>
        <v>6.8731846932245798E-4</v>
      </c>
      <c r="M217" s="89">
        <v>106.49</v>
      </c>
      <c r="N217" s="89">
        <v>106.49</v>
      </c>
      <c r="O217" s="35">
        <v>15</v>
      </c>
      <c r="P217" s="57">
        <v>1.0800000000000001E-2</v>
      </c>
      <c r="Q217" s="57">
        <v>7.9100000000000004E-2</v>
      </c>
      <c r="R217" s="63">
        <f t="shared" si="147"/>
        <v>1.0129000041559076E-2</v>
      </c>
      <c r="S217" s="63">
        <f t="shared" si="148"/>
        <v>1.0149876683741161E-2</v>
      </c>
      <c r="T217" s="63">
        <f t="shared" si="149"/>
        <v>0</v>
      </c>
      <c r="U217" s="63">
        <f t="shared" si="150"/>
        <v>1.6500000000000001E-2</v>
      </c>
      <c r="V217" s="64">
        <f t="shared" si="151"/>
        <v>1.0900000000000007E-2</v>
      </c>
    </row>
    <row r="218" spans="1:24">
      <c r="A218" s="182">
        <v>186</v>
      </c>
      <c r="B218" s="149" t="s">
        <v>267</v>
      </c>
      <c r="C218" s="148" t="s">
        <v>82</v>
      </c>
      <c r="D218" s="51">
        <v>279108349.73000002</v>
      </c>
      <c r="E218" s="34">
        <v>0</v>
      </c>
      <c r="F218" s="89">
        <v>1.19</v>
      </c>
      <c r="G218" s="89">
        <v>1.19</v>
      </c>
      <c r="H218" s="35">
        <v>60</v>
      </c>
      <c r="I218" s="57">
        <v>0.14050000000000001</v>
      </c>
      <c r="J218" s="57">
        <v>0.13969999999999999</v>
      </c>
      <c r="K218" s="51">
        <v>276509549.68000001</v>
      </c>
      <c r="L218" s="34">
        <f t="shared" si="146"/>
        <v>2.5504812507215306E-3</v>
      </c>
      <c r="M218" s="89">
        <v>1.1976500000000001</v>
      </c>
      <c r="N218" s="89">
        <v>1.1976500000000001</v>
      </c>
      <c r="O218" s="35">
        <v>61</v>
      </c>
      <c r="P218" s="57">
        <v>0.14050000000000001</v>
      </c>
      <c r="Q218" s="57">
        <v>0.13969999999999999</v>
      </c>
      <c r="R218" s="63">
        <f t="shared" ref="R218:R219" si="152">((K218-D218)/D218)</f>
        <v>-9.3110795592966072E-3</v>
      </c>
      <c r="S218" s="63">
        <f t="shared" ref="S218:S219" si="153">((N218-G218)/G218)</f>
        <v>6.4285714285715603E-3</v>
      </c>
      <c r="T218" s="63">
        <f t="shared" ref="T218" si="154">((O218-H218)/H218)</f>
        <v>1.6666666666666666E-2</v>
      </c>
      <c r="U218" s="63">
        <f t="shared" ref="U218" si="155">P218-I218</f>
        <v>0</v>
      </c>
      <c r="V218" s="64">
        <f t="shared" ref="V218" si="156">Q218-J218</f>
        <v>0</v>
      </c>
    </row>
    <row r="219" spans="1:24">
      <c r="A219" s="182">
        <v>187</v>
      </c>
      <c r="B219" s="149" t="s">
        <v>268</v>
      </c>
      <c r="C219" s="148" t="s">
        <v>32</v>
      </c>
      <c r="D219" s="39">
        <v>5327171206.25</v>
      </c>
      <c r="E219" s="34">
        <f t="shared" ref="E219:E226" si="157">(D219/$D$233)</f>
        <v>5.1036237625679978E-2</v>
      </c>
      <c r="F219" s="89">
        <v>145.38</v>
      </c>
      <c r="G219" s="89">
        <v>145.38</v>
      </c>
      <c r="H219" s="35">
        <v>784</v>
      </c>
      <c r="I219" s="57">
        <v>2.5999999999999999E-3</v>
      </c>
      <c r="J219" s="57">
        <v>2.1700000000000001E-2</v>
      </c>
      <c r="K219" s="39">
        <v>5445138706.7700005</v>
      </c>
      <c r="L219" s="34">
        <f t="shared" si="146"/>
        <v>5.0225115896601058E-2</v>
      </c>
      <c r="M219" s="89">
        <v>145.75</v>
      </c>
      <c r="N219" s="89">
        <v>145.75</v>
      </c>
      <c r="O219" s="35">
        <v>790</v>
      </c>
      <c r="P219" s="57">
        <v>2.5000000000000001E-3</v>
      </c>
      <c r="Q219" s="57">
        <v>2.4299999999999999E-2</v>
      </c>
      <c r="R219" s="63">
        <f t="shared" si="152"/>
        <v>2.2144492067684513E-2</v>
      </c>
      <c r="S219" s="63">
        <f t="shared" si="153"/>
        <v>2.5450543403494606E-3</v>
      </c>
      <c r="T219" s="63">
        <f t="shared" si="149"/>
        <v>7.6530612244897957E-3</v>
      </c>
      <c r="U219" s="63">
        <f t="shared" si="150"/>
        <v>-9.9999999999999829E-5</v>
      </c>
      <c r="V219" s="64">
        <f t="shared" si="151"/>
        <v>2.5999999999999981E-3</v>
      </c>
    </row>
    <row r="220" spans="1:24">
      <c r="A220" s="182">
        <v>188</v>
      </c>
      <c r="B220" s="149" t="s">
        <v>269</v>
      </c>
      <c r="C220" s="148" t="s">
        <v>71</v>
      </c>
      <c r="D220" s="39">
        <v>1066038304.49327</v>
      </c>
      <c r="E220" s="34">
        <f t="shared" si="157"/>
        <v>1.0213034670701789E-2</v>
      </c>
      <c r="F220" s="38">
        <v>1349.42967923948</v>
      </c>
      <c r="G220" s="38">
        <v>1349.42967923948</v>
      </c>
      <c r="H220" s="35">
        <v>335</v>
      </c>
      <c r="I220" s="57">
        <v>0.1157</v>
      </c>
      <c r="J220" s="57">
        <v>0.1167</v>
      </c>
      <c r="K220" s="39">
        <v>1067991820.98625</v>
      </c>
      <c r="L220" s="34">
        <f t="shared" si="146"/>
        <v>9.8509911086314857E-3</v>
      </c>
      <c r="M220" s="38">
        <v>1352.4132130179801</v>
      </c>
      <c r="N220" s="38">
        <v>1352.4132130179801</v>
      </c>
      <c r="O220" s="35">
        <v>338</v>
      </c>
      <c r="P220" s="57">
        <v>0.1153</v>
      </c>
      <c r="Q220" s="57">
        <v>0.1168</v>
      </c>
      <c r="R220" s="63">
        <f t="shared" si="147"/>
        <v>1.8325012194647045E-3</v>
      </c>
      <c r="S220" s="63">
        <f t="shared" si="148"/>
        <v>2.210959062484464E-3</v>
      </c>
      <c r="T220" s="63">
        <f t="shared" si="149"/>
        <v>8.9552238805970154E-3</v>
      </c>
      <c r="U220" s="63">
        <f t="shared" si="150"/>
        <v>-3.9999999999999758E-4</v>
      </c>
      <c r="V220" s="64">
        <f t="shared" si="151"/>
        <v>1.0000000000000286E-4</v>
      </c>
    </row>
    <row r="221" spans="1:24">
      <c r="A221" s="182">
        <v>189</v>
      </c>
      <c r="B221" s="149" t="s">
        <v>270</v>
      </c>
      <c r="C221" s="148" t="s">
        <v>258</v>
      </c>
      <c r="D221" s="39">
        <v>43479532858.5</v>
      </c>
      <c r="E221" s="34">
        <f t="shared" si="157"/>
        <v>0.41654973810800949</v>
      </c>
      <c r="F221" s="38">
        <v>1291.24</v>
      </c>
      <c r="G221" s="38">
        <v>1291.24</v>
      </c>
      <c r="H221" s="35">
        <v>12384</v>
      </c>
      <c r="I221" s="57">
        <v>3.0000000000000001E-3</v>
      </c>
      <c r="J221" s="57">
        <v>2.4500000000000001E-2</v>
      </c>
      <c r="K221" s="39">
        <v>44341394860.910004</v>
      </c>
      <c r="L221" s="34">
        <f t="shared" si="146"/>
        <v>0.40899815704184689</v>
      </c>
      <c r="M221" s="38">
        <v>1294.7</v>
      </c>
      <c r="N221" s="38">
        <v>1294.7</v>
      </c>
      <c r="O221" s="35">
        <v>12362</v>
      </c>
      <c r="P221" s="57">
        <v>2.7000000000000001E-3</v>
      </c>
      <c r="Q221" s="57">
        <v>2.7099999999999999E-2</v>
      </c>
      <c r="R221" s="63">
        <f t="shared" si="147"/>
        <v>1.982224614084175E-2</v>
      </c>
      <c r="S221" s="63">
        <f t="shared" si="148"/>
        <v>2.6795948080914752E-3</v>
      </c>
      <c r="T221" s="63">
        <f t="shared" si="149"/>
        <v>-1.7764857881136951E-3</v>
      </c>
      <c r="U221" s="63">
        <f t="shared" si="150"/>
        <v>-2.9999999999999992E-4</v>
      </c>
      <c r="V221" s="64">
        <f t="shared" si="151"/>
        <v>2.5999999999999981E-3</v>
      </c>
    </row>
    <row r="222" spans="1:24">
      <c r="A222" s="182">
        <v>190</v>
      </c>
      <c r="B222" s="149" t="s">
        <v>271</v>
      </c>
      <c r="C222" s="148" t="s">
        <v>272</v>
      </c>
      <c r="D222" s="39">
        <v>434533518.89999998</v>
      </c>
      <c r="E222" s="34">
        <f t="shared" si="157"/>
        <v>4.1629891490787118E-3</v>
      </c>
      <c r="F222" s="90">
        <v>134.81</v>
      </c>
      <c r="G222" s="90">
        <v>135.57</v>
      </c>
      <c r="H222" s="53">
        <v>132</v>
      </c>
      <c r="I222" s="57">
        <v>1.0500000000000001E-2</v>
      </c>
      <c r="J222" s="57">
        <v>0.1113</v>
      </c>
      <c r="K222" s="39">
        <v>458328505.44999999</v>
      </c>
      <c r="L222" s="34">
        <f t="shared" si="146"/>
        <v>4.227551132227665E-3</v>
      </c>
      <c r="M222" s="90">
        <v>135.06</v>
      </c>
      <c r="N222" s="90">
        <v>135.78</v>
      </c>
      <c r="O222" s="53">
        <v>133</v>
      </c>
      <c r="P222" s="57">
        <v>1.5E-3</v>
      </c>
      <c r="Q222" s="57">
        <v>0.113</v>
      </c>
      <c r="R222" s="63">
        <f t="shared" si="147"/>
        <v>5.4759841335683006E-2</v>
      </c>
      <c r="S222" s="63">
        <f t="shared" si="148"/>
        <v>1.549015268864852E-3</v>
      </c>
      <c r="T222" s="63">
        <f t="shared" si="149"/>
        <v>7.575757575757576E-3</v>
      </c>
      <c r="U222" s="63">
        <f t="shared" si="150"/>
        <v>-9.0000000000000011E-3</v>
      </c>
      <c r="V222" s="64">
        <f t="shared" si="151"/>
        <v>1.7000000000000071E-3</v>
      </c>
    </row>
    <row r="223" spans="1:24">
      <c r="A223" s="182">
        <v>191</v>
      </c>
      <c r="B223" s="149" t="s">
        <v>273</v>
      </c>
      <c r="C223" s="148" t="s">
        <v>272</v>
      </c>
      <c r="D223" s="39">
        <v>812695758</v>
      </c>
      <c r="E223" s="34">
        <f t="shared" si="157"/>
        <v>7.7859209356755995E-3</v>
      </c>
      <c r="F223" s="90">
        <v>139.06</v>
      </c>
      <c r="G223" s="90">
        <v>139.06</v>
      </c>
      <c r="H223" s="53">
        <v>147</v>
      </c>
      <c r="I223" s="57">
        <v>3.8999999999999998E-3</v>
      </c>
      <c r="J223" s="57">
        <v>2.5399999999999999E-2</v>
      </c>
      <c r="K223" s="39">
        <v>865326940.57000005</v>
      </c>
      <c r="L223" s="34">
        <f t="shared" si="146"/>
        <v>7.9816416475385205E-3</v>
      </c>
      <c r="M223" s="90">
        <v>139.69</v>
      </c>
      <c r="N223" s="90">
        <v>139.69</v>
      </c>
      <c r="O223" s="53">
        <v>144</v>
      </c>
      <c r="P223" s="57">
        <v>4.4999999999999997E-3</v>
      </c>
      <c r="Q223" s="57">
        <v>0.03</v>
      </c>
      <c r="R223" s="63">
        <f t="shared" si="147"/>
        <v>6.4761236972028166E-2</v>
      </c>
      <c r="S223" s="63">
        <f t="shared" si="148"/>
        <v>4.5304185243779339E-3</v>
      </c>
      <c r="T223" s="63">
        <f t="shared" si="149"/>
        <v>-2.0408163265306121E-2</v>
      </c>
      <c r="U223" s="63">
        <f t="shared" si="150"/>
        <v>5.9999999999999984E-4</v>
      </c>
      <c r="V223" s="64">
        <f t="shared" si="151"/>
        <v>4.5999999999999999E-3</v>
      </c>
    </row>
    <row r="224" spans="1:24" ht="13.5" customHeight="1">
      <c r="A224" s="182">
        <v>192</v>
      </c>
      <c r="B224" s="149" t="s">
        <v>274</v>
      </c>
      <c r="C224" s="148" t="s">
        <v>104</v>
      </c>
      <c r="D224" s="39">
        <v>2885300707</v>
      </c>
      <c r="E224" s="34">
        <f t="shared" si="157"/>
        <v>2.7642230144815039E-2</v>
      </c>
      <c r="F224" s="67">
        <v>106.63</v>
      </c>
      <c r="G224" s="67">
        <v>106.63</v>
      </c>
      <c r="H224" s="35">
        <v>826</v>
      </c>
      <c r="I224" s="57">
        <v>3.3999999999999998E-3</v>
      </c>
      <c r="J224" s="57">
        <v>0.17050000000000001</v>
      </c>
      <c r="K224" s="39">
        <v>2990339004</v>
      </c>
      <c r="L224" s="34">
        <f t="shared" si="146"/>
        <v>2.758242372398954E-2</v>
      </c>
      <c r="M224" s="67">
        <v>107.01</v>
      </c>
      <c r="N224" s="67">
        <v>107.01</v>
      </c>
      <c r="O224" s="35">
        <v>832</v>
      </c>
      <c r="P224" s="57">
        <v>3.5000000000000001E-3</v>
      </c>
      <c r="Q224" s="57">
        <v>0.1724</v>
      </c>
      <c r="R224" s="63">
        <f t="shared" si="147"/>
        <v>3.6404627339246688E-2</v>
      </c>
      <c r="S224" s="63">
        <f t="shared" si="148"/>
        <v>3.5637250304793181E-3</v>
      </c>
      <c r="T224" s="63">
        <f t="shared" si="149"/>
        <v>7.2639225181598066E-3</v>
      </c>
      <c r="U224" s="63">
        <f t="shared" si="150"/>
        <v>1.0000000000000026E-4</v>
      </c>
      <c r="V224" s="64">
        <f t="shared" si="151"/>
        <v>1.899999999999985E-3</v>
      </c>
    </row>
    <row r="225" spans="1:22" ht="15.75" customHeight="1">
      <c r="A225" s="182">
        <v>193</v>
      </c>
      <c r="B225" s="149" t="s">
        <v>275</v>
      </c>
      <c r="C225" s="148" t="s">
        <v>50</v>
      </c>
      <c r="D225" s="39">
        <v>3758289995.1100001</v>
      </c>
      <c r="E225" s="34">
        <f t="shared" si="157"/>
        <v>3.6005785027448237E-2</v>
      </c>
      <c r="F225" s="67">
        <v>147.35</v>
      </c>
      <c r="G225" s="67">
        <v>147.35</v>
      </c>
      <c r="H225" s="35">
        <v>2267</v>
      </c>
      <c r="I225" s="57">
        <v>2.3999999999999998E-3</v>
      </c>
      <c r="J225" s="57">
        <v>2.0299999999999999E-2</v>
      </c>
      <c r="K225" s="39">
        <v>2931602771.2800002</v>
      </c>
      <c r="L225" s="34">
        <f t="shared" si="146"/>
        <v>2.7040649812514354E-2</v>
      </c>
      <c r="M225" s="67">
        <v>147.68</v>
      </c>
      <c r="N225" s="67">
        <v>147.68</v>
      </c>
      <c r="O225" s="35">
        <v>2354</v>
      </c>
      <c r="P225" s="57">
        <v>2.2000000000000001E-3</v>
      </c>
      <c r="Q225" s="57">
        <v>2.2599999999999999E-2</v>
      </c>
      <c r="R225" s="63">
        <f t="shared" si="147"/>
        <v>-0.21996366030977443</v>
      </c>
      <c r="S225" s="63">
        <f t="shared" si="148"/>
        <v>2.2395656599932985E-3</v>
      </c>
      <c r="T225" s="63">
        <f t="shared" si="149"/>
        <v>3.8376709307454786E-2</v>
      </c>
      <c r="U225" s="63">
        <f t="shared" si="150"/>
        <v>-1.9999999999999966E-4</v>
      </c>
      <c r="V225" s="64">
        <f t="shared" si="151"/>
        <v>2.3E-3</v>
      </c>
    </row>
    <row r="226" spans="1:22">
      <c r="A226" s="182">
        <v>194</v>
      </c>
      <c r="B226" s="149" t="s">
        <v>276</v>
      </c>
      <c r="C226" s="148" t="s">
        <v>53</v>
      </c>
      <c r="D226" s="39">
        <v>4176727403.5300002</v>
      </c>
      <c r="E226" s="34">
        <f t="shared" si="157"/>
        <v>4.0014567584040733E-2</v>
      </c>
      <c r="F226" s="67">
        <v>1.2423999999999999</v>
      </c>
      <c r="G226" s="67">
        <v>1.2423999999999999</v>
      </c>
      <c r="H226" s="35">
        <v>2132</v>
      </c>
      <c r="I226" s="57">
        <v>0.1201</v>
      </c>
      <c r="J226" s="57">
        <v>6.4000000000000001E-2</v>
      </c>
      <c r="K226" s="39">
        <v>4187953281.73</v>
      </c>
      <c r="L226" s="34">
        <f t="shared" si="146"/>
        <v>3.8629032293139097E-2</v>
      </c>
      <c r="M226" s="67">
        <v>1.24518</v>
      </c>
      <c r="N226" s="67">
        <v>1.24518</v>
      </c>
      <c r="O226" s="35">
        <v>2143</v>
      </c>
      <c r="P226" s="57">
        <v>2.2000000000000001E-3</v>
      </c>
      <c r="Q226" s="57">
        <v>6.9800000000000001E-2</v>
      </c>
      <c r="R226" s="63">
        <f t="shared" si="147"/>
        <v>2.687721058959259E-3</v>
      </c>
      <c r="S226" s="63">
        <f t="shared" si="148"/>
        <v>2.237604636188027E-3</v>
      </c>
      <c r="T226" s="63">
        <f t="shared" si="149"/>
        <v>5.1594746716697934E-3</v>
      </c>
      <c r="U226" s="63">
        <f t="shared" si="150"/>
        <v>-0.1179</v>
      </c>
      <c r="V226" s="64">
        <f t="shared" si="151"/>
        <v>5.7999999999999996E-3</v>
      </c>
    </row>
    <row r="227" spans="1:22" ht="6" customHeight="1">
      <c r="A227" s="4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</row>
    <row r="228" spans="1:22">
      <c r="A228" s="196" t="s">
        <v>277</v>
      </c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</row>
    <row r="229" spans="1:22">
      <c r="A229" s="182">
        <v>195</v>
      </c>
      <c r="B229" s="149" t="s">
        <v>278</v>
      </c>
      <c r="C229" s="148" t="s">
        <v>20</v>
      </c>
      <c r="D229" s="88">
        <v>464386015.45999998</v>
      </c>
      <c r="E229" s="34">
        <f>(D229/$D$205)</f>
        <v>3.3051537005900924E-2</v>
      </c>
      <c r="F229" s="89">
        <v>114.6848</v>
      </c>
      <c r="G229" s="89">
        <v>114.6848</v>
      </c>
      <c r="H229" s="37">
        <v>110</v>
      </c>
      <c r="I229" s="58">
        <v>1.0699999999999999E-2</v>
      </c>
      <c r="J229" s="58">
        <v>9.35E-2</v>
      </c>
      <c r="K229" s="88">
        <v>516167234.17000002</v>
      </c>
      <c r="L229" s="61">
        <f>(K229/K230)</f>
        <v>4.9386139537969477E-2</v>
      </c>
      <c r="M229" s="89">
        <v>114.85850000000001</v>
      </c>
      <c r="N229" s="89">
        <v>114.85850000000001</v>
      </c>
      <c r="O229" s="37">
        <v>110</v>
      </c>
      <c r="P229" s="58">
        <v>1.5E-3</v>
      </c>
      <c r="Q229" s="58">
        <v>9.5100000000000004E-2</v>
      </c>
      <c r="R229" s="63">
        <f>((K229-D229)/D229)</f>
        <v>0.11150469003401811</v>
      </c>
      <c r="S229" s="63">
        <f t="shared" ref="S229" si="158">((N229-G229)/G229)</f>
        <v>1.5145860654595103E-3</v>
      </c>
      <c r="T229" s="63">
        <f t="shared" ref="T229" si="159">((O229-H229)/H229)</f>
        <v>0</v>
      </c>
      <c r="U229" s="63">
        <f t="shared" ref="U229" si="160">P229-I229</f>
        <v>-9.1999999999999998E-3</v>
      </c>
      <c r="V229" s="64">
        <f t="shared" ref="V229" si="161">Q229-J229</f>
        <v>1.6000000000000042E-3</v>
      </c>
    </row>
    <row r="230" spans="1:22">
      <c r="A230" s="182">
        <v>196</v>
      </c>
      <c r="B230" s="149" t="s">
        <v>279</v>
      </c>
      <c r="C230" s="148" t="s">
        <v>24</v>
      </c>
      <c r="D230" s="88">
        <v>9500324322.7399998</v>
      </c>
      <c r="E230" s="34">
        <f>(D230/$D$205)</f>
        <v>0.67616230994825943</v>
      </c>
      <c r="F230" s="89">
        <v>129.15799999999999</v>
      </c>
      <c r="G230" s="89">
        <v>133.0522</v>
      </c>
      <c r="H230" s="37">
        <v>4497</v>
      </c>
      <c r="I230" s="58">
        <v>0.3387</v>
      </c>
      <c r="J230" s="58">
        <v>1.5123</v>
      </c>
      <c r="K230" s="88">
        <v>10451661923.75</v>
      </c>
      <c r="L230" s="61">
        <f>(K230/$K$205)</f>
        <v>0.70695196977575425</v>
      </c>
      <c r="M230" s="89">
        <v>131.7662</v>
      </c>
      <c r="N230" s="89">
        <v>135.739</v>
      </c>
      <c r="O230" s="37">
        <v>4867</v>
      </c>
      <c r="P230" s="58">
        <v>1.0529999999999999</v>
      </c>
      <c r="Q230" s="58">
        <v>1.4901</v>
      </c>
      <c r="R230" s="63">
        <f>((K230-D230)/D230)</f>
        <v>0.10013738149263769</v>
      </c>
      <c r="S230" s="63">
        <f t="shared" ref="S230" si="162">((N230-G230)/G230)</f>
        <v>2.019357815954945E-2</v>
      </c>
      <c r="T230" s="63">
        <f t="shared" ref="T230" si="163">((O230-H230)/H230)</f>
        <v>8.22770736046253E-2</v>
      </c>
      <c r="U230" s="63">
        <f t="shared" ref="U230" si="164">P230-I230</f>
        <v>0.71429999999999993</v>
      </c>
      <c r="V230" s="64">
        <f t="shared" ref="V230" si="165">Q230-J230</f>
        <v>-2.2199999999999998E-2</v>
      </c>
    </row>
    <row r="231" spans="1:22">
      <c r="A231" s="182">
        <v>197</v>
      </c>
      <c r="B231" s="149" t="s">
        <v>280</v>
      </c>
      <c r="C231" s="148" t="s">
        <v>258</v>
      </c>
      <c r="D231" s="39">
        <v>325262009.19</v>
      </c>
      <c r="E231" s="34">
        <f t="shared" ref="E231" si="166">(D231/$D$233)</f>
        <v>3.1161283444675371E-3</v>
      </c>
      <c r="F231" s="38">
        <v>1412.23</v>
      </c>
      <c r="G231" s="38">
        <v>1412.23</v>
      </c>
      <c r="H231" s="35">
        <v>137</v>
      </c>
      <c r="I231" s="57">
        <v>-1.8E-3</v>
      </c>
      <c r="J231" s="57">
        <v>0.13150000000000001</v>
      </c>
      <c r="K231" s="39">
        <v>344298575.88999999</v>
      </c>
      <c r="L231" s="34">
        <f t="shared" ref="L231" si="167">(K231/$K$233)</f>
        <v>3.1757567269333417E-3</v>
      </c>
      <c r="M231" s="38">
        <v>1487.96</v>
      </c>
      <c r="N231" s="38">
        <v>1487.96</v>
      </c>
      <c r="O231" s="35">
        <v>142</v>
      </c>
      <c r="P231" s="57">
        <v>5.3600000000000002E-2</v>
      </c>
      <c r="Q231" s="57">
        <v>0.19220000000000001</v>
      </c>
      <c r="R231" s="63">
        <f t="shared" ref="R231" si="168">((K231-D231)/D231)</f>
        <v>5.8526868069857747E-2</v>
      </c>
      <c r="S231" s="63">
        <f t="shared" ref="S231" si="169">((N231-G231)/G231)</f>
        <v>5.3624409621662206E-2</v>
      </c>
      <c r="T231" s="63">
        <f t="shared" ref="T231" si="170">((O231-H231)/H231)</f>
        <v>3.6496350364963501E-2</v>
      </c>
      <c r="U231" s="63">
        <f t="shared" ref="U231" si="171">P231-I231</f>
        <v>5.5400000000000005E-2</v>
      </c>
      <c r="V231" s="64">
        <f t="shared" ref="V231" si="172">Q231-J231</f>
        <v>6.0700000000000004E-2</v>
      </c>
    </row>
    <row r="232" spans="1:22">
      <c r="A232" s="182">
        <v>198</v>
      </c>
      <c r="B232" s="149" t="s">
        <v>281</v>
      </c>
      <c r="C232" s="148" t="s">
        <v>282</v>
      </c>
      <c r="D232" s="39">
        <v>154657525.58000001</v>
      </c>
      <c r="E232" s="34">
        <f t="shared" ref="E232" si="173">(D232/$D$233)</f>
        <v>1.4816753433492225E-3</v>
      </c>
      <c r="F232" s="38">
        <v>113.55</v>
      </c>
      <c r="G232" s="38">
        <v>115.89</v>
      </c>
      <c r="H232" s="35">
        <v>314</v>
      </c>
      <c r="I232" s="57">
        <v>6.1000000000000004E-3</v>
      </c>
      <c r="J232" s="57">
        <v>8.1100000000000005E-2</v>
      </c>
      <c r="K232" s="39">
        <v>160459204.09999999</v>
      </c>
      <c r="L232" s="34">
        <f t="shared" ref="L232" si="174">(K232/$K$233)</f>
        <v>1.4800508410518394E-3</v>
      </c>
      <c r="M232" s="38">
        <v>116.52</v>
      </c>
      <c r="N232" s="38">
        <v>118.92</v>
      </c>
      <c r="O232" s="35">
        <v>308</v>
      </c>
      <c r="P232" s="57">
        <v>3.2000000000000002E-3</v>
      </c>
      <c r="Q232" s="57">
        <v>3.0999999999999999E-3</v>
      </c>
      <c r="R232" s="63">
        <f t="shared" ref="R232" si="175">((K232-D232)/D232)</f>
        <v>3.7513069591941291E-2</v>
      </c>
      <c r="S232" s="63">
        <f t="shared" ref="S232" si="176">((N232-G232)/G232)</f>
        <v>2.6145482785399958E-2</v>
      </c>
      <c r="T232" s="63">
        <f t="shared" ref="T232" si="177">((O232-H232)/H232)</f>
        <v>-1.9108280254777069E-2</v>
      </c>
      <c r="U232" s="63">
        <f t="shared" ref="U232" si="178">P232-I232</f>
        <v>-2.9000000000000002E-3</v>
      </c>
      <c r="V232" s="64">
        <f t="shared" ref="V232" si="179">Q232-J232</f>
        <v>-7.8E-2</v>
      </c>
    </row>
    <row r="233" spans="1:22">
      <c r="A233" s="42"/>
      <c r="B233" s="43"/>
      <c r="C233" s="78" t="s">
        <v>56</v>
      </c>
      <c r="D233" s="66">
        <f>SUM(D209:D232)</f>
        <v>104380170915.45007</v>
      </c>
      <c r="E233" s="46">
        <f>(D233/$D$234)</f>
        <v>1.2660733917906192E-2</v>
      </c>
      <c r="F233" s="47"/>
      <c r="G233" s="81"/>
      <c r="H233" s="91">
        <f>SUM(H209:H232)</f>
        <v>45479</v>
      </c>
      <c r="I233" s="83"/>
      <c r="J233" s="83"/>
      <c r="K233" s="66">
        <f>SUM(K209:K232)</f>
        <v>108414656881.62793</v>
      </c>
      <c r="L233" s="46">
        <f>(K233/$K$234)</f>
        <v>1.2992644597998917E-2</v>
      </c>
      <c r="M233" s="47"/>
      <c r="N233" s="81"/>
      <c r="O233" s="49">
        <f>SUM(O209:O232)</f>
        <v>46457</v>
      </c>
      <c r="P233" s="83"/>
      <c r="Q233" s="83"/>
      <c r="R233" s="63">
        <f t="shared" si="147"/>
        <v>3.8651842881593547E-2</v>
      </c>
      <c r="S233" s="63" t="e">
        <f t="shared" si="148"/>
        <v>#DIV/0!</v>
      </c>
      <c r="T233" s="63">
        <f t="shared" si="149"/>
        <v>2.1504430616328417E-2</v>
      </c>
      <c r="U233" s="63">
        <f t="shared" si="150"/>
        <v>0</v>
      </c>
      <c r="V233" s="64">
        <f t="shared" si="151"/>
        <v>0</v>
      </c>
    </row>
    <row r="234" spans="1:22">
      <c r="A234" s="92"/>
      <c r="B234" s="92"/>
      <c r="C234" s="93" t="s">
        <v>283</v>
      </c>
      <c r="D234" s="94">
        <f>SUM(D26,D74,D116,D158,D167,D199,D205,D233)</f>
        <v>8244401279757.1113</v>
      </c>
      <c r="E234" s="95"/>
      <c r="F234" s="95"/>
      <c r="G234" s="96"/>
      <c r="H234" s="94">
        <f>SUM(H26,H74,H116,H158,H167,H199,H205,H233)</f>
        <v>1212206</v>
      </c>
      <c r="I234" s="106"/>
      <c r="J234" s="106"/>
      <c r="K234" s="94">
        <f>SUM(K26,K74,K116,K158,K167,K199,K205,K233)</f>
        <v>8344310202891.6875</v>
      </c>
      <c r="L234" s="95"/>
      <c r="M234" s="95"/>
      <c r="N234" s="96"/>
      <c r="O234" s="94">
        <f>SUM(O26,O74,O116,O158,O167,O199,O205,O233)</f>
        <v>1226907</v>
      </c>
      <c r="P234" s="107"/>
      <c r="Q234" s="94"/>
      <c r="R234" s="111">
        <f t="shared" si="147"/>
        <v>1.2118396441945095E-2</v>
      </c>
      <c r="S234" s="111"/>
      <c r="T234" s="111"/>
      <c r="U234" s="111"/>
      <c r="V234" s="111"/>
    </row>
    <row r="235" spans="1:22" ht="6.75" customHeight="1">
      <c r="A235" s="4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43"/>
    </row>
    <row r="236" spans="1:22" ht="14.4" customHeight="1">
      <c r="A236" s="195" t="s">
        <v>284</v>
      </c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</row>
    <row r="237" spans="1:22" ht="14.4" customHeight="1">
      <c r="A237" s="182">
        <v>1</v>
      </c>
      <c r="B237" s="149" t="s">
        <v>285</v>
      </c>
      <c r="C237" s="148" t="s">
        <v>24</v>
      </c>
      <c r="D237" s="39">
        <v>2092129886.8171961</v>
      </c>
      <c r="E237" s="34">
        <f t="shared" ref="E237:E240" si="180">(D237/$D$233)</f>
        <v>2.0043365214566101E-2</v>
      </c>
      <c r="F237" s="38">
        <v>1424.88453254</v>
      </c>
      <c r="G237" s="38">
        <v>1424.88453254</v>
      </c>
      <c r="H237" s="35">
        <v>55</v>
      </c>
      <c r="I237" s="57">
        <v>1.4999999999999999E-2</v>
      </c>
      <c r="J237" s="57">
        <v>5.16E-2</v>
      </c>
      <c r="K237" s="39">
        <f>1547651.27*FX_RATE</f>
        <v>2156273798.7746119</v>
      </c>
      <c r="L237" s="34">
        <f>(K237/$K$242)</f>
        <v>6.9155473290639063E-2</v>
      </c>
      <c r="M237" s="38">
        <f>1.0453*FX_RATE</f>
        <v>1456.3700786799998</v>
      </c>
      <c r="N237" s="38">
        <f>1.0453*FX_RATE</f>
        <v>1456.3700786799998</v>
      </c>
      <c r="O237" s="35">
        <v>54</v>
      </c>
      <c r="P237" s="57">
        <v>0.01</v>
      </c>
      <c r="Q237" s="57">
        <v>4.7100000000000003E-2</v>
      </c>
      <c r="R237" s="63">
        <f t="shared" ref="R237" si="181">((K237-D237)/D237)</f>
        <v>3.065962221638131E-2</v>
      </c>
      <c r="S237" s="63">
        <f t="shared" ref="S237" si="182">((N237-G237)/G237)</f>
        <v>2.2096910606414975E-2</v>
      </c>
      <c r="T237" s="63">
        <f t="shared" ref="T237" si="183">((O237-H237)/H237)</f>
        <v>-1.8181818181818181E-2</v>
      </c>
      <c r="U237" s="63">
        <f t="shared" ref="U237" si="184">P237-I237</f>
        <v>-4.9999999999999992E-3</v>
      </c>
      <c r="V237" s="64">
        <f t="shared" ref="V237" si="185">Q237-J237</f>
        <v>-4.4999999999999971E-3</v>
      </c>
    </row>
    <row r="238" spans="1:22" ht="14.4" customHeight="1">
      <c r="A238" s="182">
        <v>2</v>
      </c>
      <c r="B238" s="149" t="s">
        <v>286</v>
      </c>
      <c r="C238" s="148" t="s">
        <v>214</v>
      </c>
      <c r="D238" s="39">
        <v>4262927880.0599999</v>
      </c>
      <c r="E238" s="34">
        <f t="shared" ref="E238" si="186">(D238/$D$233)</f>
        <v>4.0840399499949588E-2</v>
      </c>
      <c r="F238" s="38">
        <v>123.2</v>
      </c>
      <c r="G238" s="38">
        <v>123.2</v>
      </c>
      <c r="H238" s="35">
        <v>9</v>
      </c>
      <c r="I238" s="57">
        <v>-5.0000000000000001E-4</v>
      </c>
      <c r="J238" s="57">
        <v>3.6299999999999999E-2</v>
      </c>
      <c r="K238" s="39">
        <v>15507125651.93</v>
      </c>
      <c r="L238" s="34">
        <f>(K238/$K$242)</f>
        <v>0.49734065054542897</v>
      </c>
      <c r="M238" s="38">
        <v>123.2</v>
      </c>
      <c r="N238" s="38">
        <v>123.2</v>
      </c>
      <c r="O238" s="35">
        <v>9</v>
      </c>
      <c r="P238" s="57">
        <v>2.9999999999999997E-4</v>
      </c>
      <c r="Q238" s="57">
        <v>2.7698999999999998</v>
      </c>
      <c r="R238" s="63">
        <f t="shared" ref="R238" si="187">((K238-D238)/D238)</f>
        <v>2.6376701854293958</v>
      </c>
      <c r="S238" s="63">
        <f t="shared" ref="S238" si="188">((N238-G238)/G238)</f>
        <v>0</v>
      </c>
      <c r="T238" s="63">
        <f t="shared" ref="T238" si="189">((O238-H238)/H238)</f>
        <v>0</v>
      </c>
      <c r="U238" s="63">
        <f t="shared" ref="U238" si="190">P238-I238</f>
        <v>7.9999999999999993E-4</v>
      </c>
      <c r="V238" s="64">
        <f t="shared" ref="V238" si="191">Q238-J238</f>
        <v>2.7336</v>
      </c>
    </row>
    <row r="239" spans="1:22" ht="14.4" customHeight="1">
      <c r="A239" s="182">
        <v>3</v>
      </c>
      <c r="B239" s="149" t="s">
        <v>287</v>
      </c>
      <c r="C239" s="148" t="s">
        <v>32</v>
      </c>
      <c r="D239" s="39">
        <v>1190235635.7108421</v>
      </c>
      <c r="E239" s="34">
        <f>(D239/$D$233)</f>
        <v>1.140289027381413E-2</v>
      </c>
      <c r="F239" s="38">
        <v>150927.87078000003</v>
      </c>
      <c r="G239" s="38">
        <v>150927.87078000003</v>
      </c>
      <c r="H239" s="35">
        <v>15</v>
      </c>
      <c r="I239" s="57">
        <v>-1.7299999999999999E-2</v>
      </c>
      <c r="J239" s="57">
        <v>-9.7999999999999997E-3</v>
      </c>
      <c r="K239" s="39">
        <f>910265.44*W139</f>
        <v>1268232421.766464</v>
      </c>
      <c r="L239" s="34">
        <f>(K239/$K$242)</f>
        <v>4.0674432634498991E-2</v>
      </c>
      <c r="M239" s="38">
        <f>111.77*W139</f>
        <v>155724.17841199998</v>
      </c>
      <c r="N239" s="38">
        <f>111.77*W139</f>
        <v>155724.17841199998</v>
      </c>
      <c r="O239" s="35">
        <v>10</v>
      </c>
      <c r="P239" s="57">
        <v>-5.1000000000000004E-3</v>
      </c>
      <c r="Q239" s="57">
        <v>-1.2999999999999999E-3</v>
      </c>
      <c r="R239" s="63">
        <f t="shared" ref="R239:R240" si="192">((K239-D239)/D239)</f>
        <v>6.553054178136751E-2</v>
      </c>
      <c r="S239" s="63">
        <f t="shared" ref="S239:S240" si="193">((N239-G239)/G239)</f>
        <v>3.177880670556394E-2</v>
      </c>
      <c r="T239" s="63">
        <f t="shared" ref="T239:T240" si="194">((O239-H239)/H239)</f>
        <v>-0.33333333333333331</v>
      </c>
      <c r="U239" s="63">
        <f t="shared" ref="U239:U240" si="195">P239-I239</f>
        <v>1.2199999999999999E-2</v>
      </c>
      <c r="V239" s="64">
        <f t="shared" ref="V239:V240" si="196">Q239-J239</f>
        <v>8.5000000000000006E-3</v>
      </c>
    </row>
    <row r="240" spans="1:22" ht="14.4" customHeight="1">
      <c r="A240" s="182">
        <v>4</v>
      </c>
      <c r="B240" s="149" t="s">
        <v>288</v>
      </c>
      <c r="C240" s="148" t="s">
        <v>42</v>
      </c>
      <c r="D240" s="39">
        <v>12005668956.26</v>
      </c>
      <c r="E240" s="34">
        <f t="shared" si="180"/>
        <v>0.11501867501237203</v>
      </c>
      <c r="F240" s="38">
        <v>1.1499999999999999</v>
      </c>
      <c r="G240" s="38">
        <v>1.1499999999999999</v>
      </c>
      <c r="H240" s="35">
        <v>16</v>
      </c>
      <c r="I240" s="57">
        <v>4.1000000000000003E-3</v>
      </c>
      <c r="J240" s="57">
        <v>-0.62839999999999996</v>
      </c>
      <c r="K240" s="39">
        <v>12032246818.23</v>
      </c>
      <c r="L240" s="34">
        <f>(K240/$K$242)</f>
        <v>0.38589520678559136</v>
      </c>
      <c r="M240" s="38">
        <v>1.1499999999999999</v>
      </c>
      <c r="N240" s="38">
        <v>1.1499999999999999</v>
      </c>
      <c r="O240" s="35">
        <v>16</v>
      </c>
      <c r="P240" s="57">
        <v>4.1000000000000003E-3</v>
      </c>
      <c r="Q240" s="57">
        <v>-0.56069999999999998</v>
      </c>
      <c r="R240" s="63">
        <f t="shared" si="192"/>
        <v>2.2137760142171064E-3</v>
      </c>
      <c r="S240" s="63">
        <f t="shared" si="193"/>
        <v>0</v>
      </c>
      <c r="T240" s="63">
        <f t="shared" si="194"/>
        <v>0</v>
      </c>
      <c r="U240" s="63">
        <f t="shared" si="195"/>
        <v>0</v>
      </c>
      <c r="V240" s="64">
        <f t="shared" si="196"/>
        <v>6.7699999999999982E-2</v>
      </c>
    </row>
    <row r="241" spans="1:22" ht="14.4" customHeight="1">
      <c r="A241" s="182">
        <v>5</v>
      </c>
      <c r="B241" s="149" t="s">
        <v>289</v>
      </c>
      <c r="C241" s="148" t="s">
        <v>53</v>
      </c>
      <c r="D241" s="39">
        <v>212665169.31999999</v>
      </c>
      <c r="E241" s="34">
        <f t="shared" ref="E241" si="197">(D241/$D$233)</f>
        <v>2.0374096675149422E-3</v>
      </c>
      <c r="F241" s="38">
        <v>1.3563000000000001</v>
      </c>
      <c r="G241" s="38">
        <v>1.3563000000000001</v>
      </c>
      <c r="H241" s="35">
        <v>20</v>
      </c>
      <c r="I241" s="57">
        <v>-8.0000000000000004E-4</v>
      </c>
      <c r="J241" s="57">
        <v>0.21629999999999999</v>
      </c>
      <c r="K241" s="39">
        <v>216210117.49000001</v>
      </c>
      <c r="L241" s="34">
        <f>(K241/$K$242)</f>
        <v>6.93423674384151E-3</v>
      </c>
      <c r="M241" s="38">
        <v>1.3789800000000001</v>
      </c>
      <c r="N241" s="38">
        <v>1.3789800000000001</v>
      </c>
      <c r="O241" s="35">
        <v>20</v>
      </c>
      <c r="P241" s="57">
        <v>1.6400000000000001E-2</v>
      </c>
      <c r="Q241" s="57">
        <v>0.2366</v>
      </c>
      <c r="R241" s="63">
        <f t="shared" ref="R241:R242" si="198">((K241-D241)/D241)</f>
        <v>1.6669152646552516E-2</v>
      </c>
      <c r="S241" s="63">
        <f t="shared" ref="S241" si="199">((N241-G241)/G241)</f>
        <v>1.6721964167219664E-2</v>
      </c>
      <c r="T241" s="63">
        <f t="shared" ref="T241" si="200">((O241-H241)/H241)</f>
        <v>0</v>
      </c>
      <c r="U241" s="63">
        <f t="shared" ref="U241" si="201">P241-I241</f>
        <v>1.72E-2</v>
      </c>
      <c r="V241" s="64">
        <f t="shared" ref="V241" si="202">Q241-J241</f>
        <v>2.0300000000000012E-2</v>
      </c>
    </row>
    <row r="242" spans="1:22" ht="14.4" customHeight="1">
      <c r="A242" s="97"/>
      <c r="B242" s="97"/>
      <c r="C242" s="97" t="s">
        <v>56</v>
      </c>
      <c r="D242" s="97">
        <f>SUM(D237:D241)</f>
        <v>19763627528.168037</v>
      </c>
      <c r="E242" s="97"/>
      <c r="F242" s="97"/>
      <c r="G242" s="97"/>
      <c r="H242" s="97">
        <f>SUM(H237:H241)</f>
        <v>115</v>
      </c>
      <c r="I242" s="97"/>
      <c r="J242" s="97"/>
      <c r="K242" s="97">
        <f>SUM(K237:K241)</f>
        <v>31180088808.191078</v>
      </c>
      <c r="L242" s="46"/>
      <c r="M242" s="97"/>
      <c r="N242" s="97"/>
      <c r="O242" s="97">
        <f>SUM(O237:O241)</f>
        <v>109</v>
      </c>
      <c r="P242" s="97"/>
      <c r="Q242" s="97"/>
      <c r="R242" s="111">
        <f t="shared" si="198"/>
        <v>0.5776500930181856</v>
      </c>
      <c r="S242" s="97"/>
      <c r="T242" s="97"/>
      <c r="U242" s="97"/>
      <c r="V242" s="97"/>
    </row>
    <row r="243" spans="1:22" ht="6" customHeight="1">
      <c r="A243" s="42"/>
      <c r="B243" s="50"/>
      <c r="C243" s="78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43"/>
    </row>
    <row r="244" spans="1:22" ht="15.6">
      <c r="A244" s="195" t="s">
        <v>290</v>
      </c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</row>
    <row r="245" spans="1:22">
      <c r="A245" s="182">
        <v>1</v>
      </c>
      <c r="B245" s="149" t="s">
        <v>291</v>
      </c>
      <c r="C245" s="148" t="s">
        <v>292</v>
      </c>
      <c r="D245" s="39">
        <v>132461478140</v>
      </c>
      <c r="E245" s="34">
        <f>(D245/$D$247)</f>
        <v>0.91387131215152739</v>
      </c>
      <c r="F245" s="67">
        <v>108.35</v>
      </c>
      <c r="G245" s="67">
        <v>108.35</v>
      </c>
      <c r="H245" s="35">
        <v>0</v>
      </c>
      <c r="I245" s="57">
        <v>4.82E-2</v>
      </c>
      <c r="J245" s="57">
        <v>4.82E-2</v>
      </c>
      <c r="K245" s="39">
        <v>132461478140</v>
      </c>
      <c r="L245" s="34">
        <f>(K245/$K$247)</f>
        <v>0.91361611952918476</v>
      </c>
      <c r="M245" s="67">
        <v>108.35</v>
      </c>
      <c r="N245" s="67">
        <v>108.35</v>
      </c>
      <c r="O245" s="35">
        <v>0</v>
      </c>
      <c r="P245" s="57">
        <v>1.2800000000000001E-2</v>
      </c>
      <c r="Q245" s="57">
        <v>1.2800000000000001E-2</v>
      </c>
      <c r="R245" s="63">
        <f>((K245-D245)/D245)</f>
        <v>0</v>
      </c>
      <c r="S245" s="63">
        <f>((N245-G245)/G245)</f>
        <v>0</v>
      </c>
      <c r="T245" s="63" t="e">
        <f>((O245-H245)/H245)</f>
        <v>#DIV/0!</v>
      </c>
      <c r="U245" s="63">
        <f>P245-I245</f>
        <v>-3.5400000000000001E-2</v>
      </c>
      <c r="V245" s="64">
        <f>Q245-J245</f>
        <v>-3.5400000000000001E-2</v>
      </c>
    </row>
    <row r="246" spans="1:22" ht="14.4" customHeight="1">
      <c r="A246" s="182">
        <v>2</v>
      </c>
      <c r="B246" s="149" t="s">
        <v>293</v>
      </c>
      <c r="C246" s="148" t="s">
        <v>53</v>
      </c>
      <c r="D246" s="39">
        <v>12483960434</v>
      </c>
      <c r="E246" s="34">
        <f>(D246/$D$247)</f>
        <v>8.6128687848472565E-2</v>
      </c>
      <c r="F246" s="98">
        <v>1000000</v>
      </c>
      <c r="G246" s="98">
        <v>1000000</v>
      </c>
      <c r="H246" s="35">
        <v>26</v>
      </c>
      <c r="I246" s="57">
        <v>1.7030000000000001E-3</v>
      </c>
      <c r="J246" s="57">
        <v>0.17030000000000001</v>
      </c>
      <c r="K246" s="39">
        <v>12524446810.91</v>
      </c>
      <c r="L246" s="34">
        <f>(K246/$K$247)</f>
        <v>8.6383880470815244E-2</v>
      </c>
      <c r="M246" s="98">
        <v>1000000</v>
      </c>
      <c r="N246" s="98">
        <v>1000000</v>
      </c>
      <c r="O246" s="35">
        <v>26</v>
      </c>
      <c r="P246" s="57">
        <v>1.702E-3</v>
      </c>
      <c r="Q246" s="57">
        <v>0.17019999999999999</v>
      </c>
      <c r="R246" s="63">
        <f>((K246-D246)/D246)</f>
        <v>3.2430715496130072E-3</v>
      </c>
      <c r="S246" s="63">
        <f>((N246-G246)/G246)</f>
        <v>0</v>
      </c>
      <c r="T246" s="63">
        <f>((O246-H246)/H246)</f>
        <v>0</v>
      </c>
      <c r="U246" s="63">
        <f>P246-I246</f>
        <v>-1.0000000000001327E-6</v>
      </c>
      <c r="V246" s="64">
        <f>Q246-J246</f>
        <v>-1.0000000000001674E-4</v>
      </c>
    </row>
    <row r="247" spans="1:22" ht="15" customHeight="1">
      <c r="A247" s="92"/>
      <c r="B247" s="92"/>
      <c r="C247" s="93" t="s">
        <v>294</v>
      </c>
      <c r="D247" s="97">
        <f>SUM(D245:D246)</f>
        <v>144945438574</v>
      </c>
      <c r="E247" s="99"/>
      <c r="F247" s="100"/>
      <c r="G247" s="100"/>
      <c r="H247" s="97">
        <f>SUM(H245:H246)</f>
        <v>26</v>
      </c>
      <c r="I247" s="108"/>
      <c r="J247" s="108"/>
      <c r="K247" s="97">
        <f>SUM(K245:K246)</f>
        <v>144985924950.91</v>
      </c>
      <c r="L247" s="99"/>
      <c r="M247" s="100"/>
      <c r="N247" s="100"/>
      <c r="O247" s="97">
        <f>SUM(O245:O246)</f>
        <v>26</v>
      </c>
      <c r="P247" s="108"/>
      <c r="Q247" s="97"/>
      <c r="R247" s="111">
        <f>((K247-D247)/D247)</f>
        <v>2.7932149716690722E-4</v>
      </c>
      <c r="S247" s="112"/>
      <c r="T247" s="112"/>
      <c r="U247" s="111"/>
      <c r="V247" s="113"/>
    </row>
    <row r="248" spans="1:22" ht="4.5" customHeight="1">
      <c r="A248" s="42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</row>
    <row r="249" spans="1:22" ht="15.6">
      <c r="A249" s="195" t="s">
        <v>295</v>
      </c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</row>
    <row r="250" spans="1:22">
      <c r="A250" s="182">
        <v>1</v>
      </c>
      <c r="B250" s="149" t="s">
        <v>296</v>
      </c>
      <c r="C250" s="148" t="s">
        <v>94</v>
      </c>
      <c r="D250" s="101">
        <v>1801727424.8499999</v>
      </c>
      <c r="E250" s="102">
        <f t="shared" ref="E250:E261" si="203">(D250/$D$262)</f>
        <v>7.6900319007944848E-2</v>
      </c>
      <c r="F250" s="98">
        <v>440.23846473999998</v>
      </c>
      <c r="G250" s="98">
        <v>440.23846473999998</v>
      </c>
      <c r="H250" s="103">
        <v>266</v>
      </c>
      <c r="I250" s="59">
        <v>-1.2699999999999999E-2</v>
      </c>
      <c r="J250" s="59">
        <v>0.24709999999999999</v>
      </c>
      <c r="K250" s="101">
        <v>1833562038.75</v>
      </c>
      <c r="L250" s="102">
        <f t="shared" ref="L250:L261" si="204">(K250/$K$262)</f>
        <v>7.6612060641495269E-2</v>
      </c>
      <c r="M250" s="98">
        <v>448.01701179000003</v>
      </c>
      <c r="N250" s="98">
        <v>448.01701179000003</v>
      </c>
      <c r="O250" s="103">
        <v>266</v>
      </c>
      <c r="P250" s="59">
        <v>1.78E-2</v>
      </c>
      <c r="Q250" s="59">
        <v>0.26919999999999999</v>
      </c>
      <c r="R250" s="63">
        <f>((K250-D250)/D250)</f>
        <v>1.7668940074356938E-2</v>
      </c>
      <c r="S250" s="63">
        <f>((N250-G250)/G250)</f>
        <v>1.7668940070000399E-2</v>
      </c>
      <c r="T250" s="63">
        <f>((O250-H250)/H250)</f>
        <v>0</v>
      </c>
      <c r="U250" s="63">
        <f>P250-I250</f>
        <v>3.0499999999999999E-2</v>
      </c>
      <c r="V250" s="64">
        <f>Q250-J250</f>
        <v>2.2100000000000009E-2</v>
      </c>
    </row>
    <row r="251" spans="1:22">
      <c r="A251" s="182">
        <v>2</v>
      </c>
      <c r="B251" s="149" t="s">
        <v>297</v>
      </c>
      <c r="C251" s="148" t="s">
        <v>258</v>
      </c>
      <c r="D251" s="101">
        <v>2805099707.71</v>
      </c>
      <c r="E251" s="102">
        <f t="shared" si="203"/>
        <v>0.1197256917982201</v>
      </c>
      <c r="F251" s="98">
        <v>79.790000000000006</v>
      </c>
      <c r="G251" s="98">
        <v>88.18</v>
      </c>
      <c r="H251" s="103">
        <v>615</v>
      </c>
      <c r="I251" s="59">
        <v>-4.7000000000000002E-3</v>
      </c>
      <c r="J251" s="59">
        <v>0.36070000000000002</v>
      </c>
      <c r="K251" s="101">
        <v>2956111339.3099999</v>
      </c>
      <c r="L251" s="102">
        <f t="shared" si="204"/>
        <v>0.12351574498380441</v>
      </c>
      <c r="M251" s="98">
        <v>84.08</v>
      </c>
      <c r="N251" s="98">
        <v>92.93</v>
      </c>
      <c r="O251" s="103">
        <v>952</v>
      </c>
      <c r="P251" s="59">
        <v>5.3800000000000001E-2</v>
      </c>
      <c r="Q251" s="59">
        <v>0.43390000000000001</v>
      </c>
      <c r="R251" s="63">
        <f t="shared" ref="R251:R262" si="205">((K251-D251)/D251)</f>
        <v>5.3834675175693243E-2</v>
      </c>
      <c r="S251" s="63">
        <f t="shared" ref="S251:S262" si="206">((N251-G251)/G251)</f>
        <v>5.3867090043093667E-2</v>
      </c>
      <c r="T251" s="63">
        <f t="shared" ref="T251:T262" si="207">((O251-H251)/H251)</f>
        <v>0.54796747967479675</v>
      </c>
      <c r="U251" s="63">
        <f t="shared" ref="U251:U262" si="208">P251-I251</f>
        <v>5.8500000000000003E-2</v>
      </c>
      <c r="V251" s="64">
        <f t="shared" ref="V251:V262" si="209">Q251-J251</f>
        <v>7.3199999999999987E-2</v>
      </c>
    </row>
    <row r="252" spans="1:22">
      <c r="A252" s="182">
        <v>3</v>
      </c>
      <c r="B252" s="149" t="s">
        <v>298</v>
      </c>
      <c r="C252" s="148" t="s">
        <v>44</v>
      </c>
      <c r="D252" s="101">
        <v>658492516.23000002</v>
      </c>
      <c r="E252" s="102">
        <f t="shared" si="203"/>
        <v>2.8105408101143332E-2</v>
      </c>
      <c r="F252" s="98">
        <v>54.862946999999998</v>
      </c>
      <c r="G252" s="98">
        <v>55.017634000000001</v>
      </c>
      <c r="H252" s="103">
        <v>218</v>
      </c>
      <c r="I252" s="59">
        <v>8.5000000000000006E-3</v>
      </c>
      <c r="J252" s="59">
        <v>0.26369999999999999</v>
      </c>
      <c r="K252" s="101">
        <v>669097096.24000001</v>
      </c>
      <c r="L252" s="102">
        <f t="shared" si="204"/>
        <v>2.7957007305372407E-2</v>
      </c>
      <c r="M252" s="98">
        <v>55.746589</v>
      </c>
      <c r="N252" s="98">
        <v>55.912412000000003</v>
      </c>
      <c r="O252" s="103">
        <v>219</v>
      </c>
      <c r="P252" s="59">
        <v>1.61E-2</v>
      </c>
      <c r="Q252" s="59">
        <v>0.37890000000000001</v>
      </c>
      <c r="R252" s="63">
        <f t="shared" si="205"/>
        <v>1.6104328824742473E-2</v>
      </c>
      <c r="S252" s="63">
        <f t="shared" si="206"/>
        <v>1.6263476542811753E-2</v>
      </c>
      <c r="T252" s="63">
        <f t="shared" si="207"/>
        <v>4.5871559633027525E-3</v>
      </c>
      <c r="U252" s="63">
        <f t="shared" si="208"/>
        <v>7.5999999999999991E-3</v>
      </c>
      <c r="V252" s="64">
        <f t="shared" si="209"/>
        <v>0.11520000000000002</v>
      </c>
    </row>
    <row r="253" spans="1:22">
      <c r="A253" s="182">
        <v>4</v>
      </c>
      <c r="B253" s="149" t="s">
        <v>299</v>
      </c>
      <c r="C253" s="148" t="s">
        <v>44</v>
      </c>
      <c r="D253" s="101">
        <v>1239688395.8599999</v>
      </c>
      <c r="E253" s="102">
        <f t="shared" si="203"/>
        <v>5.2911684529649741E-2</v>
      </c>
      <c r="F253" s="98">
        <v>105.271558</v>
      </c>
      <c r="G253" s="98">
        <v>105.581048</v>
      </c>
      <c r="H253" s="103">
        <v>261</v>
      </c>
      <c r="I253" s="59">
        <v>3.56E-2</v>
      </c>
      <c r="J253" s="59">
        <v>0.35699999999999998</v>
      </c>
      <c r="K253" s="101">
        <v>1241192686.29</v>
      </c>
      <c r="L253" s="102">
        <f t="shared" si="204"/>
        <v>5.1860982797536599E-2</v>
      </c>
      <c r="M253" s="98">
        <v>105.399299</v>
      </c>
      <c r="N253" s="98">
        <v>105.729927</v>
      </c>
      <c r="O253" s="103">
        <v>261</v>
      </c>
      <c r="P253" s="59">
        <v>1.1999999999999999E-3</v>
      </c>
      <c r="Q253" s="59">
        <v>0.26519999999999999</v>
      </c>
      <c r="R253" s="63">
        <f t="shared" si="205"/>
        <v>1.2134423739253496E-3</v>
      </c>
      <c r="S253" s="63">
        <f t="shared" si="206"/>
        <v>1.4100920839505966E-3</v>
      </c>
      <c r="T253" s="63">
        <f t="shared" si="207"/>
        <v>0</v>
      </c>
      <c r="U253" s="63">
        <f t="shared" si="208"/>
        <v>-3.44E-2</v>
      </c>
      <c r="V253" s="64">
        <f t="shared" si="209"/>
        <v>-9.1799999999999993E-2</v>
      </c>
    </row>
    <row r="254" spans="1:22">
      <c r="A254" s="182">
        <v>5</v>
      </c>
      <c r="B254" s="149" t="s">
        <v>300</v>
      </c>
      <c r="C254" s="148" t="s">
        <v>301</v>
      </c>
      <c r="D254" s="101">
        <v>2215809384.9899998</v>
      </c>
      <c r="E254" s="102">
        <f t="shared" si="203"/>
        <v>9.4573932891494489E-2</v>
      </c>
      <c r="F254" s="98">
        <v>66200</v>
      </c>
      <c r="G254" s="98">
        <v>75400</v>
      </c>
      <c r="H254" s="103">
        <v>326</v>
      </c>
      <c r="I254" s="59">
        <v>4.5999999999999999E-2</v>
      </c>
      <c r="J254" s="59">
        <v>0.13</v>
      </c>
      <c r="K254" s="101">
        <v>2224560027.27</v>
      </c>
      <c r="L254" s="102">
        <f t="shared" si="204"/>
        <v>9.2949201667614209E-2</v>
      </c>
      <c r="M254" s="98">
        <v>63800</v>
      </c>
      <c r="N254" s="98">
        <v>68600</v>
      </c>
      <c r="O254" s="103">
        <v>326</v>
      </c>
      <c r="P254" s="59">
        <v>4.0000000000000001E-3</v>
      </c>
      <c r="Q254" s="59">
        <v>0.13</v>
      </c>
      <c r="R254" s="63">
        <f t="shared" si="205"/>
        <v>3.9491854936970138E-3</v>
      </c>
      <c r="S254" s="63">
        <f t="shared" si="206"/>
        <v>-9.0185676392572939E-2</v>
      </c>
      <c r="T254" s="63">
        <f t="shared" si="207"/>
        <v>0</v>
      </c>
      <c r="U254" s="63">
        <f t="shared" si="208"/>
        <v>-4.1999999999999996E-2</v>
      </c>
      <c r="V254" s="64">
        <f t="shared" si="209"/>
        <v>0</v>
      </c>
    </row>
    <row r="255" spans="1:22">
      <c r="A255" s="182">
        <v>6</v>
      </c>
      <c r="B255" s="149" t="s">
        <v>302</v>
      </c>
      <c r="C255" s="148" t="s">
        <v>303</v>
      </c>
      <c r="D255" s="101">
        <v>1263806335.98</v>
      </c>
      <c r="E255" s="102">
        <f t="shared" si="203"/>
        <v>5.394107291740597E-2</v>
      </c>
      <c r="F255" s="98">
        <v>5014.96</v>
      </c>
      <c r="G255" s="98">
        <v>5014.96</v>
      </c>
      <c r="H255" s="103">
        <v>588</v>
      </c>
      <c r="I255" s="59">
        <v>8.0000000000000004E-4</v>
      </c>
      <c r="J255" s="59">
        <v>0.2908</v>
      </c>
      <c r="K255" s="101">
        <v>1295643807.1800001</v>
      </c>
      <c r="L255" s="102">
        <f t="shared" si="204"/>
        <v>5.4136124018537228E-2</v>
      </c>
      <c r="M255" s="98">
        <v>4423.67</v>
      </c>
      <c r="N255" s="98">
        <v>4423.67</v>
      </c>
      <c r="O255" s="103">
        <v>588</v>
      </c>
      <c r="P255" s="59">
        <v>2.52E-2</v>
      </c>
      <c r="Q255" s="59">
        <v>0.32329999999999998</v>
      </c>
      <c r="R255" s="63">
        <f t="shared" si="205"/>
        <v>2.5191732541293321E-2</v>
      </c>
      <c r="S255" s="63">
        <f t="shared" si="206"/>
        <v>-0.11790522755914304</v>
      </c>
      <c r="T255" s="63">
        <f t="shared" si="207"/>
        <v>0</v>
      </c>
      <c r="U255" s="63">
        <f t="shared" si="208"/>
        <v>2.4400000000000002E-2</v>
      </c>
      <c r="V255" s="64">
        <f t="shared" si="209"/>
        <v>3.2499999999999973E-2</v>
      </c>
    </row>
    <row r="256" spans="1:22">
      <c r="A256" s="182">
        <v>7</v>
      </c>
      <c r="B256" s="149" t="s">
        <v>304</v>
      </c>
      <c r="C256" s="148" t="s">
        <v>303</v>
      </c>
      <c r="D256" s="101">
        <v>1307155352.8800001</v>
      </c>
      <c r="E256" s="102">
        <f t="shared" si="203"/>
        <v>5.5791271333833097E-2</v>
      </c>
      <c r="F256" s="98">
        <v>1956.42</v>
      </c>
      <c r="G256" s="98">
        <v>1956.42</v>
      </c>
      <c r="H256" s="103">
        <v>4067</v>
      </c>
      <c r="I256" s="59">
        <v>-1.26E-2</v>
      </c>
      <c r="J256" s="59">
        <v>0.2084</v>
      </c>
      <c r="K256" s="101">
        <v>1336866812.71</v>
      </c>
      <c r="L256" s="102">
        <f t="shared" si="204"/>
        <v>5.5858552457141948E-2</v>
      </c>
      <c r="M256" s="98">
        <v>3150.47</v>
      </c>
      <c r="N256" s="98">
        <v>3150.47</v>
      </c>
      <c r="O256" s="103">
        <v>4067</v>
      </c>
      <c r="P256" s="59">
        <v>2.2700000000000001E-2</v>
      </c>
      <c r="Q256" s="59">
        <v>0.23580000000000001</v>
      </c>
      <c r="R256" s="63">
        <f t="shared" si="205"/>
        <v>2.2729861270535227E-2</v>
      </c>
      <c r="S256" s="63">
        <f t="shared" si="206"/>
        <v>0.61032395906809356</v>
      </c>
      <c r="T256" s="63">
        <f t="shared" si="207"/>
        <v>0</v>
      </c>
      <c r="U256" s="63">
        <f t="shared" si="208"/>
        <v>3.5299999999999998E-2</v>
      </c>
      <c r="V256" s="64">
        <f t="shared" si="209"/>
        <v>2.7400000000000008E-2</v>
      </c>
    </row>
    <row r="257" spans="1:26">
      <c r="A257" s="182">
        <v>8</v>
      </c>
      <c r="B257" s="149" t="s">
        <v>305</v>
      </c>
      <c r="C257" s="148" t="s">
        <v>306</v>
      </c>
      <c r="D257" s="101">
        <v>400822759.81</v>
      </c>
      <c r="E257" s="102">
        <f t="shared" si="203"/>
        <v>1.7107692134730096E-2</v>
      </c>
      <c r="F257" s="98">
        <v>43.65</v>
      </c>
      <c r="G257" s="98">
        <v>43.75</v>
      </c>
      <c r="H257" s="103">
        <v>1189</v>
      </c>
      <c r="I257" s="59">
        <v>-5.8999999999999999E-3</v>
      </c>
      <c r="J257" s="59">
        <v>0.68230000000000002</v>
      </c>
      <c r="K257" s="101">
        <v>400064570.05000001</v>
      </c>
      <c r="L257" s="102">
        <f t="shared" si="204"/>
        <v>1.6715971673409696E-2</v>
      </c>
      <c r="M257" s="98">
        <v>43.62</v>
      </c>
      <c r="N257" s="98">
        <v>43.72</v>
      </c>
      <c r="O257" s="103">
        <v>1287</v>
      </c>
      <c r="P257" s="59">
        <v>-0.16170000000000001</v>
      </c>
      <c r="Q257" s="59">
        <v>0.4103</v>
      </c>
      <c r="R257" s="63">
        <f t="shared" si="205"/>
        <v>-1.8915836025863186E-3</v>
      </c>
      <c r="S257" s="63">
        <f t="shared" si="206"/>
        <v>-6.8571428571431172E-4</v>
      </c>
      <c r="T257" s="63">
        <f t="shared" si="207"/>
        <v>8.2422203532380153E-2</v>
      </c>
      <c r="U257" s="63">
        <f t="shared" si="208"/>
        <v>-0.15580000000000002</v>
      </c>
      <c r="V257" s="64">
        <f t="shared" si="209"/>
        <v>-0.27200000000000002</v>
      </c>
    </row>
    <row r="258" spans="1:26">
      <c r="A258" s="182">
        <v>9</v>
      </c>
      <c r="B258" s="149" t="s">
        <v>307</v>
      </c>
      <c r="C258" s="148" t="s">
        <v>306</v>
      </c>
      <c r="D258" s="104">
        <v>1298232076.3299999</v>
      </c>
      <c r="E258" s="102">
        <f t="shared" si="203"/>
        <v>5.5410413050928149E-2</v>
      </c>
      <c r="F258" s="98">
        <v>18.87</v>
      </c>
      <c r="G258" s="98">
        <v>18.97</v>
      </c>
      <c r="H258" s="103">
        <v>1309</v>
      </c>
      <c r="I258" s="59">
        <v>3.9699999999999999E-2</v>
      </c>
      <c r="J258" s="59">
        <v>1.0792999999999999</v>
      </c>
      <c r="K258" s="104">
        <v>1300455796.3099999</v>
      </c>
      <c r="L258" s="102">
        <f t="shared" si="204"/>
        <v>5.4337184247339243E-2</v>
      </c>
      <c r="M258" s="98">
        <v>18.920000000000002</v>
      </c>
      <c r="N258" s="98">
        <v>19.02</v>
      </c>
      <c r="O258" s="103">
        <v>1494</v>
      </c>
      <c r="P258" s="59">
        <v>-0.17180000000000001</v>
      </c>
      <c r="Q258" s="59">
        <v>0.72199999999999998</v>
      </c>
      <c r="R258" s="63">
        <f t="shared" si="205"/>
        <v>1.712883251418576E-3</v>
      </c>
      <c r="S258" s="63">
        <f t="shared" si="206"/>
        <v>2.6357406431207547E-3</v>
      </c>
      <c r="T258" s="63">
        <f t="shared" si="207"/>
        <v>0.14132925897631779</v>
      </c>
      <c r="U258" s="63">
        <f t="shared" si="208"/>
        <v>-0.21150000000000002</v>
      </c>
      <c r="V258" s="64">
        <f t="shared" si="209"/>
        <v>-0.35729999999999995</v>
      </c>
    </row>
    <row r="259" spans="1:26" ht="15" customHeight="1">
      <c r="A259" s="182">
        <v>10</v>
      </c>
      <c r="B259" s="149" t="s">
        <v>308</v>
      </c>
      <c r="C259" s="148" t="s">
        <v>306</v>
      </c>
      <c r="D259" s="101">
        <v>235844404.27000001</v>
      </c>
      <c r="E259" s="102">
        <f t="shared" si="203"/>
        <v>1.0066178532033856E-2</v>
      </c>
      <c r="F259" s="98">
        <v>148.87</v>
      </c>
      <c r="G259" s="98">
        <v>150.87</v>
      </c>
      <c r="H259" s="103">
        <v>935</v>
      </c>
      <c r="I259" s="59">
        <v>-0.1973</v>
      </c>
      <c r="J259" s="59">
        <v>0.84760000000000002</v>
      </c>
      <c r="K259" s="101">
        <v>233887424.31</v>
      </c>
      <c r="L259" s="102">
        <f t="shared" si="204"/>
        <v>9.7725613618923728E-3</v>
      </c>
      <c r="M259" s="98">
        <v>147.62</v>
      </c>
      <c r="N259" s="98">
        <v>149.62</v>
      </c>
      <c r="O259" s="103">
        <v>935</v>
      </c>
      <c r="P259" s="59">
        <v>-0.1275</v>
      </c>
      <c r="Q259" s="59">
        <v>1.0831</v>
      </c>
      <c r="R259" s="63">
        <f t="shared" si="205"/>
        <v>-8.2977587111187651E-3</v>
      </c>
      <c r="S259" s="63">
        <f t="shared" si="206"/>
        <v>-8.2852787167760327E-3</v>
      </c>
      <c r="T259" s="63">
        <f t="shared" si="207"/>
        <v>0</v>
      </c>
      <c r="U259" s="63">
        <f t="shared" si="208"/>
        <v>6.9800000000000001E-2</v>
      </c>
      <c r="V259" s="64">
        <f t="shared" si="209"/>
        <v>0.23549999999999993</v>
      </c>
    </row>
    <row r="260" spans="1:26">
      <c r="A260" s="182">
        <v>11</v>
      </c>
      <c r="B260" s="149" t="s">
        <v>309</v>
      </c>
      <c r="C260" s="148" t="s">
        <v>306</v>
      </c>
      <c r="D260" s="101">
        <v>10009265561.360001</v>
      </c>
      <c r="E260" s="102">
        <f t="shared" si="203"/>
        <v>0.42720985654525501</v>
      </c>
      <c r="F260" s="98">
        <v>69.930000000000007</v>
      </c>
      <c r="G260" s="98">
        <v>70.13</v>
      </c>
      <c r="H260" s="103">
        <v>2282</v>
      </c>
      <c r="I260" s="59">
        <v>-2.6700000000000002E-2</v>
      </c>
      <c r="J260" s="59">
        <v>0.35160000000000002</v>
      </c>
      <c r="K260" s="101">
        <v>10240724445.799999</v>
      </c>
      <c r="L260" s="102">
        <f t="shared" si="204"/>
        <v>0.42789007716877425</v>
      </c>
      <c r="M260" s="98">
        <v>71.569999999999993</v>
      </c>
      <c r="N260" s="98">
        <v>71.77</v>
      </c>
      <c r="O260" s="103">
        <v>23.74</v>
      </c>
      <c r="P260" s="59">
        <v>6.8500000000000005E-2</v>
      </c>
      <c r="Q260" s="59">
        <v>0.44419999999999998</v>
      </c>
      <c r="R260" s="63">
        <f t="shared" si="205"/>
        <v>2.3124462331534878E-2</v>
      </c>
      <c r="S260" s="63">
        <f t="shared" si="206"/>
        <v>2.33851418793669E-2</v>
      </c>
      <c r="T260" s="63">
        <f t="shared" si="207"/>
        <v>-0.98959684487291855</v>
      </c>
      <c r="U260" s="63">
        <f t="shared" si="208"/>
        <v>9.5200000000000007E-2</v>
      </c>
      <c r="V260" s="64">
        <f t="shared" si="209"/>
        <v>9.259999999999996E-2</v>
      </c>
    </row>
    <row r="261" spans="1:26">
      <c r="A261" s="182">
        <v>12</v>
      </c>
      <c r="B261" s="149" t="s">
        <v>310</v>
      </c>
      <c r="C261" s="148" t="s">
        <v>306</v>
      </c>
      <c r="D261" s="104">
        <v>193444255.13999999</v>
      </c>
      <c r="E261" s="102">
        <f t="shared" si="203"/>
        <v>8.2564791573613017E-3</v>
      </c>
      <c r="F261" s="98">
        <v>73.05</v>
      </c>
      <c r="G261" s="98">
        <v>73.25</v>
      </c>
      <c r="H261" s="103">
        <v>1533</v>
      </c>
      <c r="I261" s="59">
        <v>-0.2432</v>
      </c>
      <c r="J261" s="59">
        <v>1.157</v>
      </c>
      <c r="K261" s="104">
        <v>200906939.28999999</v>
      </c>
      <c r="L261" s="102">
        <f t="shared" si="204"/>
        <v>8.3945316770824129E-3</v>
      </c>
      <c r="M261" s="98">
        <v>75.89</v>
      </c>
      <c r="N261" s="98">
        <v>76.09</v>
      </c>
      <c r="O261" s="103">
        <v>1623</v>
      </c>
      <c r="P261" s="59">
        <v>-3.4200000000000001E-2</v>
      </c>
      <c r="Q261" s="59">
        <v>1.0832999999999999</v>
      </c>
      <c r="R261" s="63">
        <f t="shared" si="205"/>
        <v>3.8577956965427027E-2</v>
      </c>
      <c r="S261" s="63">
        <f t="shared" si="206"/>
        <v>3.8771331058020525E-2</v>
      </c>
      <c r="T261" s="63">
        <f t="shared" si="207"/>
        <v>5.8708414872798431E-2</v>
      </c>
      <c r="U261" s="63">
        <f t="shared" si="208"/>
        <v>0.20899999999999999</v>
      </c>
      <c r="V261" s="64">
        <f t="shared" si="209"/>
        <v>-7.3700000000000099E-2</v>
      </c>
    </row>
    <row r="262" spans="1:26">
      <c r="A262" s="114"/>
      <c r="B262" s="114"/>
      <c r="C262" s="115" t="s">
        <v>311</v>
      </c>
      <c r="D262" s="97">
        <f>SUM(D250:D261)</f>
        <v>23429388175.41</v>
      </c>
      <c r="E262" s="99"/>
      <c r="F262" s="99"/>
      <c r="G262" s="100"/>
      <c r="H262" s="97">
        <f>SUM(H250:H261)</f>
        <v>13589</v>
      </c>
      <c r="I262" s="108"/>
      <c r="J262" s="108"/>
      <c r="K262" s="97">
        <f>SUM(K250:K261)</f>
        <v>23933072983.509998</v>
      </c>
      <c r="L262" s="99"/>
      <c r="M262" s="99"/>
      <c r="N262" s="100"/>
      <c r="O262" s="97">
        <f>SUM(O250:O261)</f>
        <v>12041.74</v>
      </c>
      <c r="P262" s="108"/>
      <c r="Q262" s="108"/>
      <c r="R262" s="63">
        <f t="shared" si="205"/>
        <v>2.1497992364505451E-2</v>
      </c>
      <c r="S262" s="63" t="e">
        <f t="shared" si="206"/>
        <v>#DIV/0!</v>
      </c>
      <c r="T262" s="63">
        <f t="shared" si="207"/>
        <v>-0.11386121127382444</v>
      </c>
      <c r="U262" s="63">
        <f t="shared" si="208"/>
        <v>0</v>
      </c>
      <c r="V262" s="64">
        <f t="shared" si="209"/>
        <v>0</v>
      </c>
      <c r="Z262" s="72"/>
    </row>
    <row r="263" spans="1:26">
      <c r="A263" s="116"/>
      <c r="B263" s="116"/>
      <c r="C263" s="117" t="s">
        <v>312</v>
      </c>
      <c r="D263" s="118">
        <f>SUM(D234,D242,D247,D262)</f>
        <v>8432539734034.6895</v>
      </c>
      <c r="E263" s="119"/>
      <c r="F263" s="119"/>
      <c r="G263" s="120"/>
      <c r="H263" s="118">
        <f>SUM(H234,H242,H247,H262)</f>
        <v>1225936</v>
      </c>
      <c r="I263" s="131"/>
      <c r="J263" s="131"/>
      <c r="K263" s="118">
        <f>SUM(K234,K242,K247,K262)</f>
        <v>8544409289634.2988</v>
      </c>
      <c r="L263" s="119"/>
      <c r="M263" s="119"/>
      <c r="N263" s="118"/>
      <c r="O263" s="118">
        <f>SUM(O234,O242,O247,O262)</f>
        <v>1239083.74</v>
      </c>
      <c r="P263" s="132"/>
      <c r="Q263" s="118"/>
      <c r="R263" s="136"/>
      <c r="S263" s="137"/>
      <c r="T263" s="137"/>
      <c r="U263" s="138"/>
      <c r="V263" s="138"/>
      <c r="Z263" s="72"/>
    </row>
    <row r="264" spans="1:26">
      <c r="A264" s="121" t="s">
        <v>313</v>
      </c>
      <c r="B264" s="122" t="s">
        <v>339</v>
      </c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</row>
    <row r="265" spans="1:26">
      <c r="B265" s="124"/>
    </row>
    <row r="266" spans="1:26">
      <c r="B266" s="124"/>
      <c r="C266" s="125"/>
      <c r="D266" s="126"/>
      <c r="K266" s="126"/>
    </row>
    <row r="267" spans="1:26" ht="15">
      <c r="B267" s="127"/>
      <c r="C267" s="128"/>
      <c r="D267" s="129"/>
      <c r="F267" s="130"/>
      <c r="G267" s="130"/>
      <c r="I267" s="133"/>
      <c r="J267" s="134"/>
    </row>
    <row r="268" spans="1:26">
      <c r="C268" s="124"/>
    </row>
    <row r="269" spans="1:26">
      <c r="K269" s="110"/>
    </row>
    <row r="270" spans="1:26">
      <c r="B270" s="125"/>
    </row>
    <row r="271" spans="1:26">
      <c r="K271" s="135"/>
    </row>
  </sheetData>
  <sheetProtection algorithmName="SHA-512" hashValue="7UvQtSNRKM71EfmJIijPE4g2LpvmERwPQ1j8pOdAopz1KSGO9zBZsOtCA4M1rp1JVoaVrX10H/EA8jL+Wkg3tw==" saltValue="gbG5X2naR7a6ICF8v3CBvg==" spinCount="100000" sheet="1" objects="1" scenarios="1"/>
  <sortState ref="A150:C177">
    <sortCondition descending="1" ref="A149"/>
  </sortState>
  <mergeCells count="34">
    <mergeCell ref="A236:V236"/>
    <mergeCell ref="A244:V244"/>
    <mergeCell ref="B248:V248"/>
    <mergeCell ref="A249:V249"/>
    <mergeCell ref="B211:V211"/>
    <mergeCell ref="A212:V212"/>
    <mergeCell ref="B227:V227"/>
    <mergeCell ref="A228:V228"/>
    <mergeCell ref="B235:U235"/>
    <mergeCell ref="B200:V200"/>
    <mergeCell ref="A201:V201"/>
    <mergeCell ref="B206:V206"/>
    <mergeCell ref="A207:V207"/>
    <mergeCell ref="A208:V208"/>
    <mergeCell ref="A138:V138"/>
    <mergeCell ref="B159:V159"/>
    <mergeCell ref="A160:V160"/>
    <mergeCell ref="B168:V168"/>
    <mergeCell ref="A169:V169"/>
    <mergeCell ref="A76:V76"/>
    <mergeCell ref="B117:V117"/>
    <mergeCell ref="A118:V118"/>
    <mergeCell ref="A119:V119"/>
    <mergeCell ref="B137:V137"/>
    <mergeCell ref="B4:V4"/>
    <mergeCell ref="A5:V5"/>
    <mergeCell ref="B27:V27"/>
    <mergeCell ref="A28:V28"/>
    <mergeCell ref="B75:V75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1 E81 L52 L36 E36 L143 E143" formula="1"/>
    <ignoredError sqref="S167 S26 S74 S116 S158 S199 S205 S233 S262 T245:T246 R53:T53 R143 R131:T131 R48:T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7"/>
      <c r="B1" s="157"/>
      <c r="C1" s="157"/>
      <c r="D1" s="157"/>
      <c r="F1" s="15"/>
      <c r="G1" s="15"/>
      <c r="H1" s="20"/>
    </row>
    <row r="2" spans="1:8" ht="27.6">
      <c r="A2" s="158" t="s">
        <v>314</v>
      </c>
      <c r="B2" s="159" t="s">
        <v>336</v>
      </c>
      <c r="C2" s="159" t="s">
        <v>340</v>
      </c>
      <c r="D2" s="160"/>
      <c r="F2" s="15"/>
      <c r="G2" s="15"/>
      <c r="H2" s="20"/>
    </row>
    <row r="3" spans="1:8">
      <c r="A3" s="161" t="s">
        <v>18</v>
      </c>
      <c r="B3" s="162">
        <f t="shared" ref="B3:C10" si="0">B13</f>
        <v>148.19165443143802</v>
      </c>
      <c r="C3" s="162">
        <f t="shared" si="0"/>
        <v>159.21165209274878</v>
      </c>
      <c r="D3" s="160"/>
      <c r="F3" s="15"/>
      <c r="G3" s="15"/>
      <c r="H3" s="20"/>
    </row>
    <row r="4" spans="1:8" ht="15.6" customHeight="1">
      <c r="A4" s="158" t="s">
        <v>57</v>
      </c>
      <c r="B4" s="163">
        <f t="shared" si="0"/>
        <v>5290.967255505765</v>
      </c>
      <c r="C4" s="163">
        <f t="shared" si="0"/>
        <v>5336.29018162787</v>
      </c>
      <c r="D4" s="160"/>
      <c r="F4" s="15"/>
      <c r="G4" s="15"/>
      <c r="H4" s="20"/>
    </row>
    <row r="5" spans="1:8" ht="16.2" customHeight="1">
      <c r="A5" s="158" t="s">
        <v>315</v>
      </c>
      <c r="B5" s="162">
        <f t="shared" si="0"/>
        <v>246.07228482023424</v>
      </c>
      <c r="C5" s="162">
        <f t="shared" si="0"/>
        <v>242.89563584556709</v>
      </c>
      <c r="D5" s="160"/>
      <c r="F5" s="15"/>
      <c r="G5" s="15"/>
      <c r="H5" s="20"/>
    </row>
    <row r="6" spans="1:8">
      <c r="A6" s="158" t="s">
        <v>174</v>
      </c>
      <c r="B6" s="163">
        <f t="shared" si="0"/>
        <v>1833.9156884632009</v>
      </c>
      <c r="C6" s="163">
        <f t="shared" si="0"/>
        <v>1871.1974691522844</v>
      </c>
      <c r="D6" s="160"/>
      <c r="F6" s="15"/>
      <c r="G6" s="15"/>
      <c r="H6" s="20"/>
    </row>
    <row r="7" spans="1:8">
      <c r="A7" s="158" t="s">
        <v>316</v>
      </c>
      <c r="B7" s="162">
        <f t="shared" si="0"/>
        <v>491.07240982121351</v>
      </c>
      <c r="C7" s="162">
        <f t="shared" si="0"/>
        <v>492.23205353179839</v>
      </c>
      <c r="D7" s="160"/>
      <c r="F7" s="15"/>
      <c r="G7" s="15"/>
      <c r="H7" s="20"/>
    </row>
    <row r="8" spans="1:8">
      <c r="A8" s="158" t="s">
        <v>219</v>
      </c>
      <c r="B8" s="164">
        <f t="shared" si="0"/>
        <v>115.75145513497435</v>
      </c>
      <c r="C8" s="164">
        <f t="shared" si="0"/>
        <v>119.28443493617971</v>
      </c>
      <c r="D8" s="160"/>
      <c r="F8" s="15"/>
      <c r="G8" s="15"/>
      <c r="H8" s="20"/>
    </row>
    <row r="9" spans="1:8">
      <c r="A9" s="158" t="s">
        <v>251</v>
      </c>
      <c r="B9" s="162">
        <f t="shared" si="0"/>
        <v>14.050360664833526</v>
      </c>
      <c r="C9" s="162">
        <f t="shared" si="0"/>
        <v>14.784118823610147</v>
      </c>
      <c r="D9" s="160"/>
      <c r="F9" s="15"/>
      <c r="G9" s="15"/>
      <c r="H9" s="20"/>
    </row>
    <row r="10" spans="1:8">
      <c r="A10" s="158" t="s">
        <v>317</v>
      </c>
      <c r="B10" s="162">
        <f t="shared" si="0"/>
        <v>104.38017091545008</v>
      </c>
      <c r="C10" s="162">
        <f t="shared" si="0"/>
        <v>108.41465688162793</v>
      </c>
      <c r="D10" s="160"/>
      <c r="F10" s="15"/>
      <c r="G10" s="15"/>
      <c r="H10" s="20"/>
    </row>
    <row r="11" spans="1:8">
      <c r="A11" s="158" t="s">
        <v>284</v>
      </c>
      <c r="B11" s="162">
        <f>B21</f>
        <v>19.763627528168037</v>
      </c>
      <c r="C11" s="162">
        <f>C21</f>
        <v>31.18008880819108</v>
      </c>
      <c r="D11" s="160"/>
      <c r="F11" s="15"/>
      <c r="G11" s="15"/>
      <c r="H11" s="20"/>
    </row>
    <row r="12" spans="1:8">
      <c r="A12" s="157"/>
      <c r="B12" s="157"/>
      <c r="C12" s="157"/>
      <c r="D12" s="157"/>
      <c r="F12" s="15"/>
      <c r="G12" s="15"/>
      <c r="H12" s="20"/>
    </row>
    <row r="13" spans="1:8">
      <c r="A13" s="165" t="s">
        <v>18</v>
      </c>
      <c r="B13" s="166">
        <f>'Weekly Valuation'!D26/1000000000</f>
        <v>148.19165443143802</v>
      </c>
      <c r="C13" s="167">
        <f>'Weekly Valuation'!K26/1000000000</f>
        <v>159.21165209274878</v>
      </c>
      <c r="D13" s="157"/>
      <c r="F13" s="15"/>
      <c r="G13" s="15"/>
      <c r="H13" s="20"/>
    </row>
    <row r="14" spans="1:8">
      <c r="A14" s="168" t="s">
        <v>57</v>
      </c>
      <c r="B14" s="166">
        <f>'Weekly Valuation'!D74/1000000000</f>
        <v>5290.967255505765</v>
      </c>
      <c r="C14" s="169">
        <f>'Weekly Valuation'!K74/1000000000</f>
        <v>5336.29018162787</v>
      </c>
      <c r="D14" s="157"/>
      <c r="F14" s="15"/>
      <c r="G14" s="15"/>
      <c r="H14" s="20"/>
    </row>
    <row r="15" spans="1:8">
      <c r="A15" s="168" t="s">
        <v>315</v>
      </c>
      <c r="B15" s="166">
        <f>'Weekly Valuation'!D116/1000000000</f>
        <v>246.07228482023424</v>
      </c>
      <c r="C15" s="167">
        <f>'Weekly Valuation'!K116/1000000000</f>
        <v>242.89563584556709</v>
      </c>
      <c r="D15" s="157"/>
      <c r="F15" s="15"/>
      <c r="G15" s="15"/>
      <c r="H15" s="20"/>
    </row>
    <row r="16" spans="1:8">
      <c r="A16" s="168" t="s">
        <v>174</v>
      </c>
      <c r="B16" s="166">
        <f>'Weekly Valuation'!D158/1000000000</f>
        <v>1833.9156884632009</v>
      </c>
      <c r="C16" s="169">
        <f>'Weekly Valuation'!K158/1000000000</f>
        <v>1871.1974691522844</v>
      </c>
      <c r="D16" s="157"/>
      <c r="F16" s="15"/>
      <c r="G16" s="15"/>
      <c r="H16" s="20"/>
    </row>
    <row r="17" spans="1:8">
      <c r="A17" s="168" t="s">
        <v>316</v>
      </c>
      <c r="B17" s="166">
        <f>'Weekly Valuation'!D167/1000000000</f>
        <v>491.07240982121351</v>
      </c>
      <c r="C17" s="167">
        <f>'Weekly Valuation'!K167/1000000000</f>
        <v>492.23205353179839</v>
      </c>
      <c r="D17" s="157"/>
      <c r="F17" s="15"/>
      <c r="G17" s="15"/>
      <c r="H17" s="20"/>
    </row>
    <row r="18" spans="1:8">
      <c r="A18" s="168" t="s">
        <v>219</v>
      </c>
      <c r="B18" s="166">
        <f>'Weekly Valuation'!D199/1000000000</f>
        <v>115.75145513497435</v>
      </c>
      <c r="C18" s="170">
        <f>'Weekly Valuation'!K199/1000000000</f>
        <v>119.28443493617971</v>
      </c>
      <c r="D18" s="157"/>
      <c r="F18" s="15"/>
      <c r="G18" s="15"/>
      <c r="H18" s="20"/>
    </row>
    <row r="19" spans="1:8">
      <c r="A19" s="168" t="s">
        <v>251</v>
      </c>
      <c r="B19" s="166">
        <f>'Weekly Valuation'!D205/1000000000</f>
        <v>14.050360664833526</v>
      </c>
      <c r="C19" s="167">
        <f>'Weekly Valuation'!K205/1000000000</f>
        <v>14.784118823610147</v>
      </c>
      <c r="D19" s="157"/>
      <c r="F19" s="15"/>
      <c r="G19" s="15"/>
      <c r="H19" s="20"/>
    </row>
    <row r="20" spans="1:8">
      <c r="A20" s="168" t="s">
        <v>317</v>
      </c>
      <c r="B20" s="166">
        <f>'Weekly Valuation'!D233/1000000000</f>
        <v>104.38017091545008</v>
      </c>
      <c r="C20" s="167">
        <f>'Weekly Valuation'!K233/1000000000</f>
        <v>108.41465688162793</v>
      </c>
      <c r="D20" s="157"/>
      <c r="F20" s="15"/>
      <c r="G20" s="15"/>
      <c r="H20" s="20"/>
    </row>
    <row r="21" spans="1:8">
      <c r="A21" s="168" t="s">
        <v>284</v>
      </c>
      <c r="B21" s="166">
        <f>'Weekly Valuation'!D242/1000000000</f>
        <v>19.763627528168037</v>
      </c>
      <c r="C21" s="167">
        <f>'Weekly Valuation'!K242/1000000000</f>
        <v>31.18008880819108</v>
      </c>
      <c r="D21" s="157"/>
      <c r="F21" s="15"/>
      <c r="G21" s="15"/>
      <c r="H21" s="20"/>
    </row>
    <row r="22" spans="1:8">
      <c r="A22" s="171"/>
      <c r="B22" s="157"/>
      <c r="C22" s="21"/>
      <c r="D22" s="157"/>
      <c r="F22" s="15"/>
      <c r="G22" s="15"/>
      <c r="H22" s="20"/>
    </row>
    <row r="23" spans="1:8">
      <c r="A23" s="22"/>
      <c r="B23" s="21"/>
      <c r="C23" s="174"/>
      <c r="F23" s="15"/>
      <c r="G23" s="15"/>
      <c r="H23" s="20"/>
    </row>
    <row r="24" spans="1:8">
      <c r="A24" s="22"/>
      <c r="B24" s="21"/>
      <c r="C24" s="21"/>
      <c r="F24" s="20"/>
      <c r="G24" s="20"/>
      <c r="H24" s="20"/>
    </row>
    <row r="25" spans="1:8">
      <c r="A25" s="22"/>
      <c r="B25" s="21"/>
      <c r="C25" s="21"/>
      <c r="F25" s="20"/>
      <c r="G25" s="20"/>
      <c r="H25" s="20"/>
    </row>
    <row r="26" spans="1:8">
      <c r="A26" s="22"/>
      <c r="B26" s="21"/>
      <c r="C26" s="21"/>
      <c r="F26" s="20"/>
      <c r="G26" s="20"/>
      <c r="H26" s="20"/>
    </row>
    <row r="27" spans="1:8">
      <c r="A27" s="22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OVgLhD8vdpZ17iYUGH4YXy3U3STHeDYSs/ern8vhOFESX9eF6pmlS9Yd49D4yc2+W8ZHT70cqNnJ3u0ARLz5Eg==" saltValue="UhhohExBh54+NNXJ4vEes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E13" sqref="E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2" t="s">
        <v>314</v>
      </c>
      <c r="B1" s="173">
        <v>46087</v>
      </c>
      <c r="C1" s="157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1" t="s">
        <v>251</v>
      </c>
      <c r="B2" s="21">
        <f>'Weekly Valuation'!K205</f>
        <v>14784118823.610147</v>
      </c>
      <c r="C2" s="157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1" t="s">
        <v>284</v>
      </c>
      <c r="B3" s="21">
        <f>'Weekly Valuation'!K242</f>
        <v>31180088808.191078</v>
      </c>
      <c r="C3" s="157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1" t="s">
        <v>18</v>
      </c>
      <c r="B4" s="21">
        <f>'Weekly Valuation'!K26</f>
        <v>159211652092.74878</v>
      </c>
      <c r="C4" s="157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1" t="s">
        <v>317</v>
      </c>
      <c r="B5" s="174">
        <f>'Weekly Valuation'!K233</f>
        <v>108414656881.62793</v>
      </c>
      <c r="C5" s="157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1" t="s">
        <v>219</v>
      </c>
      <c r="B6" s="21">
        <f>'Weekly Valuation'!K199</f>
        <v>119284434936.1797</v>
      </c>
      <c r="C6" s="157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1" t="s">
        <v>316</v>
      </c>
      <c r="B7" s="21">
        <f>'Weekly Valuation'!K167</f>
        <v>492232053531.7984</v>
      </c>
      <c r="C7" s="157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1" t="s">
        <v>315</v>
      </c>
      <c r="B8" s="21">
        <f>'Weekly Valuation'!K116</f>
        <v>242895635845.56708</v>
      </c>
      <c r="C8" s="157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1" t="s">
        <v>174</v>
      </c>
      <c r="B9" s="175">
        <f>'Weekly Valuation'!K158</f>
        <v>1871197469152.2844</v>
      </c>
      <c r="C9" s="157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1" t="s">
        <v>57</v>
      </c>
      <c r="B10" s="175">
        <f>'Weekly Valuation'!K74</f>
        <v>5336290181627.8701</v>
      </c>
      <c r="C10" s="157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7"/>
      <c r="B11" s="157"/>
      <c r="C11" s="157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1"/>
      <c r="B12" s="176"/>
      <c r="C12" s="157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1"/>
      <c r="B13" s="157"/>
      <c r="C13" s="157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7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3"/>
      <c r="B16" s="15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23"/>
    </row>
    <row r="34" spans="1:17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23"/>
    </row>
  </sheetData>
  <sheetProtection algorithmName="SHA-512" hashValue="D9k+tZAKuXJH1U7MbiHwDMl/1Ca11ensXR2LvDfe4ubSnkHVdrJ97QmHxvHheum1USXhjkg7AVHUaABtxQkEqw==" saltValue="zjkkd6zl3k8TAmqSjC6mr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20"/>
      <c r="N1" s="15"/>
      <c r="O1" s="152"/>
    </row>
    <row r="2" spans="1:15">
      <c r="A2" s="177" t="s">
        <v>318</v>
      </c>
      <c r="B2" s="178">
        <v>46038</v>
      </c>
      <c r="C2" s="178">
        <v>46045</v>
      </c>
      <c r="D2" s="178">
        <v>46052</v>
      </c>
      <c r="E2" s="178">
        <v>46059</v>
      </c>
      <c r="F2" s="178">
        <v>46066</v>
      </c>
      <c r="G2" s="178">
        <v>46073</v>
      </c>
      <c r="H2" s="178">
        <v>46080</v>
      </c>
      <c r="I2" s="178">
        <v>46087</v>
      </c>
      <c r="J2" s="20"/>
      <c r="K2" s="20"/>
      <c r="L2" s="15"/>
      <c r="M2" s="20"/>
      <c r="N2" s="15"/>
      <c r="O2" s="152"/>
    </row>
    <row r="3" spans="1:15">
      <c r="A3" s="177" t="s">
        <v>319</v>
      </c>
      <c r="B3" s="179">
        <f t="shared" ref="B3:I3" si="0">B4</f>
        <v>8029.3427073122812</v>
      </c>
      <c r="C3" s="179">
        <f t="shared" si="0"/>
        <v>8056.134516783889</v>
      </c>
      <c r="D3" s="179">
        <f t="shared" si="0"/>
        <v>8081.3813988736874</v>
      </c>
      <c r="E3" s="179">
        <f t="shared" si="0"/>
        <v>8107.597332853632</v>
      </c>
      <c r="F3" s="179">
        <f t="shared" si="0"/>
        <v>8176.5089785345672</v>
      </c>
      <c r="G3" s="179">
        <f t="shared" si="0"/>
        <v>8210.0158947677137</v>
      </c>
      <c r="H3" s="179">
        <f t="shared" si="0"/>
        <v>8264.1649072852797</v>
      </c>
      <c r="I3" s="179">
        <f t="shared" si="0"/>
        <v>8375.4902916998781</v>
      </c>
      <c r="J3" s="20"/>
      <c r="K3" s="20"/>
      <c r="L3" s="15"/>
      <c r="M3" s="20"/>
      <c r="N3" s="15"/>
      <c r="O3" s="152"/>
    </row>
    <row r="4" spans="1:15">
      <c r="A4" s="20"/>
      <c r="B4" s="180">
        <f>'NAV Trend'!C11/1000000000</f>
        <v>8029.3427073122812</v>
      </c>
      <c r="C4" s="180">
        <f>'NAV Trend'!D11/1000000000</f>
        <v>8056.134516783889</v>
      </c>
      <c r="D4" s="180">
        <f>'NAV Trend'!E11/1000000000</f>
        <v>8081.3813988736874</v>
      </c>
      <c r="E4" s="180">
        <f>'NAV Trend'!F11/1000000000</f>
        <v>8107.597332853632</v>
      </c>
      <c r="F4" s="180">
        <f>'NAV Trend'!G11/1000000000</f>
        <v>8176.5089785345672</v>
      </c>
      <c r="G4" s="180">
        <f>'NAV Trend'!H11/1000000000</f>
        <v>8210.0158947677137</v>
      </c>
      <c r="H4" s="181">
        <f>'NAV Trend'!I11/1000000000</f>
        <v>8264.1649072852797</v>
      </c>
      <c r="I4" s="181">
        <f>'NAV Trend'!J11/1000000000</f>
        <v>8375.4902916998781</v>
      </c>
      <c r="J4" s="20"/>
      <c r="K4" s="20"/>
      <c r="L4" s="15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20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78FLZ2dMJPQ7P29F2k7HEUUCwCJ1woc3DCvBuyNY69PC1ZTAW7NDKcxCPfuIM0Ta1UmEQZ1J69HivUYlqXMSlA==" saltValue="/W2vitzrwBXdkE57+wyw/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8" sqref="D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7" t="s">
        <v>318</v>
      </c>
      <c r="B2" s="178">
        <v>46038</v>
      </c>
      <c r="C2" s="178">
        <v>46045</v>
      </c>
      <c r="D2" s="178">
        <v>46052</v>
      </c>
      <c r="E2" s="178">
        <v>46059</v>
      </c>
      <c r="F2" s="178">
        <v>46066</v>
      </c>
      <c r="G2" s="178">
        <v>46073</v>
      </c>
      <c r="H2" s="178">
        <v>46080</v>
      </c>
      <c r="I2" s="178">
        <v>46087</v>
      </c>
      <c r="J2" s="20"/>
      <c r="K2" s="20"/>
      <c r="L2" s="20"/>
      <c r="M2" s="15"/>
      <c r="N2" s="20"/>
      <c r="O2" s="20"/>
      <c r="P2" s="142"/>
    </row>
    <row r="3" spans="1:16">
      <c r="A3" s="177" t="s">
        <v>320</v>
      </c>
      <c r="B3" s="179">
        <f t="shared" ref="B3:I3" si="0">B4</f>
        <v>19.377061801090001</v>
      </c>
      <c r="C3" s="179">
        <f t="shared" si="0"/>
        <v>19.447744548879999</v>
      </c>
      <c r="D3" s="179">
        <f t="shared" si="0"/>
        <v>19.641137987049994</v>
      </c>
      <c r="E3" s="179">
        <f t="shared" si="0"/>
        <v>20.41173907228</v>
      </c>
      <c r="F3" s="179">
        <f t="shared" si="0"/>
        <v>21.462872515840001</v>
      </c>
      <c r="G3" s="179">
        <f t="shared" si="0"/>
        <v>23.060251227759998</v>
      </c>
      <c r="H3" s="179">
        <f t="shared" si="0"/>
        <v>23.429388175410001</v>
      </c>
      <c r="I3" s="179">
        <f t="shared" si="0"/>
        <v>23.933072983509998</v>
      </c>
      <c r="J3" s="20"/>
      <c r="K3" s="20"/>
      <c r="L3" s="20"/>
      <c r="M3" s="15"/>
      <c r="N3" s="20"/>
      <c r="O3" s="20"/>
      <c r="P3" s="142"/>
    </row>
    <row r="4" spans="1:16">
      <c r="A4" s="20"/>
      <c r="B4" s="180">
        <f>'NAV Trend'!C17/1000000000</f>
        <v>19.377061801090001</v>
      </c>
      <c r="C4" s="180">
        <f>'NAV Trend'!D17/1000000000</f>
        <v>19.447744548879999</v>
      </c>
      <c r="D4" s="180">
        <f>'NAV Trend'!E17/1000000000</f>
        <v>19.641137987049994</v>
      </c>
      <c r="E4" s="180">
        <f>'NAV Trend'!F17/1000000000</f>
        <v>20.41173907228</v>
      </c>
      <c r="F4" s="180">
        <f>'NAV Trend'!G17/1000000000</f>
        <v>21.462872515840001</v>
      </c>
      <c r="G4" s="180">
        <f>'NAV Trend'!H17/1000000000</f>
        <v>23.060251227759998</v>
      </c>
      <c r="H4" s="180">
        <f>'NAV Trend'!I17/1000000000</f>
        <v>23.429388175410001</v>
      </c>
      <c r="I4" s="181">
        <f>'NAV Trend'!J17/1000000000</f>
        <v>23.933072983509998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jpcSjbXPCoBhNYjmNpIC+xDCU5i5bUnDdrRx/UI/Ee5GDiqOFw6hv6w4ItAKpv8XF/IPNcYAaGkGtHcSXWdJjw==" saltValue="XR39haPcJgwBek48ICONu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2" sqref="J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46031</v>
      </c>
      <c r="C1" s="2">
        <v>46038</v>
      </c>
      <c r="D1" s="2">
        <v>46045</v>
      </c>
      <c r="E1" s="2">
        <v>46052</v>
      </c>
      <c r="F1" s="2">
        <v>46059</v>
      </c>
      <c r="G1" s="2">
        <v>46066</v>
      </c>
      <c r="H1" s="2">
        <v>46073</v>
      </c>
      <c r="I1" s="2">
        <v>46080</v>
      </c>
      <c r="J1" s="2">
        <v>46087</v>
      </c>
    </row>
    <row r="2" spans="1:11">
      <c r="A2" s="3" t="s">
        <v>18</v>
      </c>
      <c r="B2" s="4">
        <v>88746718359.350891</v>
      </c>
      <c r="C2" s="4">
        <v>93935595234.247498</v>
      </c>
      <c r="D2" s="4">
        <v>97343280758.238815</v>
      </c>
      <c r="E2" s="4">
        <v>100449483893.22079</v>
      </c>
      <c r="F2" s="4">
        <v>106635929371.092</v>
      </c>
      <c r="G2" s="4">
        <v>119849143942.72949</v>
      </c>
      <c r="H2" s="4">
        <v>139857154415.89801</v>
      </c>
      <c r="I2" s="4">
        <v>148191654431.43802</v>
      </c>
      <c r="J2" s="4">
        <v>159211652092.74878</v>
      </c>
    </row>
    <row r="3" spans="1:11">
      <c r="A3" s="3" t="s">
        <v>57</v>
      </c>
      <c r="B3" s="4">
        <v>4966755962611.584</v>
      </c>
      <c r="C3" s="4">
        <v>5059951065309.5</v>
      </c>
      <c r="D3" s="4">
        <v>5108518173049.8516</v>
      </c>
      <c r="E3" s="4">
        <v>5168017665961.8213</v>
      </c>
      <c r="F3" s="4">
        <v>5200745752031.0068</v>
      </c>
      <c r="G3" s="4">
        <v>5255316816008.0068</v>
      </c>
      <c r="H3" s="4">
        <v>5272968475352.1689</v>
      </c>
      <c r="I3" s="4">
        <v>5290967255505.7646</v>
      </c>
      <c r="J3" s="4">
        <v>5336290181627.8701</v>
      </c>
    </row>
    <row r="4" spans="1:11">
      <c r="A4" s="3" t="s">
        <v>315</v>
      </c>
      <c r="B4" s="5">
        <v>242702403146.86172</v>
      </c>
      <c r="C4" s="5">
        <v>243520063100.36298</v>
      </c>
      <c r="D4" s="5">
        <v>243035319324.12384</v>
      </c>
      <c r="E4" s="5">
        <v>241463824670.87335</v>
      </c>
      <c r="F4" s="5">
        <v>242097642886.62512</v>
      </c>
      <c r="G4" s="5">
        <v>244647170303.8353</v>
      </c>
      <c r="H4" s="5">
        <v>244284723034.70218</v>
      </c>
      <c r="I4" s="5">
        <v>246072284820.23425</v>
      </c>
      <c r="J4" s="5">
        <v>242895635845.56708</v>
      </c>
    </row>
    <row r="5" spans="1:11">
      <c r="A5" s="3" t="s">
        <v>174</v>
      </c>
      <c r="B5" s="4">
        <v>1941064146472.0417</v>
      </c>
      <c r="C5" s="4">
        <v>1942452968719.8398</v>
      </c>
      <c r="D5" s="4">
        <v>1915257941328.8516</v>
      </c>
      <c r="E5" s="4">
        <v>1879340816992.0879</v>
      </c>
      <c r="F5" s="4">
        <v>1855852687433.3228</v>
      </c>
      <c r="G5" s="4">
        <v>1840472590032.0491</v>
      </c>
      <c r="H5" s="4">
        <v>1821080718904.251</v>
      </c>
      <c r="I5" s="4">
        <v>1833915688463.2009</v>
      </c>
      <c r="J5" s="4">
        <v>1871197469152.2844</v>
      </c>
    </row>
    <row r="6" spans="1:11">
      <c r="A6" s="3" t="s">
        <v>316</v>
      </c>
      <c r="B6" s="5">
        <v>504019075123.87</v>
      </c>
      <c r="C6" s="5">
        <v>504828869652.40448</v>
      </c>
      <c r="D6" s="5">
        <v>505309533936.44556</v>
      </c>
      <c r="E6" s="5">
        <v>503446552793.28357</v>
      </c>
      <c r="F6" s="5">
        <v>504339412317.29657</v>
      </c>
      <c r="G6" s="5">
        <v>505370559321.13531</v>
      </c>
      <c r="H6" s="5">
        <v>505882627163.35651</v>
      </c>
      <c r="I6" s="5">
        <v>491072409821.2135</v>
      </c>
      <c r="J6" s="5">
        <v>492232053531.7984</v>
      </c>
    </row>
    <row r="7" spans="1:11">
      <c r="A7" s="3" t="s">
        <v>219</v>
      </c>
      <c r="B7" s="7">
        <v>88017317935.611069</v>
      </c>
      <c r="C7" s="7">
        <v>90902677733.101563</v>
      </c>
      <c r="D7" s="7">
        <v>92487511317.429947</v>
      </c>
      <c r="E7" s="7">
        <v>93467466492.254761</v>
      </c>
      <c r="F7" s="7">
        <v>97403173769.586121</v>
      </c>
      <c r="G7" s="7">
        <v>104178871055.63953</v>
      </c>
      <c r="H7" s="7">
        <v>112022899742.21411</v>
      </c>
      <c r="I7" s="7">
        <v>115751455134.97435</v>
      </c>
      <c r="J7" s="7">
        <v>119284434936.1797</v>
      </c>
    </row>
    <row r="8" spans="1:11">
      <c r="A8" s="3" t="s">
        <v>251</v>
      </c>
      <c r="B8" s="6">
        <v>8936439418.3799992</v>
      </c>
      <c r="C8" s="6">
        <v>9318037783.75</v>
      </c>
      <c r="D8" s="6">
        <v>9969512236.25</v>
      </c>
      <c r="E8" s="6">
        <v>9672057599.0100002</v>
      </c>
      <c r="F8" s="6">
        <v>10809295044.16016</v>
      </c>
      <c r="G8" s="6">
        <v>12237483860.206491</v>
      </c>
      <c r="H8" s="6">
        <v>13490483321.859869</v>
      </c>
      <c r="I8" s="6">
        <v>14050360664.833527</v>
      </c>
      <c r="J8" s="6">
        <v>14784118823.610147</v>
      </c>
    </row>
    <row r="9" spans="1:11">
      <c r="A9" s="3" t="s">
        <v>317</v>
      </c>
      <c r="B9" s="6">
        <v>82371525516.392532</v>
      </c>
      <c r="C9" s="6">
        <v>84433429779.074936</v>
      </c>
      <c r="D9" s="6">
        <v>84213244832.69693</v>
      </c>
      <c r="E9" s="6">
        <v>85523530471.136795</v>
      </c>
      <c r="F9" s="6">
        <v>89713440000.541626</v>
      </c>
      <c r="G9" s="6">
        <v>94436344010.965378</v>
      </c>
      <c r="H9" s="6">
        <v>100428812833.26227</v>
      </c>
      <c r="I9" s="6">
        <v>104380170915.45007</v>
      </c>
      <c r="J9" s="6">
        <v>108414656881.62793</v>
      </c>
    </row>
    <row r="10" spans="1:11">
      <c r="A10" s="3" t="s">
        <v>284</v>
      </c>
      <c r="B10" s="6">
        <v>18756838778.421936</v>
      </c>
      <c r="C10" s="6">
        <v>18866349662.769352</v>
      </c>
      <c r="D10" s="6">
        <v>19311194832.128181</v>
      </c>
      <c r="E10" s="6">
        <v>19390708322.203178</v>
      </c>
      <c r="F10" s="6">
        <v>19490186623.385223</v>
      </c>
      <c r="G10" s="6">
        <v>20735268519.028137</v>
      </c>
      <c r="H10" s="6">
        <v>19639536605.41069</v>
      </c>
      <c r="I10" s="6">
        <v>19763627528.168037</v>
      </c>
      <c r="J10" s="6">
        <v>31180088808.191078</v>
      </c>
    </row>
    <row r="11" spans="1:11" ht="15.6">
      <c r="A11" s="8" t="s">
        <v>321</v>
      </c>
      <c r="B11" s="9">
        <f t="shared" ref="B11:H11" si="0">SUM(B2:B9)</f>
        <v>7922613588584.0918</v>
      </c>
      <c r="C11" s="9">
        <f t="shared" si="0"/>
        <v>8029342707312.2813</v>
      </c>
      <c r="D11" s="9">
        <f t="shared" si="0"/>
        <v>8056134516783.8887</v>
      </c>
      <c r="E11" s="9">
        <f t="shared" si="0"/>
        <v>8081381398873.6875</v>
      </c>
      <c r="F11" s="9">
        <f t="shared" si="0"/>
        <v>8107597332853.6318</v>
      </c>
      <c r="G11" s="9">
        <f t="shared" si="0"/>
        <v>8176508978534.5674</v>
      </c>
      <c r="H11" s="9">
        <f t="shared" si="0"/>
        <v>8210015894767.7139</v>
      </c>
      <c r="I11" s="9">
        <f>SUM(I2:I10)</f>
        <v>8264164907285.2793</v>
      </c>
      <c r="J11" s="9">
        <f>SUM(J2:J10)</f>
        <v>8375490291699.8789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39" t="s">
        <v>323</v>
      </c>
      <c r="C13" s="13">
        <f>(B11+C11)/2</f>
        <v>7975978147948.1865</v>
      </c>
      <c r="D13" s="14">
        <f t="shared" ref="D13:J13" si="1">(C11+D11)/2</f>
        <v>8042738612048.085</v>
      </c>
      <c r="E13" s="14">
        <f t="shared" si="1"/>
        <v>8068757957828.7881</v>
      </c>
      <c r="F13" s="14">
        <f t="shared" si="1"/>
        <v>8094489365863.6602</v>
      </c>
      <c r="G13" s="14">
        <f t="shared" si="1"/>
        <v>8142053155694.0996</v>
      </c>
      <c r="H13" s="14">
        <f t="shared" si="1"/>
        <v>8193262436651.1406</v>
      </c>
      <c r="I13" s="14">
        <f t="shared" si="1"/>
        <v>8237090401026.4961</v>
      </c>
      <c r="J13" s="14">
        <f t="shared" si="1"/>
        <v>8319827599492.5791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46031</v>
      </c>
      <c r="C16" s="2">
        <v>46038</v>
      </c>
      <c r="D16" s="2">
        <v>46045</v>
      </c>
      <c r="E16" s="2">
        <v>46052</v>
      </c>
      <c r="F16" s="2">
        <v>46059</v>
      </c>
      <c r="G16" s="2">
        <v>46066</v>
      </c>
      <c r="H16" s="2">
        <v>46073</v>
      </c>
      <c r="I16" s="2">
        <v>46080</v>
      </c>
      <c r="J16" s="2">
        <v>46087</v>
      </c>
      <c r="K16" s="15"/>
    </row>
    <row r="17" spans="1:11">
      <c r="A17" s="16" t="s">
        <v>324</v>
      </c>
      <c r="B17" s="17">
        <v>18629129376.529999</v>
      </c>
      <c r="C17" s="17">
        <v>19377061801.09</v>
      </c>
      <c r="D17" s="17">
        <v>19447744548.880001</v>
      </c>
      <c r="E17" s="17">
        <v>19641137987.049995</v>
      </c>
      <c r="F17" s="17">
        <v>20411739072.279999</v>
      </c>
      <c r="G17" s="17">
        <v>21462872515.84</v>
      </c>
      <c r="H17" s="17">
        <v>23060251227.759998</v>
      </c>
      <c r="I17" s="17">
        <v>23429388175.41</v>
      </c>
      <c r="J17" s="17">
        <v>23933072983.509998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VS1966zCU/E23+MDOKTwmrZ5ZQ4i+rZXFlZCjlSsy8VVjPRDDrfEzCafG6U3S27O6p08PPIXxxd7BMqixQdtWQ==" saltValue="OCVRNYiOYOsbTNJX1f/C8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2026-03-12T13:58:53Z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