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748" windowHeight="89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Valuation'!$W$141</definedName>
    <definedName name="NFEM_RATE" localSheetId="0">'Weekly Valuation'!$W$141</definedName>
  </definedNames>
  <calcPr calcId="162913"/>
</workbook>
</file>

<file path=xl/calcChain.xml><?xml version="1.0" encoding="utf-8"?>
<calcChain xmlns="http://schemas.openxmlformats.org/spreadsheetml/2006/main">
  <c r="B8" i="3" l="1"/>
  <c r="B7" i="3"/>
  <c r="B6" i="3"/>
  <c r="B5" i="3"/>
  <c r="B4" i="3"/>
  <c r="M141" i="1" l="1"/>
  <c r="N141" i="1"/>
  <c r="D122" i="1"/>
  <c r="G122" i="1"/>
  <c r="F122" i="1"/>
  <c r="N122" i="1" l="1"/>
  <c r="M122" i="1"/>
  <c r="K122" i="1"/>
  <c r="N151" i="1" l="1"/>
  <c r="M151" i="1"/>
  <c r="K151" i="1"/>
  <c r="K132" i="1" l="1"/>
  <c r="M132" i="1"/>
  <c r="N132" i="1"/>
  <c r="N131" i="1"/>
  <c r="K131" i="1"/>
  <c r="M131" i="1"/>
  <c r="N126" i="1" l="1"/>
  <c r="M126" i="1"/>
  <c r="K126" i="1"/>
  <c r="N136" i="1" l="1"/>
  <c r="M136" i="1"/>
  <c r="K136" i="1"/>
  <c r="M127" i="1"/>
  <c r="K127" i="1"/>
  <c r="V59" i="1"/>
  <c r="U59" i="1"/>
  <c r="T59" i="1"/>
  <c r="S59" i="1"/>
  <c r="R59" i="1"/>
  <c r="N150" i="1"/>
  <c r="M150" i="1"/>
  <c r="K150" i="1"/>
  <c r="K242" i="1" l="1"/>
  <c r="N242" i="1"/>
  <c r="M242" i="1"/>
  <c r="K137" i="1"/>
  <c r="N160" i="1"/>
  <c r="M160" i="1"/>
  <c r="K160" i="1"/>
  <c r="N156" i="1"/>
  <c r="M156" i="1"/>
  <c r="K156" i="1"/>
  <c r="N135" i="1"/>
  <c r="K135" i="1"/>
  <c r="N157" i="1"/>
  <c r="M157" i="1"/>
  <c r="K157" i="1"/>
  <c r="N138" i="1"/>
  <c r="M138" i="1"/>
  <c r="K138" i="1"/>
  <c r="N158" i="1"/>
  <c r="M158" i="1"/>
  <c r="K158" i="1"/>
  <c r="N152" i="1"/>
  <c r="K144" i="1"/>
  <c r="N142" i="1"/>
  <c r="M142" i="1"/>
  <c r="K142" i="1"/>
  <c r="N129" i="1"/>
  <c r="M129" i="1"/>
  <c r="K129" i="1"/>
  <c r="N143" i="1"/>
  <c r="M143" i="1"/>
  <c r="K143" i="1"/>
  <c r="N154" i="1"/>
  <c r="M154" i="1"/>
  <c r="K154" i="1"/>
  <c r="M128" i="1"/>
  <c r="K128" i="1"/>
  <c r="N123" i="1"/>
  <c r="M123" i="1"/>
  <c r="K123" i="1"/>
  <c r="N134" i="1"/>
  <c r="M134" i="1"/>
  <c r="K134" i="1"/>
  <c r="N153" i="1"/>
  <c r="M153" i="1"/>
  <c r="K153" i="1"/>
  <c r="N159" i="1"/>
  <c r="M159" i="1"/>
  <c r="K159" i="1"/>
  <c r="K141" i="1" l="1"/>
  <c r="K133" i="1"/>
  <c r="N146" i="1"/>
  <c r="M146" i="1"/>
  <c r="K146" i="1"/>
  <c r="N240" i="1"/>
  <c r="M240" i="1"/>
  <c r="K240" i="1"/>
  <c r="N125" i="1"/>
  <c r="M125" i="1"/>
  <c r="K125" i="1"/>
  <c r="N124" i="1"/>
  <c r="M124" i="1"/>
  <c r="K124" i="1"/>
  <c r="K148" i="1"/>
  <c r="N137" i="1" l="1"/>
  <c r="M137" i="1"/>
  <c r="K202" i="1" l="1"/>
  <c r="L190" i="1" s="1"/>
  <c r="N128" i="1"/>
  <c r="M135" i="1"/>
  <c r="N148" i="1" l="1"/>
  <c r="M148" i="1"/>
  <c r="R259" i="1" l="1"/>
  <c r="R180" i="1"/>
  <c r="R88" i="1"/>
  <c r="K26" i="1" l="1"/>
  <c r="L10" i="1" l="1"/>
  <c r="L23" i="1"/>
  <c r="R225" i="1"/>
  <c r="V31" i="1" l="1"/>
  <c r="U31" i="1"/>
  <c r="T31" i="1"/>
  <c r="S31" i="1"/>
  <c r="R31" i="1"/>
  <c r="V142" i="1" l="1"/>
  <c r="U142" i="1"/>
  <c r="T142" i="1"/>
  <c r="S142" i="1"/>
  <c r="R142" i="1"/>
  <c r="R33" i="1" l="1"/>
  <c r="S33" i="1"/>
  <c r="T33" i="1"/>
  <c r="U33" i="1"/>
  <c r="V33" i="1"/>
  <c r="M152" i="1" l="1"/>
  <c r="K161" i="1" l="1"/>
  <c r="L132" i="1" l="1"/>
  <c r="L142" i="1"/>
  <c r="L133" i="1"/>
  <c r="N127" i="1"/>
  <c r="V67" i="1" l="1"/>
  <c r="U67" i="1"/>
  <c r="T67" i="1"/>
  <c r="S67" i="1"/>
  <c r="R67" i="1"/>
  <c r="H208" i="1" l="1"/>
  <c r="O208" i="1"/>
  <c r="K208" i="1"/>
  <c r="D208" i="1"/>
  <c r="V205" i="1" l="1"/>
  <c r="U205" i="1"/>
  <c r="T205" i="1"/>
  <c r="S205" i="1"/>
  <c r="R205" i="1"/>
  <c r="L205" i="1"/>
  <c r="S197" i="1" l="1"/>
  <c r="S85" i="1" l="1"/>
  <c r="I11" i="4" l="1"/>
  <c r="L232" i="1" l="1"/>
  <c r="R232" i="1"/>
  <c r="R157" i="1" l="1"/>
  <c r="J11" i="4" l="1"/>
  <c r="L173" i="1"/>
  <c r="L176" i="1" l="1"/>
  <c r="L183" i="1"/>
  <c r="L191" i="1"/>
  <c r="S219" i="1"/>
  <c r="S168" i="1"/>
  <c r="R37" i="1" l="1"/>
  <c r="V24" i="1"/>
  <c r="U24" i="1"/>
  <c r="T24" i="1"/>
  <c r="S24" i="1"/>
  <c r="R24" i="1"/>
  <c r="L206" i="1" l="1"/>
  <c r="L233" i="1" l="1"/>
  <c r="N133" i="1"/>
  <c r="V195" i="1" l="1"/>
  <c r="U195" i="1"/>
  <c r="T195" i="1"/>
  <c r="S195" i="1"/>
  <c r="R195" i="1"/>
  <c r="R148" i="1" l="1"/>
  <c r="S136" i="1"/>
  <c r="S132" i="1"/>
  <c r="S131" i="1"/>
  <c r="S242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5" i="1"/>
  <c r="U265" i="1"/>
  <c r="S265" i="1"/>
  <c r="O265" i="1"/>
  <c r="K265" i="1"/>
  <c r="L264" i="1" s="1"/>
  <c r="H265" i="1"/>
  <c r="D265" i="1"/>
  <c r="E263" i="1" s="1"/>
  <c r="V264" i="1"/>
  <c r="U264" i="1"/>
  <c r="T264" i="1"/>
  <c r="S264" i="1"/>
  <c r="R264" i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R260" i="1"/>
  <c r="V259" i="1"/>
  <c r="U259" i="1"/>
  <c r="T259" i="1"/>
  <c r="S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O250" i="1"/>
  <c r="K250" i="1"/>
  <c r="L249" i="1" s="1"/>
  <c r="H250" i="1"/>
  <c r="D250" i="1"/>
  <c r="E249" i="1" s="1"/>
  <c r="V249" i="1"/>
  <c r="U249" i="1"/>
  <c r="T249" i="1"/>
  <c r="S249" i="1"/>
  <c r="R249" i="1"/>
  <c r="V248" i="1"/>
  <c r="U248" i="1"/>
  <c r="T248" i="1"/>
  <c r="S248" i="1"/>
  <c r="R248" i="1"/>
  <c r="O245" i="1"/>
  <c r="H245" i="1"/>
  <c r="D245" i="1"/>
  <c r="B21" i="2" s="1"/>
  <c r="B11" i="2" s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R242" i="1"/>
  <c r="V241" i="1"/>
  <c r="U241" i="1"/>
  <c r="T241" i="1"/>
  <c r="S241" i="1"/>
  <c r="R241" i="1"/>
  <c r="V240" i="1"/>
  <c r="U240" i="1"/>
  <c r="T240" i="1"/>
  <c r="S240" i="1"/>
  <c r="K245" i="1"/>
  <c r="V236" i="1"/>
  <c r="U236" i="1"/>
  <c r="S236" i="1"/>
  <c r="O236" i="1"/>
  <c r="K236" i="1"/>
  <c r="H236" i="1"/>
  <c r="D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3" i="1"/>
  <c r="U213" i="1"/>
  <c r="T213" i="1"/>
  <c r="S213" i="1"/>
  <c r="R213" i="1"/>
  <c r="V212" i="1"/>
  <c r="U212" i="1"/>
  <c r="T212" i="1"/>
  <c r="S212" i="1"/>
  <c r="R212" i="1"/>
  <c r="V208" i="1"/>
  <c r="U208" i="1"/>
  <c r="S208" i="1"/>
  <c r="B2" i="3"/>
  <c r="B19" i="2"/>
  <c r="B9" i="2" s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H202" i="1"/>
  <c r="D202" i="1"/>
  <c r="E173" i="1" s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R197" i="1"/>
  <c r="V196" i="1"/>
  <c r="U196" i="1"/>
  <c r="T196" i="1"/>
  <c r="S196" i="1"/>
  <c r="R196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0" i="1"/>
  <c r="U170" i="1"/>
  <c r="S170" i="1"/>
  <c r="O170" i="1"/>
  <c r="K170" i="1"/>
  <c r="L166" i="1" s="1"/>
  <c r="H170" i="1"/>
  <c r="D170" i="1"/>
  <c r="B17" i="2" s="1"/>
  <c r="B7" i="2" s="1"/>
  <c r="V169" i="1"/>
  <c r="U169" i="1"/>
  <c r="T169" i="1"/>
  <c r="S169" i="1"/>
  <c r="R169" i="1"/>
  <c r="V168" i="1"/>
  <c r="U168" i="1"/>
  <c r="T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1" i="1"/>
  <c r="U161" i="1"/>
  <c r="S161" i="1"/>
  <c r="O161" i="1"/>
  <c r="H161" i="1"/>
  <c r="D161" i="1"/>
  <c r="V160" i="1"/>
  <c r="U160" i="1"/>
  <c r="T160" i="1"/>
  <c r="R160" i="1"/>
  <c r="S160" i="1"/>
  <c r="V159" i="1"/>
  <c r="U159" i="1"/>
  <c r="T159" i="1"/>
  <c r="R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R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N144" i="1"/>
  <c r="S144" i="1" s="1"/>
  <c r="M144" i="1"/>
  <c r="V143" i="1"/>
  <c r="U143" i="1"/>
  <c r="T143" i="1"/>
  <c r="S143" i="1"/>
  <c r="R143" i="1"/>
  <c r="V141" i="1"/>
  <c r="U141" i="1"/>
  <c r="T141" i="1"/>
  <c r="S141" i="1"/>
  <c r="R141" i="1"/>
  <c r="V138" i="1"/>
  <c r="U138" i="1"/>
  <c r="T138" i="1"/>
  <c r="S138" i="1"/>
  <c r="R138" i="1"/>
  <c r="V137" i="1"/>
  <c r="U137" i="1"/>
  <c r="T137" i="1"/>
  <c r="S137" i="1"/>
  <c r="R137" i="1"/>
  <c r="V136" i="1"/>
  <c r="U136" i="1"/>
  <c r="T136" i="1"/>
  <c r="R136" i="1"/>
  <c r="V135" i="1"/>
  <c r="U135" i="1"/>
  <c r="T135" i="1"/>
  <c r="S135" i="1"/>
  <c r="R135" i="1"/>
  <c r="V134" i="1"/>
  <c r="U134" i="1"/>
  <c r="T134" i="1"/>
  <c r="S134" i="1"/>
  <c r="R134" i="1"/>
  <c r="V133" i="1"/>
  <c r="U133" i="1"/>
  <c r="T133" i="1"/>
  <c r="S133" i="1"/>
  <c r="M133" i="1"/>
  <c r="V132" i="1"/>
  <c r="U132" i="1"/>
  <c r="T132" i="1"/>
  <c r="V131" i="1"/>
  <c r="U131" i="1"/>
  <c r="T131" i="1"/>
  <c r="V130" i="1"/>
  <c r="U130" i="1"/>
  <c r="T130" i="1"/>
  <c r="S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V123" i="1"/>
  <c r="U123" i="1"/>
  <c r="T123" i="1"/>
  <c r="S123" i="1"/>
  <c r="V122" i="1"/>
  <c r="U122" i="1"/>
  <c r="T122" i="1"/>
  <c r="S122" i="1"/>
  <c r="V118" i="1"/>
  <c r="U118" i="1"/>
  <c r="S118" i="1"/>
  <c r="O118" i="1"/>
  <c r="K118" i="1"/>
  <c r="L86" i="1" s="1"/>
  <c r="H118" i="1"/>
  <c r="D118" i="1"/>
  <c r="B15" i="2" s="1"/>
  <c r="B5" i="2" s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6" i="1"/>
  <c r="U76" i="1"/>
  <c r="S76" i="1"/>
  <c r="O76" i="1"/>
  <c r="K76" i="1"/>
  <c r="L39" i="1" s="1"/>
  <c r="H76" i="1"/>
  <c r="D76" i="1"/>
  <c r="B14" i="2" s="1"/>
  <c r="B4" i="2" s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59" i="1" l="1"/>
  <c r="L59" i="1"/>
  <c r="L48" i="1"/>
  <c r="L74" i="1"/>
  <c r="L88" i="1"/>
  <c r="L99" i="1"/>
  <c r="L72" i="1"/>
  <c r="L222" i="1"/>
  <c r="L220" i="1"/>
  <c r="L41" i="1"/>
  <c r="L68" i="1"/>
  <c r="L73" i="1"/>
  <c r="L49" i="1"/>
  <c r="E31" i="1"/>
  <c r="L31" i="1"/>
  <c r="B16" i="2"/>
  <c r="B6" i="2" s="1"/>
  <c r="E142" i="1"/>
  <c r="L33" i="1"/>
  <c r="L98" i="1"/>
  <c r="L66" i="1"/>
  <c r="L67" i="1"/>
  <c r="L22" i="1"/>
  <c r="L35" i="1"/>
  <c r="E67" i="1"/>
  <c r="L75" i="1"/>
  <c r="L103" i="1"/>
  <c r="L117" i="1"/>
  <c r="L227" i="1"/>
  <c r="L234" i="1"/>
  <c r="B3" i="3"/>
  <c r="C21" i="2"/>
  <c r="C11" i="2" s="1"/>
  <c r="L60" i="1"/>
  <c r="F13" i="4"/>
  <c r="E37" i="1"/>
  <c r="E24" i="1"/>
  <c r="E9" i="1"/>
  <c r="L82" i="1"/>
  <c r="L12" i="1"/>
  <c r="L24" i="1"/>
  <c r="E7" i="1"/>
  <c r="E11" i="1"/>
  <c r="E15" i="1"/>
  <c r="L30" i="1"/>
  <c r="E103" i="1"/>
  <c r="L219" i="1"/>
  <c r="E116" i="1"/>
  <c r="E21" i="1"/>
  <c r="E19" i="1"/>
  <c r="T202" i="1"/>
  <c r="E17" i="1"/>
  <c r="E102" i="1"/>
  <c r="E181" i="1"/>
  <c r="E179" i="1"/>
  <c r="E177" i="1"/>
  <c r="E175" i="1"/>
  <c r="L168" i="1"/>
  <c r="L195" i="1"/>
  <c r="L185" i="1"/>
  <c r="L47" i="1"/>
  <c r="E248" i="1"/>
  <c r="E98" i="1"/>
  <c r="E100" i="1"/>
  <c r="E96" i="1"/>
  <c r="E80" i="1"/>
  <c r="E94" i="1"/>
  <c r="E92" i="1"/>
  <c r="E104" i="1"/>
  <c r="B18" i="2"/>
  <c r="B8" i="2" s="1"/>
  <c r="E195" i="1"/>
  <c r="E166" i="1"/>
  <c r="E164" i="1"/>
  <c r="E61" i="1"/>
  <c r="E63" i="1"/>
  <c r="E70" i="1"/>
  <c r="E167" i="1"/>
  <c r="E169" i="1"/>
  <c r="E90" i="1"/>
  <c r="E114" i="1"/>
  <c r="E88" i="1"/>
  <c r="E112" i="1"/>
  <c r="E68" i="1"/>
  <c r="E86" i="1"/>
  <c r="E110" i="1"/>
  <c r="L62" i="1"/>
  <c r="L64" i="1"/>
  <c r="L69" i="1"/>
  <c r="L71" i="1"/>
  <c r="E84" i="1"/>
  <c r="E108" i="1"/>
  <c r="E65" i="1"/>
  <c r="E82" i="1"/>
  <c r="E106" i="1"/>
  <c r="E72" i="1"/>
  <c r="E74" i="1"/>
  <c r="L81" i="1"/>
  <c r="L34" i="1"/>
  <c r="B20" i="2"/>
  <c r="B10" i="2" s="1"/>
  <c r="E242" i="1"/>
  <c r="T208" i="1"/>
  <c r="E232" i="1"/>
  <c r="E207" i="1"/>
  <c r="E183" i="1"/>
  <c r="E168" i="1"/>
  <c r="E23" i="1"/>
  <c r="D13" i="4"/>
  <c r="T236" i="1"/>
  <c r="L89" i="1"/>
  <c r="E54" i="1"/>
  <c r="L55" i="1"/>
  <c r="E56" i="1"/>
  <c r="L57" i="1"/>
  <c r="E58" i="1"/>
  <c r="L37" i="1"/>
  <c r="E159" i="1"/>
  <c r="L129" i="1"/>
  <c r="T265" i="1"/>
  <c r="R265" i="1"/>
  <c r="E254" i="1"/>
  <c r="E256" i="1"/>
  <c r="E258" i="1"/>
  <c r="E260" i="1"/>
  <c r="E264" i="1"/>
  <c r="E262" i="1"/>
  <c r="E253" i="1"/>
  <c r="E255" i="1"/>
  <c r="E257" i="1"/>
  <c r="E259" i="1"/>
  <c r="E261" i="1"/>
  <c r="R250" i="1"/>
  <c r="E218" i="1"/>
  <c r="E216" i="1"/>
  <c r="E212" i="1"/>
  <c r="E234" i="1"/>
  <c r="E228" i="1"/>
  <c r="E226" i="1"/>
  <c r="E224" i="1"/>
  <c r="E222" i="1"/>
  <c r="E206" i="1"/>
  <c r="E200" i="1"/>
  <c r="E198" i="1"/>
  <c r="E196" i="1"/>
  <c r="E193" i="1"/>
  <c r="E191" i="1"/>
  <c r="E174" i="1"/>
  <c r="E176" i="1"/>
  <c r="E189" i="1"/>
  <c r="E187" i="1"/>
  <c r="E185" i="1"/>
  <c r="T170" i="1"/>
  <c r="T161" i="1"/>
  <c r="E134" i="1"/>
  <c r="E150" i="1"/>
  <c r="E152" i="1"/>
  <c r="E122" i="1"/>
  <c r="E124" i="1"/>
  <c r="E132" i="1"/>
  <c r="E130" i="1"/>
  <c r="E138" i="1"/>
  <c r="E156" i="1"/>
  <c r="E126" i="1"/>
  <c r="E143" i="1"/>
  <c r="E145" i="1"/>
  <c r="E147" i="1"/>
  <c r="E158" i="1"/>
  <c r="E149" i="1"/>
  <c r="E133" i="1"/>
  <c r="E151" i="1"/>
  <c r="E160" i="1"/>
  <c r="E123" i="1"/>
  <c r="E135" i="1"/>
  <c r="E153" i="1"/>
  <c r="E125" i="1"/>
  <c r="E129" i="1"/>
  <c r="E131" i="1"/>
  <c r="E137" i="1"/>
  <c r="E155" i="1"/>
  <c r="E157" i="1"/>
  <c r="E136" i="1"/>
  <c r="E154" i="1"/>
  <c r="E127" i="1"/>
  <c r="E141" i="1"/>
  <c r="E144" i="1"/>
  <c r="E148" i="1"/>
  <c r="H237" i="1"/>
  <c r="H266" i="1" s="1"/>
  <c r="T118" i="1"/>
  <c r="R118" i="1"/>
  <c r="E85" i="1"/>
  <c r="E87" i="1"/>
  <c r="E89" i="1"/>
  <c r="E105" i="1"/>
  <c r="E107" i="1"/>
  <c r="E109" i="1"/>
  <c r="E111" i="1"/>
  <c r="E113" i="1"/>
  <c r="E115" i="1"/>
  <c r="E117" i="1"/>
  <c r="E79" i="1"/>
  <c r="E81" i="1"/>
  <c r="E91" i="1"/>
  <c r="E93" i="1"/>
  <c r="E95" i="1"/>
  <c r="E97" i="1"/>
  <c r="E99" i="1"/>
  <c r="E101" i="1"/>
  <c r="T76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2" i="1"/>
  <c r="L213" i="1"/>
  <c r="L218" i="1"/>
  <c r="L221" i="1"/>
  <c r="L224" i="1"/>
  <c r="L225" i="1"/>
  <c r="L228" i="1"/>
  <c r="L229" i="1"/>
  <c r="L235" i="1"/>
  <c r="L97" i="1"/>
  <c r="L109" i="1"/>
  <c r="L79" i="1"/>
  <c r="L85" i="1"/>
  <c r="L93" i="1"/>
  <c r="L101" i="1"/>
  <c r="L105" i="1"/>
  <c r="L113" i="1"/>
  <c r="L83" i="1"/>
  <c r="L87" i="1"/>
  <c r="L91" i="1"/>
  <c r="L95" i="1"/>
  <c r="L107" i="1"/>
  <c r="L111" i="1"/>
  <c r="L115" i="1"/>
  <c r="L179" i="1"/>
  <c r="L180" i="1"/>
  <c r="L184" i="1"/>
  <c r="L187" i="1"/>
  <c r="L188" i="1"/>
  <c r="L192" i="1"/>
  <c r="L196" i="1"/>
  <c r="L197" i="1"/>
  <c r="L200" i="1"/>
  <c r="L201" i="1"/>
  <c r="L174" i="1"/>
  <c r="L256" i="1"/>
  <c r="L260" i="1"/>
  <c r="L254" i="1"/>
  <c r="L258" i="1"/>
  <c r="L262" i="1"/>
  <c r="L253" i="1"/>
  <c r="L255" i="1"/>
  <c r="L257" i="1"/>
  <c r="L259" i="1"/>
  <c r="L261" i="1"/>
  <c r="L263" i="1"/>
  <c r="L53" i="1"/>
  <c r="L175" i="1"/>
  <c r="L177" i="1"/>
  <c r="L178" i="1"/>
  <c r="L181" i="1"/>
  <c r="L182" i="1"/>
  <c r="L186" i="1"/>
  <c r="L189" i="1"/>
  <c r="L193" i="1"/>
  <c r="L194" i="1"/>
  <c r="L198" i="1"/>
  <c r="L199" i="1"/>
  <c r="E29" i="1"/>
  <c r="E32" i="1"/>
  <c r="E35" i="1"/>
  <c r="L36" i="1"/>
  <c r="L6" i="1"/>
  <c r="L14" i="1"/>
  <c r="L8" i="1"/>
  <c r="L16" i="1"/>
  <c r="L7" i="1"/>
  <c r="L9" i="1"/>
  <c r="L11" i="1"/>
  <c r="L13" i="1"/>
  <c r="L15" i="1"/>
  <c r="L19" i="1"/>
  <c r="L17" i="1"/>
  <c r="L21" i="1"/>
  <c r="L80" i="1"/>
  <c r="E83" i="1"/>
  <c r="L84" i="1"/>
  <c r="L90" i="1"/>
  <c r="L92" i="1"/>
  <c r="L94" i="1"/>
  <c r="L96" i="1"/>
  <c r="L100" i="1"/>
  <c r="L102" i="1"/>
  <c r="L104" i="1"/>
  <c r="L106" i="1"/>
  <c r="L108" i="1"/>
  <c r="L110" i="1"/>
  <c r="L112" i="1"/>
  <c r="L114" i="1"/>
  <c r="L116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7" i="1"/>
  <c r="O266" i="1" s="1"/>
  <c r="L216" i="1"/>
  <c r="L217" i="1"/>
  <c r="L223" i="1"/>
  <c r="L226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60" i="1"/>
  <c r="L61" i="1"/>
  <c r="E62" i="1"/>
  <c r="L63" i="1"/>
  <c r="E64" i="1"/>
  <c r="L65" i="1"/>
  <c r="E66" i="1"/>
  <c r="E69" i="1"/>
  <c r="L70" i="1"/>
  <c r="E71" i="1"/>
  <c r="E73" i="1"/>
  <c r="E75" i="1"/>
  <c r="C13" i="2"/>
  <c r="C3" i="2" s="1"/>
  <c r="R76" i="1"/>
  <c r="R122" i="1"/>
  <c r="R123" i="1"/>
  <c r="R124" i="1"/>
  <c r="R131" i="1"/>
  <c r="R132" i="1"/>
  <c r="R133" i="1"/>
  <c r="R158" i="1"/>
  <c r="C17" i="2"/>
  <c r="C7" i="2" s="1"/>
  <c r="R170" i="1"/>
  <c r="L169" i="1"/>
  <c r="L167" i="1"/>
  <c r="L165" i="1"/>
  <c r="L164" i="1"/>
  <c r="L243" i="1"/>
  <c r="L240" i="1"/>
  <c r="R245" i="1"/>
  <c r="L244" i="1"/>
  <c r="L241" i="1"/>
  <c r="L25" i="1"/>
  <c r="B13" i="2"/>
  <c r="B3" i="2" s="1"/>
  <c r="D237" i="1"/>
  <c r="E236" i="1" s="1"/>
  <c r="R26" i="1"/>
  <c r="T26" i="1"/>
  <c r="B10" i="3"/>
  <c r="C14" i="2"/>
  <c r="C4" i="2" s="1"/>
  <c r="C15" i="2"/>
  <c r="C5" i="2" s="1"/>
  <c r="L145" i="1"/>
  <c r="E146" i="1"/>
  <c r="L146" i="1"/>
  <c r="E178" i="1"/>
  <c r="E180" i="1"/>
  <c r="E182" i="1"/>
  <c r="E184" i="1"/>
  <c r="E186" i="1"/>
  <c r="E188" i="1"/>
  <c r="E190" i="1"/>
  <c r="E192" i="1"/>
  <c r="E194" i="1"/>
  <c r="E197" i="1"/>
  <c r="E199" i="1"/>
  <c r="E201" i="1"/>
  <c r="L207" i="1"/>
  <c r="R208" i="1"/>
  <c r="E213" i="1"/>
  <c r="E217" i="1"/>
  <c r="E220" i="1"/>
  <c r="E223" i="1"/>
  <c r="E225" i="1"/>
  <c r="E227" i="1"/>
  <c r="E229" i="1"/>
  <c r="E233" i="1"/>
  <c r="E235" i="1"/>
  <c r="R240" i="1"/>
  <c r="L242" i="1"/>
  <c r="E243" i="1"/>
  <c r="L248" i="1"/>
  <c r="C18" i="2"/>
  <c r="C8" i="2" s="1"/>
  <c r="C19" i="2"/>
  <c r="C9" i="2" s="1"/>
  <c r="C20" i="2"/>
  <c r="C10" i="2" s="1"/>
  <c r="C13" i="4"/>
  <c r="E13" i="4"/>
  <c r="G13" i="4"/>
  <c r="I13" i="4"/>
  <c r="R202" i="1"/>
  <c r="R236" i="1"/>
  <c r="E240" i="1"/>
  <c r="E241" i="1"/>
  <c r="E244" i="1"/>
  <c r="B9" i="3" l="1"/>
  <c r="L160" i="1"/>
  <c r="L148" i="1"/>
  <c r="L135" i="1"/>
  <c r="L124" i="1"/>
  <c r="L150" i="1"/>
  <c r="L126" i="1"/>
  <c r="L141" i="1"/>
  <c r="L157" i="1"/>
  <c r="L154" i="1"/>
  <c r="K237" i="1"/>
  <c r="L161" i="1" s="1"/>
  <c r="L123" i="1"/>
  <c r="L152" i="1"/>
  <c r="L130" i="1"/>
  <c r="L137" i="1"/>
  <c r="L144" i="1"/>
  <c r="L155" i="1"/>
  <c r="C16" i="2"/>
  <c r="C6" i="2" s="1"/>
  <c r="L159" i="1"/>
  <c r="L122" i="1"/>
  <c r="L153" i="1"/>
  <c r="L128" i="1"/>
  <c r="L158" i="1"/>
  <c r="L131" i="1"/>
  <c r="L147" i="1"/>
  <c r="L125" i="1"/>
  <c r="L127" i="1"/>
  <c r="L134" i="1"/>
  <c r="L136" i="1"/>
  <c r="L138" i="1"/>
  <c r="L143" i="1"/>
  <c r="L149" i="1"/>
  <c r="L151" i="1"/>
  <c r="L156" i="1"/>
  <c r="R161" i="1"/>
  <c r="E202" i="1"/>
  <c r="E118" i="1"/>
  <c r="D266" i="1"/>
  <c r="E208" i="1"/>
  <c r="E161" i="1"/>
  <c r="E170" i="1"/>
  <c r="E26" i="1"/>
  <c r="E76" i="1"/>
  <c r="L208" i="1" l="1"/>
  <c r="R237" i="1"/>
  <c r="L76" i="1"/>
  <c r="L236" i="1"/>
  <c r="L170" i="1"/>
  <c r="L202" i="1"/>
  <c r="K266" i="1"/>
  <c r="L118" i="1"/>
  <c r="L26" i="1"/>
</calcChain>
</file>

<file path=xl/sharedStrings.xml><?xml version="1.0" encoding="utf-8"?>
<sst xmlns="http://schemas.openxmlformats.org/spreadsheetml/2006/main" count="548" uniqueCount="344">
  <si>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</si>
  <si>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</si>
  <si>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</si>
  <si>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</si>
  <si>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</si>
  <si>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</si>
  <si>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</si>
  <si>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</si>
  <si>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</si>
  <si>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</si>
  <si>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</si>
  <si>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</si>
  <si>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</si>
  <si>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</si>
  <si>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</si>
  <si>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</si>
  <si>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</si>
  <si>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</si>
  <si>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</si>
  <si>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</si>
  <si>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</si>
  <si>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</si>
  <si>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</si>
  <si>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</si>
  <si>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</si>
  <si>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</si>
  <si>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</si>
  <si>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</si>
  <si>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</si>
  <si>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</si>
  <si>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</si>
  <si>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</si>
  <si>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</si>
  <si>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</si>
  <si>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</si>
  <si>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</si>
  <si>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</si>
  <si>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</si>
  <si>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</si>
  <si>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</si>
  <si>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</si>
  <si>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</si>
  <si>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</si>
  <si>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</si>
  <si>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</si>
  <si>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</si>
  <si>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</si>
  <si>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</si>
  <si>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</si>
  <si>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</si>
  <si>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</si>
  <si>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</si>
  <si>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</si>
  <si>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</si>
  <si>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</si>
  <si>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</si>
  <si>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</si>
  <si>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</si>
  <si>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</si>
  <si>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</si>
  <si>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</si>
  <si>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</si>
  <si>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</si>
  <si>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</si>
  <si>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</si>
  <si>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</si>
  <si>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</si>
  <si>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</si>
  <si>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</si>
  <si>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</si>
  <si>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</si>
  <si>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</si>
  <si>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</si>
  <si>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</si>
  <si>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</si>
  <si>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</si>
  <si>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</si>
  <si>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</si>
  <si>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</si>
  <si>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</si>
  <si>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</si>
  <si>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</si>
  <si>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</si>
  <si>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</si>
  <si>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</si>
  <si>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</si>
  <si>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</si>
  <si>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</si>
  <si>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</si>
  <si>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</si>
  <si>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</si>
  <si>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</si>
  <si>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</si>
  <si>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</si>
  <si>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</si>
  <si>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</si>
  <si>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</si>
  <si>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</si>
  <si>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</si>
  <si>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</si>
  <si>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</si>
  <si>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</si>
  <si>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</si>
  <si>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</si>
  <si>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</si>
  <si>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</si>
  <si>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</si>
  <si>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</si>
  <si>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</si>
  <si>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</si>
  <si>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</si>
  <si>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</si>
  <si>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</si>
  <si>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</si>
  <si>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</si>
  <si>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</si>
  <si>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</si>
  <si>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</si>
  <si>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</si>
  <si>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</si>
  <si>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</si>
  <si>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</si>
  <si>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</si>
  <si>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</si>
  <si>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</si>
  <si>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</si>
  <si>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</si>
  <si>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</si>
  <si>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</si>
  <si>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</si>
  <si>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</si>
  <si>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</si>
  <si>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</si>
  <si>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</si>
  <si>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</si>
  <si>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</si>
  <si>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</si>
  <si>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</si>
  <si>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</si>
  <si>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</si>
  <si>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</si>
  <si>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</si>
  <si>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</si>
  <si>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</si>
  <si>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</si>
  <si>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</si>
  <si>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</si>
  <si>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</si>
  <si>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</si>
  <si>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</si>
  <si>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</si>
  <si>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</si>
  <si>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</si>
  <si>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</si>
  <si>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</si>
  <si>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</si>
  <si>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</si>
  <si>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</si>
  <si>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</si>
  <si>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</si>
  <si>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</si>
  <si>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</si>
  <si>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</si>
  <si>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</si>
  <si>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</si>
  <si>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</si>
  <si>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</si>
  <si>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</si>
  <si>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</si>
  <si>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</si>
  <si>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</si>
  <si>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</si>
  <si>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</si>
  <si>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</si>
  <si>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</si>
  <si>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</si>
  <si>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</si>
  <si>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</si>
  <si>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</si>
  <si>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</si>
  <si>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</si>
  <si>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</si>
  <si>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</si>
  <si>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</si>
  <si>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</si>
  <si>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</si>
  <si>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</si>
  <si>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</si>
  <si>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</si>
  <si>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</si>
  <si>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</si>
  <si>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</si>
  <si>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</si>
  <si>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</si>
  <si>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</si>
  <si>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</si>
  <si>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</si>
  <si>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</si>
  <si>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</si>
  <si>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</si>
  <si>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</si>
  <si>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</si>
  <si>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</si>
  <si>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</si>
  <si>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</si>
  <si>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</si>
  <si>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</si>
  <si>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</si>
  <si>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</si>
  <si>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</si>
  <si>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</si>
  <si>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</si>
  <si>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</si>
  <si>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</si>
  <si>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</si>
  <si>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</si>
  <si>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</si>
  <si>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</si>
  <si>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</si>
  <si>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</si>
  <si>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</si>
  <si>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</si>
  <si>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</si>
  <si>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</si>
  <si>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</si>
  <si>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</si>
  <si>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</si>
  <si>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</si>
  <si>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</si>
  <si>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</si>
  <si>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</si>
  <si>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</si>
  <si>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</si>
  <si>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</si>
  <si>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</si>
  <si>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</si>
  <si>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</si>
  <si>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</si>
  <si>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</si>
  <si>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</si>
  <si>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</si>
  <si>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</si>
  <si>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</si>
  <si>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</si>
  <si>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</si>
  <si>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</si>
  <si>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</si>
  <si>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</si>
  <si>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</si>
  <si>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</si>
  <si>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</si>
  <si>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</si>
  <si>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</si>
  <si>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</si>
  <si>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</si>
  <si>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</si>
  <si>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</si>
  <si>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</si>
  <si>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</si>
  <si>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</si>
  <si>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</si>
  <si>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</si>
  <si>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</si>
  <si>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</si>
  <si>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</si>
  <si>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</si>
  <si>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</si>
  <si>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</si>
  <si>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</si>
  <si>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</si>
  <si>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</si>
  <si>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</si>
  <si>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</si>
  <si>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</si>
  <si>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</si>
  <si>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</si>
  <si>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</si>
  <si>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</si>
  <si>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</si>
  <si>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</si>
  <si>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</si>
  <si>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</si>
  <si>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</si>
  <si>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</si>
  <si>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</si>
  <si>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</si>
  <si>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</si>
  <si>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</si>
  <si>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</si>
  <si>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</si>
  <si>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</si>
  <si>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</si>
  <si>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</si>
  <si>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</si>
  <si>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</si>
  <si>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</si>
  <si>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</si>
  <si>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</si>
  <si>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</si>
  <si>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</si>
  <si>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</si>
  <si>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</si>
  <si>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</si>
  <si>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</si>
  <si>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</si>
  <si>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</si>
  <si>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</si>
  <si>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</si>
  <si>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</si>
  <si>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</si>
  <si>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</si>
  <si>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</si>
  <si>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</si>
  <si>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</si>
  <si>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</si>
  <si>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</si>
  <si>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</si>
  <si>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</si>
  <si>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</si>
  <si>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</si>
  <si>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</si>
  <si>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</si>
  <si>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</si>
  <si>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</si>
  <si>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</si>
  <si>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</si>
  <si>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</si>
  <si>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</si>
  <si>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</si>
  <si>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</si>
  <si>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</si>
  <si>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</si>
  <si>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</si>
  <si>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</si>
  <si>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</si>
  <si>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</si>
  <si>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NAV, Unit Price and Yield as at Week Ended March 27, 2026</t>
  </si>
  <si>
    <t>Week Ended March 27, 2026</t>
  </si>
  <si>
    <t>WEEKLY VALUATION REPORT OF COLLECTIVE INVESTMENT SCHEMES AS AT WEEK ENDED THURSDAY, APRIL 2, 2026</t>
  </si>
  <si>
    <t>NAV, Unit Price and Yield as at Week Ended April 2, 2026</t>
  </si>
  <si>
    <t>NFEM RATE NG₦/US$ as at 2nd April, 2026 = N1380.7942</t>
  </si>
  <si>
    <t>Myrtle Asset Management Limited</t>
  </si>
  <si>
    <t>Myrtle Mynest Money Market Fund</t>
  </si>
  <si>
    <t>Week Ended April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</si>
</sst>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201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5" fillId="6" borderId="1" xfId="0" applyFont="1" applyFill="1" applyBorder="1"/>
    <xf numFmtId="0" fontId="15" fillId="7" borderId="1" xfId="0" applyFont="1" applyFill="1" applyBorder="1"/>
    <xf numFmtId="0" fontId="16" fillId="7" borderId="1" xfId="0" applyFont="1" applyFill="1" applyBorder="1"/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0" fillId="2" borderId="1" xfId="0" applyNumberFormat="1" applyFont="1" applyFill="1" applyBorder="1"/>
    <xf numFmtId="10" fontId="20" fillId="7" borderId="1" xfId="2" applyNumberFormat="1" applyFont="1" applyFill="1" applyBorder="1" applyAlignment="1">
      <alignment horizontal="center"/>
    </xf>
    <xf numFmtId="164" fontId="20" fillId="9" borderId="1" xfId="1" applyFont="1" applyFill="1" applyBorder="1" applyAlignment="1">
      <alignment horizontal="center"/>
    </xf>
    <xf numFmtId="164" fontId="18" fillId="9" borderId="1" xfId="1" applyFont="1" applyFill="1" applyBorder="1" applyAlignment="1">
      <alignment horizontal="center"/>
    </xf>
    <xf numFmtId="164" fontId="20" fillId="2" borderId="1" xfId="1" applyFont="1" applyFill="1" applyBorder="1"/>
    <xf numFmtId="164" fontId="20" fillId="2" borderId="1" xfId="10" applyFont="1" applyFill="1" applyBorder="1"/>
    <xf numFmtId="4" fontId="21" fillId="0" borderId="0" xfId="0" applyNumberFormat="1" applyFont="1"/>
    <xf numFmtId="4" fontId="20" fillId="2" borderId="1" xfId="0" applyNumberFormat="1" applyFont="1" applyFill="1" applyBorder="1" applyAlignment="1">
      <alignment horizontal="right"/>
    </xf>
    <xf numFmtId="0" fontId="18" fillId="0" borderId="1" xfId="0" applyFont="1" applyBorder="1"/>
    <xf numFmtId="0" fontId="18" fillId="2" borderId="1" xfId="0" applyFont="1" applyFill="1" applyBorder="1"/>
    <xf numFmtId="0" fontId="17" fillId="2" borderId="1" xfId="0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 vertical="top" wrapText="1"/>
    </xf>
    <xf numFmtId="10" fontId="23" fillId="7" borderId="1" xfId="2" applyNumberFormat="1" applyFont="1" applyFill="1" applyBorder="1" applyAlignment="1">
      <alignment horizontal="center" vertical="top" wrapText="1"/>
    </xf>
    <xf numFmtId="10" fontId="20" fillId="2" borderId="1" xfId="2" applyNumberFormat="1" applyFont="1" applyFill="1" applyBorder="1" applyAlignment="1">
      <alignment horizontal="center" vertical="top" wrapText="1"/>
    </xf>
    <xf numFmtId="4" fontId="20" fillId="2" borderId="1" xfId="1" applyNumberFormat="1" applyFont="1" applyFill="1" applyBorder="1" applyAlignment="1">
      <alignment vertical="top" wrapText="1"/>
    </xf>
    <xf numFmtId="164" fontId="17" fillId="9" borderId="1" xfId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164" fontId="20" fillId="2" borderId="1" xfId="10" applyFont="1" applyFill="1" applyBorder="1" applyAlignment="1">
      <alignment horizontal="right"/>
    </xf>
    <xf numFmtId="4" fontId="20" fillId="2" borderId="1" xfId="1" applyNumberFormat="1" applyFont="1" applyFill="1" applyBorder="1" applyAlignment="1">
      <alignment horizontal="right"/>
    </xf>
    <xf numFmtId="164" fontId="20" fillId="9" borderId="1" xfId="1" applyFont="1" applyFill="1" applyBorder="1" applyAlignment="1">
      <alignment horizontal="center" wrapText="1"/>
    </xf>
    <xf numFmtId="164" fontId="20" fillId="2" borderId="1" xfId="1" applyFont="1" applyFill="1" applyBorder="1" applyAlignment="1">
      <alignment horizontal="right"/>
    </xf>
    <xf numFmtId="164" fontId="20" fillId="2" borderId="1" xfId="10" applyFont="1" applyFill="1" applyBorder="1" applyAlignment="1">
      <alignment horizontal="right" wrapText="1"/>
    </xf>
    <xf numFmtId="164" fontId="15" fillId="3" borderId="1" xfId="1" applyFont="1" applyFill="1" applyBorder="1" applyAlignment="1">
      <alignment horizontal="center" vertical="top"/>
    </xf>
    <xf numFmtId="10" fontId="20" fillId="9" borderId="1" xfId="2" applyNumberFormat="1" applyFont="1" applyFill="1" applyBorder="1" applyAlignment="1">
      <alignment horizontal="center"/>
    </xf>
    <xf numFmtId="10" fontId="18" fillId="9" borderId="1" xfId="2" applyNumberFormat="1" applyFont="1" applyFill="1" applyBorder="1" applyAlignment="1">
      <alignment horizontal="center"/>
    </xf>
    <xf numFmtId="10" fontId="20" fillId="9" borderId="1" xfId="2" applyNumberFormat="1" applyFont="1" applyFill="1" applyBorder="1" applyAlignment="1">
      <alignment horizontal="center" vertical="top" wrapText="1"/>
    </xf>
    <xf numFmtId="10" fontId="20" fillId="9" borderId="1" xfId="2" applyNumberFormat="1" applyFont="1" applyFill="1" applyBorder="1" applyAlignment="1">
      <alignment horizontal="center" wrapText="1"/>
    </xf>
    <xf numFmtId="10" fontId="20" fillId="7" borderId="1" xfId="2" applyNumberFormat="1" applyFont="1" applyFill="1" applyBorder="1" applyAlignment="1">
      <alignment horizontal="center" wrapText="1"/>
    </xf>
    <xf numFmtId="10" fontId="20" fillId="3" borderId="1" xfId="2" applyNumberFormat="1" applyFont="1" applyFill="1" applyBorder="1" applyAlignment="1">
      <alignment horizontal="center" vertical="top" wrapText="1"/>
    </xf>
    <xf numFmtId="10" fontId="18" fillId="3" borderId="1" xfId="2" applyNumberFormat="1" applyFont="1" applyFill="1" applyBorder="1" applyAlignment="1">
      <alignment horizontal="center" vertical="top" wrapText="1"/>
    </xf>
    <xf numFmtId="10" fontId="18" fillId="3" borderId="1" xfId="1" applyNumberFormat="1" applyFont="1" applyFill="1" applyBorder="1" applyAlignment="1">
      <alignment horizontal="center" vertical="top" wrapText="1"/>
    </xf>
    <xf numFmtId="10" fontId="24" fillId="10" borderId="0" xfId="0" applyNumberFormat="1" applyFont="1" applyFill="1" applyAlignment="1">
      <alignment horizontal="right" vertical="center" wrapText="1"/>
    </xf>
    <xf numFmtId="164" fontId="17" fillId="2" borderId="1" xfId="1" applyFont="1" applyFill="1" applyBorder="1" applyAlignment="1">
      <alignment horizontal="right"/>
    </xf>
    <xf numFmtId="2" fontId="20" fillId="2" borderId="1" xfId="0" applyNumberFormat="1" applyFont="1" applyFill="1" applyBorder="1"/>
    <xf numFmtId="164" fontId="20" fillId="2" borderId="1" xfId="10" applyFont="1" applyFill="1" applyBorder="1" applyAlignment="1">
      <alignment wrapText="1"/>
    </xf>
    <xf numFmtId="164" fontId="20" fillId="11" borderId="1" xfId="1" applyFont="1" applyFill="1" applyBorder="1" applyAlignment="1">
      <alignment horizontal="center"/>
    </xf>
    <xf numFmtId="10" fontId="20" fillId="9" borderId="1" xfId="1" applyNumberFormat="1" applyFont="1" applyFill="1" applyBorder="1" applyAlignment="1">
      <alignment horizontal="center"/>
    </xf>
    <xf numFmtId="10" fontId="20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0" fontId="20" fillId="0" borderId="1" xfId="0" applyFont="1" applyBorder="1"/>
    <xf numFmtId="0" fontId="17" fillId="0" borderId="1" xfId="0" applyFont="1" applyBorder="1" applyAlignment="1">
      <alignment horizontal="right"/>
    </xf>
    <xf numFmtId="4" fontId="28" fillId="0" borderId="1" xfId="0" applyNumberFormat="1" applyFont="1" applyBorder="1"/>
    <xf numFmtId="0" fontId="22" fillId="2" borderId="1" xfId="0" applyFont="1" applyFill="1" applyBorder="1"/>
    <xf numFmtId="4" fontId="20" fillId="2" borderId="1" xfId="1" applyNumberFormat="1" applyFont="1" applyFill="1" applyBorder="1" applyAlignment="1">
      <alignment horizontal="right" vertical="top" wrapText="1"/>
    </xf>
    <xf numFmtId="4" fontId="20" fillId="9" borderId="1" xfId="1" applyNumberFormat="1" applyFont="1" applyFill="1" applyBorder="1" applyAlignment="1">
      <alignment horizontal="center"/>
    </xf>
    <xf numFmtId="4" fontId="20" fillId="9" borderId="1" xfId="1" applyNumberFormat="1" applyFont="1" applyFill="1" applyBorder="1" applyAlignment="1">
      <alignment horizontal="center" vertical="top" wrapText="1"/>
    </xf>
    <xf numFmtId="166" fontId="13" fillId="0" borderId="0" xfId="1" applyNumberFormat="1" applyFont="1"/>
    <xf numFmtId="4" fontId="29" fillId="0" borderId="0" xfId="0" applyNumberFormat="1" applyFont="1"/>
    <xf numFmtId="164" fontId="17" fillId="2" borderId="1" xfId="1" applyFont="1" applyFill="1" applyBorder="1"/>
    <xf numFmtId="43" fontId="20" fillId="2" borderId="1" xfId="0" applyNumberFormat="1" applyFont="1" applyFill="1" applyBorder="1"/>
    <xf numFmtId="4" fontId="20" fillId="2" borderId="1" xfId="0" applyNumberFormat="1" applyFont="1" applyFill="1" applyBorder="1" applyAlignment="1">
      <alignment horizontal="right" wrapText="1"/>
    </xf>
    <xf numFmtId="4" fontId="20" fillId="2" borderId="1" xfId="10" applyNumberFormat="1" applyFont="1" applyFill="1" applyBorder="1" applyAlignment="1">
      <alignment horizontal="right"/>
    </xf>
    <xf numFmtId="4" fontId="20" fillId="2" borderId="1" xfId="10" applyNumberFormat="1" applyFont="1" applyFill="1" applyBorder="1" applyAlignment="1">
      <alignment horizontal="right" wrapText="1"/>
    </xf>
    <xf numFmtId="4" fontId="17" fillId="9" borderId="1" xfId="1" applyNumberFormat="1" applyFont="1" applyFill="1" applyBorder="1" applyAlignment="1">
      <alignment horizontal="right" vertical="top" wrapText="1"/>
    </xf>
    <xf numFmtId="0" fontId="20" fillId="14" borderId="1" xfId="0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right" vertical="center"/>
    </xf>
    <xf numFmtId="164" fontId="17" fillId="14" borderId="1" xfId="1" applyFont="1" applyFill="1" applyBorder="1" applyAlignment="1">
      <alignment horizontal="right" vertical="center" wrapText="1"/>
    </xf>
    <xf numFmtId="10" fontId="20" fillId="14" borderId="1" xfId="1" applyNumberFormat="1" applyFont="1" applyFill="1" applyBorder="1" applyAlignment="1">
      <alignment horizontal="right" vertical="center" wrapText="1"/>
    </xf>
    <xf numFmtId="4" fontId="20" fillId="14" borderId="1" xfId="1" applyNumberFormat="1" applyFont="1" applyFill="1" applyBorder="1" applyAlignment="1">
      <alignment horizontal="right" vertical="center" wrapText="1"/>
    </xf>
    <xf numFmtId="164" fontId="17" fillId="14" borderId="1" xfId="1" applyFont="1" applyFill="1" applyBorder="1" applyAlignment="1">
      <alignment horizontal="right" vertical="top" wrapText="1"/>
    </xf>
    <xf numFmtId="4" fontId="20" fillId="2" borderId="1" xfId="10" applyNumberFormat="1" applyFont="1" applyFill="1" applyBorder="1" applyAlignment="1">
      <alignment horizontal="right" vertical="top" wrapText="1"/>
    </xf>
    <xf numFmtId="164" fontId="30" fillId="14" borderId="1" xfId="1" applyFont="1" applyFill="1" applyBorder="1" applyAlignment="1">
      <alignment horizontal="right" vertical="top" wrapText="1"/>
    </xf>
    <xf numFmtId="4" fontId="20" fillId="14" borderId="1" xfId="1" applyNumberFormat="1" applyFont="1" applyFill="1" applyBorder="1" applyAlignment="1">
      <alignment horizontal="right" vertical="top" wrapText="1"/>
    </xf>
    <xf numFmtId="164" fontId="20" fillId="2" borderId="1" xfId="10" applyFont="1" applyFill="1" applyBorder="1" applyAlignment="1">
      <alignment horizontal="right" vertical="top" wrapText="1"/>
    </xf>
    <xf numFmtId="10" fontId="20" fillId="7" borderId="1" xfId="2" applyNumberFormat="1" applyFont="1" applyFill="1" applyBorder="1" applyAlignment="1">
      <alignment horizontal="center" vertical="top" wrapText="1"/>
    </xf>
    <xf numFmtId="164" fontId="20" fillId="9" borderId="1" xfId="1" applyFont="1" applyFill="1" applyBorder="1" applyAlignment="1">
      <alignment horizontal="center" vertical="top" wrapText="1"/>
    </xf>
    <xf numFmtId="164" fontId="20" fillId="2" borderId="1" xfId="1" applyFont="1" applyFill="1" applyBorder="1" applyAlignment="1">
      <alignment horizontal="right" vertical="top" wrapText="1"/>
    </xf>
    <xf numFmtId="43" fontId="20" fillId="9" borderId="1" xfId="0" applyNumberFormat="1" applyFont="1" applyFill="1" applyBorder="1" applyAlignment="1">
      <alignment horizontal="center"/>
    </xf>
    <xf numFmtId="9" fontId="20" fillId="14" borderId="1" xfId="2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center" wrapText="1"/>
    </xf>
    <xf numFmtId="4" fontId="20" fillId="14" borderId="1" xfId="1" applyNumberFormat="1" applyFont="1" applyFill="1" applyBorder="1" applyAlignment="1">
      <alignment horizontal="center" vertical="top" wrapText="1"/>
    </xf>
    <xf numFmtId="10" fontId="20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18" fillId="14" borderId="1" xfId="2" applyNumberFormat="1" applyFont="1" applyFill="1" applyBorder="1" applyAlignment="1">
      <alignment horizontal="center" vertical="top" wrapText="1"/>
    </xf>
    <xf numFmtId="167" fontId="18" fillId="14" borderId="1" xfId="2" applyNumberFormat="1" applyFont="1" applyFill="1" applyBorder="1" applyAlignment="1">
      <alignment horizontal="center" vertical="top" wrapText="1"/>
    </xf>
    <xf numFmtId="10" fontId="18" fillId="14" borderId="1" xfId="1" applyNumberFormat="1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right"/>
    </xf>
    <xf numFmtId="0" fontId="17" fillId="14" borderId="1" xfId="0" applyFont="1" applyFill="1" applyBorder="1" applyAlignment="1">
      <alignment horizontal="right"/>
    </xf>
    <xf numFmtId="0" fontId="20" fillId="15" borderId="1" xfId="0" applyFont="1" applyFill="1" applyBorder="1" applyAlignment="1">
      <alignment horizontal="right" vertical="top" wrapText="1"/>
    </xf>
    <xf numFmtId="0" fontId="27" fillId="15" borderId="1" xfId="0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164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0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4" fontId="18" fillId="0" borderId="0" xfId="0" applyNumberFormat="1" applyFont="1"/>
    <xf numFmtId="0" fontId="43" fillId="0" borderId="0" xfId="0" applyFont="1"/>
    <xf numFmtId="10" fontId="18" fillId="7" borderId="1" xfId="2" applyNumberFormat="1" applyFont="1" applyFill="1" applyBorder="1" applyAlignment="1">
      <alignment horizontal="center"/>
    </xf>
    <xf numFmtId="2" fontId="18" fillId="2" borderId="1" xfId="0" applyNumberFormat="1" applyFont="1" applyFill="1" applyBorder="1"/>
    <xf numFmtId="4" fontId="18" fillId="2" borderId="1" xfId="0" applyNumberFormat="1" applyFont="1" applyFill="1" applyBorder="1"/>
    <xf numFmtId="0" fontId="1" fillId="0" borderId="0" xfId="0" applyFont="1"/>
    <xf numFmtId="2" fontId="21" fillId="0" borderId="0" xfId="0" applyNumberFormat="1" applyFont="1"/>
    <xf numFmtId="0" fontId="20" fillId="2" borderId="1" xfId="0" applyFont="1" applyFill="1" applyBorder="1" applyAlignment="1">
      <alignment wrapText="1"/>
    </xf>
    <xf numFmtId="4" fontId="20" fillId="2" borderId="1" xfId="0" applyNumberFormat="1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44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0" fontId="9" fillId="2" borderId="0" xfId="0" applyFont="1" applyFill="1"/>
    <xf numFmtId="164" fontId="13" fillId="2" borderId="0" xfId="1" applyFont="1" applyFill="1" applyBorder="1"/>
    <xf numFmtId="4" fontId="13" fillId="2" borderId="0" xfId="0" applyNumberFormat="1" applyFont="1" applyFill="1"/>
    <xf numFmtId="0" fontId="4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10" fontId="24" fillId="10" borderId="0" xfId="2" applyNumberFormat="1" applyFont="1" applyFill="1" applyAlignment="1">
      <alignment horizontal="right" vertical="center" wrapText="1"/>
    </xf>
    <xf numFmtId="0" fontId="20" fillId="0" borderId="1" xfId="0" applyFont="1" applyBorder="1" applyAlignment="1">
      <alignment horizontal="center"/>
    </xf>
    <xf numFmtId="4" fontId="20" fillId="2" borderId="1" xfId="44" applyNumberFormat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4" fontId="20" fillId="0" borderId="1" xfId="0" applyNumberFormat="1" applyFont="1" applyBorder="1" applyAlignment="1">
      <alignment wrapText="1"/>
    </xf>
    <xf numFmtId="0" fontId="20" fillId="2" borderId="1" xfId="0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right"/>
    </xf>
    <xf numFmtId="164" fontId="4" fillId="2" borderId="0" xfId="1" applyFont="1" applyFill="1" applyBorder="1" applyAlignment="1">
      <alignment horizontal="right" vertical="top" wrapText="1"/>
    </xf>
    <xf numFmtId="0" fontId="6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27" fillId="13" borderId="1" xfId="0" applyFont="1" applyFill="1" applyBorder="1" applyAlignment="1">
      <alignment horizontal="center" wrapText="1"/>
    </xf>
    <xf numFmtId="0" fontId="27" fillId="8" borderId="1" xfId="0" applyFont="1" applyFill="1" applyBorder="1" applyAlignment="1">
      <alignment horizontal="center"/>
    </xf>
    <xf numFmtId="0" fontId="25" fillId="12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  <xf numFmtId="0" fontId="46" fillId="0" borderId="0" xfId="0" applyFont="1"/>
    <xf numFmtId="16" fontId="47" fillId="2" borderId="0" xfId="0" applyNumberFormat="1" applyFont="1" applyFill="1"/>
    <xf numFmtId="164" fontId="48" fillId="0" borderId="0" xfId="1" applyFont="1"/>
    <xf numFmtId="43" fontId="48" fillId="0" borderId="0" xfId="0" applyNumberFormat="1" applyFont="1"/>
    <xf numFmtId="4" fontId="48" fillId="0" borderId="0" xfId="0" applyNumberFormat="1" applyFont="1"/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4" fontId="1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50" fillId="2" borderId="0" xfId="0" applyFont="1" applyFill="1" applyAlignment="1">
      <alignment horizontal="right"/>
    </xf>
    <xf numFmtId="16" fontId="50" fillId="2" borderId="0" xfId="0" applyNumberFormat="1" applyFont="1" applyFill="1" applyAlignment="1">
      <alignment horizontal="center" wrapText="1"/>
    </xf>
    <xf numFmtId="0" fontId="51" fillId="2" borderId="0" xfId="0" applyFont="1" applyFill="1"/>
    <xf numFmtId="0" fontId="50" fillId="2" borderId="0" xfId="0" applyFont="1" applyFill="1" applyAlignment="1">
      <alignment horizontal="right" wrapText="1"/>
    </xf>
    <xf numFmtId="4" fontId="52" fillId="2" borderId="0" xfId="0" applyNumberFormat="1" applyFont="1" applyFill="1"/>
    <xf numFmtId="4" fontId="52" fillId="2" borderId="0" xfId="0" applyNumberFormat="1" applyFont="1" applyFill="1" applyAlignment="1">
      <alignment horizontal="right"/>
    </xf>
    <xf numFmtId="164" fontId="52" fillId="2" borderId="0" xfId="1" applyFont="1" applyFill="1" applyBorder="1" applyAlignment="1">
      <alignment horizontal="right" vertical="top" wrapText="1"/>
    </xf>
    <xf numFmtId="0" fontId="45" fillId="2" borderId="0" xfId="0" applyFont="1" applyFill="1" applyAlignment="1">
      <alignment horizontal="right" wrapText="1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March 27,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170.73660296784752</c:v>
                </c:pt>
                <c:pt idx="1">
                  <c:v>5448.3798188498949</c:v>
                </c:pt>
                <c:pt idx="2">
                  <c:v>241.16882472306895</c:v>
                </c:pt>
                <c:pt idx="3">
                  <c:v>1836.8396223735267</c:v>
                </c:pt>
                <c:pt idx="4">
                  <c:v>493.58450031952657</c:v>
                </c:pt>
                <c:pt idx="5" formatCode="_-* #,##0.00_-;\-* #,##0.00_-;_-* &quot;-&quot;??_-;_-@_-">
                  <c:v>122.32089075434762</c:v>
                </c:pt>
                <c:pt idx="6">
                  <c:v>14.93958576967</c:v>
                </c:pt>
                <c:pt idx="7">
                  <c:v>112.58015701257769</c:v>
                </c:pt>
                <c:pt idx="8">
                  <c:v>31.122132963085694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2,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176.15346559620389</c:v>
                </c:pt>
                <c:pt idx="1">
                  <c:v>5577.3814956164315</c:v>
                </c:pt>
                <c:pt idx="2">
                  <c:v>240.22816118521439</c:v>
                </c:pt>
                <c:pt idx="3">
                  <c:v>1846.4147621201339</c:v>
                </c:pt>
                <c:pt idx="4">
                  <c:v>502.0594085716325</c:v>
                </c:pt>
                <c:pt idx="5" formatCode="_-* #,##0.00_-;\-* #,##0.00_-;_-* &quot;-&quot;??_-;_-@_-">
                  <c:v>121.95004880784406</c:v>
                </c:pt>
                <c:pt idx="6">
                  <c:v>15.037578574939641</c:v>
                </c:pt>
                <c:pt idx="7">
                  <c:v>114.55199515056964</c:v>
                </c:pt>
                <c:pt idx="8">
                  <c:v>31.240648592305444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2ND APRIL,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15037578574.93964</c:v>
                </c:pt>
                <c:pt idx="1">
                  <c:v>31240648592.305443</c:v>
                </c:pt>
                <c:pt idx="2">
                  <c:v>114551995150.56964</c:v>
                </c:pt>
                <c:pt idx="3" formatCode="_-* #,##0.00_-;\-* #,##0.00_-;_-* &quot;-&quot;??_-;_-@_-">
                  <c:v>121950048807.84406</c:v>
                </c:pt>
                <c:pt idx="4">
                  <c:v>176153465596.20389</c:v>
                </c:pt>
                <c:pt idx="5">
                  <c:v>240228161185.21439</c:v>
                </c:pt>
                <c:pt idx="6">
                  <c:v>502059408571.63251</c:v>
                </c:pt>
                <c:pt idx="7">
                  <c:v>1846414762120.1338</c:v>
                </c:pt>
                <c:pt idx="8">
                  <c:v>5577381495616.4316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46066</c:v>
                </c:pt>
                <c:pt idx="1">
                  <c:v>46073</c:v>
                </c:pt>
                <c:pt idx="2">
                  <c:v>46080</c:v>
                </c:pt>
                <c:pt idx="3">
                  <c:v>46087</c:v>
                </c:pt>
                <c:pt idx="4">
                  <c:v>46094</c:v>
                </c:pt>
                <c:pt idx="5">
                  <c:v>46099</c:v>
                </c:pt>
                <c:pt idx="6">
                  <c:v>46108</c:v>
                </c:pt>
                <c:pt idx="7">
                  <c:v>46114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8176.5089785345672</c:v>
                </c:pt>
                <c:pt idx="1">
                  <c:v>8210.0158947677137</c:v>
                </c:pt>
                <c:pt idx="2">
                  <c:v>8244.4012797571122</c:v>
                </c:pt>
                <c:pt idx="3">
                  <c:v>8344.3102028916874</c:v>
                </c:pt>
                <c:pt idx="4">
                  <c:v>8362.1373987365132</c:v>
                </c:pt>
                <c:pt idx="5">
                  <c:v>8418.7881429582667</c:v>
                </c:pt>
                <c:pt idx="6">
                  <c:v>8471.6789006319086</c:v>
                </c:pt>
                <c:pt idx="7">
                  <c:v>8625.0175642152753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46066</c:v>
                </c:pt>
                <c:pt idx="1">
                  <c:v>46073</c:v>
                </c:pt>
                <c:pt idx="2">
                  <c:v>46080</c:v>
                </c:pt>
                <c:pt idx="3">
                  <c:v>46087</c:v>
                </c:pt>
                <c:pt idx="4">
                  <c:v>46094</c:v>
                </c:pt>
                <c:pt idx="5">
                  <c:v>46099</c:v>
                </c:pt>
                <c:pt idx="6">
                  <c:v>46108</c:v>
                </c:pt>
                <c:pt idx="7">
                  <c:v>46114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21.462872515840001</c:v>
                </c:pt>
                <c:pt idx="1">
                  <c:v>23.060251227759998</c:v>
                </c:pt>
                <c:pt idx="2">
                  <c:v>23.429388175410001</c:v>
                </c:pt>
                <c:pt idx="3">
                  <c:v>23.933072983509998</c:v>
                </c:pt>
                <c:pt idx="4">
                  <c:v>24.024073678480001</c:v>
                </c:pt>
                <c:pt idx="5">
                  <c:v>24.06611184246</c:v>
                </c:pt>
                <c:pt idx="6">
                  <c:v>24.226803601379999</c:v>
                </c:pt>
                <c:pt idx="7">
                  <c:v>24.882508960419997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4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79" t="s">
        <v>338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5" ht="14.4" customHeight="1">
      <c r="A2" s="24"/>
      <c r="B2" s="25"/>
      <c r="C2" s="26"/>
      <c r="D2" s="180" t="s">
        <v>336</v>
      </c>
      <c r="E2" s="180"/>
      <c r="F2" s="180"/>
      <c r="G2" s="180"/>
      <c r="H2" s="180"/>
      <c r="I2" s="180"/>
      <c r="J2" s="180"/>
      <c r="K2" s="180" t="s">
        <v>339</v>
      </c>
      <c r="L2" s="180"/>
      <c r="M2" s="180"/>
      <c r="N2" s="180"/>
      <c r="O2" s="180"/>
      <c r="P2" s="180"/>
      <c r="Q2" s="180"/>
      <c r="R2" s="180" t="s">
        <v>0</v>
      </c>
      <c r="S2" s="180"/>
      <c r="T2" s="180"/>
      <c r="U2" s="180" t="s">
        <v>1</v>
      </c>
      <c r="V2" s="180"/>
    </row>
    <row r="3" spans="1:25" ht="20.399999999999999">
      <c r="A3" s="27" t="s">
        <v>2</v>
      </c>
      <c r="B3" s="28" t="s">
        <v>3</v>
      </c>
      <c r="C3" s="29" t="s">
        <v>4</v>
      </c>
      <c r="D3" s="30" t="s">
        <v>5</v>
      </c>
      <c r="E3" s="31" t="s">
        <v>6</v>
      </c>
      <c r="F3" s="31" t="s">
        <v>11</v>
      </c>
      <c r="G3" s="31" t="s">
        <v>7</v>
      </c>
      <c r="H3" s="31" t="s">
        <v>8</v>
      </c>
      <c r="I3" s="31" t="s">
        <v>9</v>
      </c>
      <c r="J3" s="31" t="s">
        <v>10</v>
      </c>
      <c r="K3" s="55" t="s">
        <v>5</v>
      </c>
      <c r="L3" s="31" t="s">
        <v>6</v>
      </c>
      <c r="M3" s="31" t="s">
        <v>11</v>
      </c>
      <c r="N3" s="31" t="s">
        <v>7</v>
      </c>
      <c r="O3" s="31" t="s">
        <v>8</v>
      </c>
      <c r="P3" s="31" t="s">
        <v>9</v>
      </c>
      <c r="Q3" s="31" t="s">
        <v>10</v>
      </c>
      <c r="R3" s="30" t="s">
        <v>12</v>
      </c>
      <c r="S3" s="31" t="s">
        <v>13</v>
      </c>
      <c r="T3" s="31" t="s">
        <v>14</v>
      </c>
      <c r="U3" s="31" t="s">
        <v>15</v>
      </c>
      <c r="V3" s="31" t="s">
        <v>16</v>
      </c>
    </row>
    <row r="4" spans="1:25" ht="5.25" customHeight="1">
      <c r="A4" s="32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</row>
    <row r="5" spans="1:25" ht="15" customHeight="1">
      <c r="A5" s="177" t="s">
        <v>17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</row>
    <row r="6" spans="1:25">
      <c r="A6" s="163">
        <v>1</v>
      </c>
      <c r="B6" s="148" t="s">
        <v>18</v>
      </c>
      <c r="C6" s="147" t="s">
        <v>19</v>
      </c>
      <c r="D6" s="144">
        <v>10395011306.190001</v>
      </c>
      <c r="E6" s="142">
        <f t="shared" ref="E6:E24" si="0">(D6/$D$26)</f>
        <v>6.0883320421617801E-2</v>
      </c>
      <c r="F6" s="144">
        <v>789.46410000000003</v>
      </c>
      <c r="G6" s="144">
        <v>795.42499999999995</v>
      </c>
      <c r="H6" s="36">
        <v>1695</v>
      </c>
      <c r="I6" s="57">
        <v>1.6999999999999999E-3</v>
      </c>
      <c r="J6" s="57">
        <v>0.27550000000000002</v>
      </c>
      <c r="K6" s="144">
        <v>10196027074.07</v>
      </c>
      <c r="L6" s="142">
        <f t="shared" ref="L6:L25" si="1">(K6/$K$26)</f>
        <v>5.788150144852855E-2</v>
      </c>
      <c r="M6" s="144">
        <v>790.64700000000005</v>
      </c>
      <c r="N6" s="144">
        <v>794.15459999999996</v>
      </c>
      <c r="O6" s="36">
        <v>1705</v>
      </c>
      <c r="P6" s="57">
        <v>1.5E-3</v>
      </c>
      <c r="Q6" s="57">
        <v>0.27739999999999998</v>
      </c>
      <c r="R6" s="62">
        <f>((K6-D6)/D6)</f>
        <v>-1.914228145201825E-2</v>
      </c>
      <c r="S6" s="62">
        <f>((N6-G6)/G6)</f>
        <v>-1.5971336078197129E-3</v>
      </c>
      <c r="T6" s="62">
        <f>((O6-H6)/H6)</f>
        <v>5.8997050147492625E-3</v>
      </c>
      <c r="U6" s="62">
        <f>P6-I6</f>
        <v>-1.9999999999999987E-4</v>
      </c>
      <c r="V6" s="63">
        <f>Q6-J6</f>
        <v>1.8999999999999573E-3</v>
      </c>
      <c r="W6" s="145"/>
    </row>
    <row r="7" spans="1:25">
      <c r="A7" s="163">
        <v>2</v>
      </c>
      <c r="B7" s="148" t="s">
        <v>20</v>
      </c>
      <c r="C7" s="147" t="s">
        <v>21</v>
      </c>
      <c r="D7" s="33">
        <v>1791965724.71</v>
      </c>
      <c r="E7" s="34">
        <f t="shared" si="0"/>
        <v>1.0495498291291741E-2</v>
      </c>
      <c r="F7" s="33">
        <v>533.18079999999998</v>
      </c>
      <c r="G7" s="33">
        <v>540.08839999999998</v>
      </c>
      <c r="H7" s="35">
        <v>732</v>
      </c>
      <c r="I7" s="56">
        <v>-3.0899999999999999E-3</v>
      </c>
      <c r="J7" s="56">
        <v>0.30149999999999999</v>
      </c>
      <c r="K7" s="33">
        <v>1794091931.8499999</v>
      </c>
      <c r="L7" s="34">
        <f t="shared" si="1"/>
        <v>1.0184823362843124E-2</v>
      </c>
      <c r="M7" s="33">
        <v>532.74789999999996</v>
      </c>
      <c r="N7" s="33">
        <v>539.63369999999998</v>
      </c>
      <c r="O7" s="35">
        <v>739</v>
      </c>
      <c r="P7" s="56">
        <v>3.434E-3</v>
      </c>
      <c r="Q7" s="56">
        <v>0.30049999999999999</v>
      </c>
      <c r="R7" s="61">
        <f t="shared" ref="R7:R26" si="2">((K7-D7)/D7)</f>
        <v>1.1865222145049442E-3</v>
      </c>
      <c r="S7" s="61">
        <f t="shared" ref="S7:S26" si="3">((N7-G7)/G7)</f>
        <v>-8.4189921501739821E-4</v>
      </c>
      <c r="T7" s="61">
        <f t="shared" ref="T7:T26" si="4">((O7-H7)/H7)</f>
        <v>9.562841530054645E-3</v>
      </c>
      <c r="U7" s="62">
        <f t="shared" ref="U7:U26" si="5">P7-I7</f>
        <v>6.5240000000000003E-3</v>
      </c>
      <c r="V7" s="63">
        <f t="shared" ref="V7:V26" si="6">Q7-J7</f>
        <v>-1.0000000000000009E-3</v>
      </c>
    </row>
    <row r="8" spans="1:25">
      <c r="A8" s="163">
        <v>3</v>
      </c>
      <c r="B8" s="148" t="s">
        <v>22</v>
      </c>
      <c r="C8" s="147" t="s">
        <v>23</v>
      </c>
      <c r="D8" s="33">
        <v>13098742692.120001</v>
      </c>
      <c r="E8" s="34">
        <f t="shared" si="0"/>
        <v>7.6719007315535659E-2</v>
      </c>
      <c r="F8" s="33">
        <v>66.544700000000006</v>
      </c>
      <c r="G8" s="146">
        <v>68.551100000000005</v>
      </c>
      <c r="H8" s="36">
        <v>10070</v>
      </c>
      <c r="I8" s="57">
        <v>-0.1545</v>
      </c>
      <c r="J8" s="57">
        <v>1.0883</v>
      </c>
      <c r="K8" s="33">
        <v>13390572116.610001</v>
      </c>
      <c r="L8" s="34">
        <f t="shared" si="1"/>
        <v>7.6016512484092552E-2</v>
      </c>
      <c r="M8" s="33">
        <v>67.167400000000001</v>
      </c>
      <c r="N8" s="146">
        <v>69.192499999999995</v>
      </c>
      <c r="O8" s="36">
        <v>10240</v>
      </c>
      <c r="P8" s="57">
        <v>0.4879</v>
      </c>
      <c r="Q8" s="57">
        <v>1.0525</v>
      </c>
      <c r="R8" s="61">
        <f t="shared" si="2"/>
        <v>2.2279193610357718E-2</v>
      </c>
      <c r="S8" s="61">
        <f t="shared" si="3"/>
        <v>9.3565238194571656E-3</v>
      </c>
      <c r="T8" s="61">
        <f t="shared" si="4"/>
        <v>1.6881827209533268E-2</v>
      </c>
      <c r="U8" s="62">
        <f t="shared" si="5"/>
        <v>0.64239999999999997</v>
      </c>
      <c r="V8" s="63">
        <f t="shared" si="6"/>
        <v>-3.5800000000000054E-2</v>
      </c>
      <c r="X8" s="160"/>
      <c r="Y8" s="64"/>
    </row>
    <row r="9" spans="1:25">
      <c r="A9" s="163">
        <v>4</v>
      </c>
      <c r="B9" s="148" t="s">
        <v>24</v>
      </c>
      <c r="C9" s="147" t="s">
        <v>25</v>
      </c>
      <c r="D9" s="33">
        <v>2313436373.0999999</v>
      </c>
      <c r="E9" s="34">
        <f t="shared" si="0"/>
        <v>1.3549738795820237E-2</v>
      </c>
      <c r="F9" s="33">
        <v>315.47089999999997</v>
      </c>
      <c r="G9" s="33">
        <v>315.47089999999997</v>
      </c>
      <c r="H9" s="35">
        <v>2490</v>
      </c>
      <c r="I9" s="56">
        <v>2.0000000000000001E-4</v>
      </c>
      <c r="J9" s="56">
        <v>0.2606</v>
      </c>
      <c r="K9" s="33">
        <v>2299920059.6500001</v>
      </c>
      <c r="L9" s="34">
        <f t="shared" si="1"/>
        <v>1.305634295564812E-2</v>
      </c>
      <c r="M9" s="33">
        <v>316.08269999999999</v>
      </c>
      <c r="N9" s="33">
        <v>316.08269999999999</v>
      </c>
      <c r="O9" s="35">
        <v>2506</v>
      </c>
      <c r="P9" s="56">
        <v>1.9E-3</v>
      </c>
      <c r="Q9" s="56">
        <v>0.26300000000000001</v>
      </c>
      <c r="R9" s="61">
        <f t="shared" si="2"/>
        <v>-5.8425265579653603E-3</v>
      </c>
      <c r="S9" s="61">
        <f t="shared" si="3"/>
        <v>1.9393230881200663E-3</v>
      </c>
      <c r="T9" s="61">
        <f t="shared" si="4"/>
        <v>6.4257028112449802E-3</v>
      </c>
      <c r="U9" s="62">
        <f t="shared" si="5"/>
        <v>1.6999999999999999E-3</v>
      </c>
      <c r="V9" s="63">
        <f t="shared" si="6"/>
        <v>2.4000000000000132E-3</v>
      </c>
    </row>
    <row r="10" spans="1:25">
      <c r="A10" s="163">
        <v>5</v>
      </c>
      <c r="B10" s="148" t="s">
        <v>26</v>
      </c>
      <c r="C10" s="147" t="s">
        <v>27</v>
      </c>
      <c r="D10" s="33">
        <v>6459003817.3000002</v>
      </c>
      <c r="E10" s="34">
        <f t="shared" si="0"/>
        <v>3.7830223309036647E-2</v>
      </c>
      <c r="F10" s="33">
        <v>2.4424999999999999</v>
      </c>
      <c r="G10" s="33">
        <v>2.4710999999999999</v>
      </c>
      <c r="H10" s="35">
        <v>1817</v>
      </c>
      <c r="I10" s="56">
        <v>6.1000000000000004E-3</v>
      </c>
      <c r="J10" s="56">
        <v>0.31990000000000002</v>
      </c>
      <c r="K10" s="33">
        <v>6556404938.6800003</v>
      </c>
      <c r="L10" s="34">
        <f>(K10/$K$26)</f>
        <v>3.7219846436114007E-2</v>
      </c>
      <c r="M10" s="33">
        <v>2.4489000000000001</v>
      </c>
      <c r="N10" s="33">
        <v>2.4788000000000001</v>
      </c>
      <c r="O10" s="35">
        <v>1860</v>
      </c>
      <c r="P10" s="56">
        <v>2.8999999999999998E-3</v>
      </c>
      <c r="Q10" s="56">
        <v>0.32369999999999999</v>
      </c>
      <c r="R10" s="61">
        <f t="shared" si="2"/>
        <v>1.507989840772626E-2</v>
      </c>
      <c r="S10" s="61">
        <f t="shared" si="3"/>
        <v>3.1160212051314245E-3</v>
      </c>
      <c r="T10" s="61">
        <f t="shared" si="4"/>
        <v>2.3665382498624106E-2</v>
      </c>
      <c r="U10" s="62">
        <f t="shared" si="5"/>
        <v>-3.2000000000000006E-3</v>
      </c>
      <c r="V10" s="63">
        <f t="shared" si="6"/>
        <v>3.7999999999999701E-3</v>
      </c>
    </row>
    <row r="11" spans="1:25">
      <c r="A11" s="163">
        <v>6</v>
      </c>
      <c r="B11" s="148" t="s">
        <v>28</v>
      </c>
      <c r="C11" s="147" t="s">
        <v>29</v>
      </c>
      <c r="D11" s="37">
        <v>575964885.11000001</v>
      </c>
      <c r="E11" s="34">
        <f t="shared" si="0"/>
        <v>3.3734118818005512E-3</v>
      </c>
      <c r="F11" s="33">
        <v>285.49310000000003</v>
      </c>
      <c r="G11" s="33">
        <v>287.87299999999999</v>
      </c>
      <c r="H11" s="36">
        <v>170</v>
      </c>
      <c r="I11" s="57">
        <v>1.2080000000000001E-3</v>
      </c>
      <c r="J11" s="57">
        <v>0.33350000000000002</v>
      </c>
      <c r="K11" s="37">
        <v>575754146.89999998</v>
      </c>
      <c r="L11" s="34">
        <f t="shared" si="1"/>
        <v>3.2684803841429928E-3</v>
      </c>
      <c r="M11" s="33">
        <v>286.0856</v>
      </c>
      <c r="N11" s="33">
        <v>288.4676</v>
      </c>
      <c r="O11" s="36">
        <v>172</v>
      </c>
      <c r="P11" s="57">
        <v>3.2899999999999997E-4</v>
      </c>
      <c r="Q11" s="57">
        <v>0.3362</v>
      </c>
      <c r="R11" s="61">
        <f t="shared" si="2"/>
        <v>-3.6588725362969056E-4</v>
      </c>
      <c r="S11" s="61">
        <f t="shared" si="3"/>
        <v>2.0654941588826117E-3</v>
      </c>
      <c r="T11" s="61">
        <f t="shared" si="4"/>
        <v>1.1764705882352941E-2</v>
      </c>
      <c r="U11" s="62">
        <f t="shared" si="5"/>
        <v>-8.7900000000000012E-4</v>
      </c>
      <c r="V11" s="63">
        <f t="shared" si="6"/>
        <v>2.6999999999999802E-3</v>
      </c>
    </row>
    <row r="12" spans="1:25">
      <c r="A12" s="163">
        <v>7</v>
      </c>
      <c r="B12" s="148" t="s">
        <v>30</v>
      </c>
      <c r="C12" s="147" t="s">
        <v>82</v>
      </c>
      <c r="D12" s="33">
        <v>5196906364.6400003</v>
      </c>
      <c r="E12" s="34">
        <f t="shared" si="0"/>
        <v>3.0438150193363416E-2</v>
      </c>
      <c r="F12" s="33">
        <v>559.36</v>
      </c>
      <c r="G12" s="33">
        <v>567.79</v>
      </c>
      <c r="H12" s="36">
        <v>2022</v>
      </c>
      <c r="I12" s="57">
        <v>3.5000000000000001E-3</v>
      </c>
      <c r="J12" s="57">
        <v>0.2339</v>
      </c>
      <c r="K12" s="33">
        <v>5144896219.5900002</v>
      </c>
      <c r="L12" s="34">
        <f t="shared" si="1"/>
        <v>2.9206897532085073E-2</v>
      </c>
      <c r="M12" s="33">
        <v>555.4</v>
      </c>
      <c r="N12" s="33">
        <v>563.79999999999995</v>
      </c>
      <c r="O12" s="36">
        <v>2024</v>
      </c>
      <c r="P12" s="57">
        <v>-7.1000000000000004E-3</v>
      </c>
      <c r="Q12" s="57">
        <v>0.22520000000000001</v>
      </c>
      <c r="R12" s="61">
        <f t="shared" si="2"/>
        <v>-1.0007904972827624E-2</v>
      </c>
      <c r="S12" s="61">
        <f t="shared" si="3"/>
        <v>-7.0272459888339163E-3</v>
      </c>
      <c r="T12" s="61">
        <f t="shared" si="4"/>
        <v>9.8911968348170125E-4</v>
      </c>
      <c r="U12" s="62">
        <f t="shared" si="5"/>
        <v>-1.06E-2</v>
      </c>
      <c r="V12" s="63">
        <f t="shared" si="6"/>
        <v>-8.6999999999999855E-3</v>
      </c>
    </row>
    <row r="13" spans="1:25">
      <c r="A13" s="163">
        <v>8</v>
      </c>
      <c r="B13" s="148" t="s">
        <v>31</v>
      </c>
      <c r="C13" s="147" t="s">
        <v>32</v>
      </c>
      <c r="D13" s="38">
        <v>571168914.71000004</v>
      </c>
      <c r="E13" s="34">
        <f t="shared" si="0"/>
        <v>3.3453220034930678E-3</v>
      </c>
      <c r="F13" s="33">
        <v>285.29000000000002</v>
      </c>
      <c r="G13" s="33">
        <v>297.88</v>
      </c>
      <c r="H13" s="35">
        <v>2469</v>
      </c>
      <c r="I13" s="56">
        <v>-1.7500000000000002E-2</v>
      </c>
      <c r="J13" s="56">
        <v>0.12889999999999999</v>
      </c>
      <c r="K13" s="38">
        <v>552242451.58000004</v>
      </c>
      <c r="L13" s="34">
        <f t="shared" si="1"/>
        <v>3.1350075896088465E-3</v>
      </c>
      <c r="M13" s="33">
        <v>275.83</v>
      </c>
      <c r="N13" s="33">
        <v>288.08</v>
      </c>
      <c r="O13" s="35">
        <v>2469</v>
      </c>
      <c r="P13" s="56">
        <v>-3.32E-2</v>
      </c>
      <c r="Q13" s="56">
        <v>9.1499999999999998E-2</v>
      </c>
      <c r="R13" s="61">
        <f t="shared" si="2"/>
        <v>-3.3136367618342009E-2</v>
      </c>
      <c r="S13" s="61">
        <f t="shared" si="3"/>
        <v>-3.2899154021753765E-2</v>
      </c>
      <c r="T13" s="61">
        <f t="shared" si="4"/>
        <v>0</v>
      </c>
      <c r="U13" s="62">
        <f t="shared" si="5"/>
        <v>-1.5699999999999999E-2</v>
      </c>
      <c r="V13" s="63">
        <f t="shared" si="6"/>
        <v>-3.7399999999999989E-2</v>
      </c>
    </row>
    <row r="14" spans="1:25">
      <c r="A14" s="163">
        <v>9</v>
      </c>
      <c r="B14" s="148" t="s">
        <v>33</v>
      </c>
      <c r="C14" s="147" t="s">
        <v>34</v>
      </c>
      <c r="D14" s="37">
        <v>118502771.3075</v>
      </c>
      <c r="E14" s="34">
        <f t="shared" si="0"/>
        <v>6.9406775845139667E-4</v>
      </c>
      <c r="F14" s="33">
        <v>411.13749999999999</v>
      </c>
      <c r="G14" s="33">
        <v>425.35399999999998</v>
      </c>
      <c r="H14" s="35">
        <v>38</v>
      </c>
      <c r="I14" s="56">
        <v>-4.4000000000000003E-3</v>
      </c>
      <c r="J14" s="56">
        <v>0.29899999999999999</v>
      </c>
      <c r="K14" s="37">
        <v>123196265.47390001</v>
      </c>
      <c r="L14" s="34">
        <f t="shared" si="1"/>
        <v>6.9936895681804224E-4</v>
      </c>
      <c r="M14" s="33">
        <v>427.7364</v>
      </c>
      <c r="N14" s="33">
        <v>441.9325</v>
      </c>
      <c r="O14" s="35">
        <v>38</v>
      </c>
      <c r="P14" s="56">
        <v>3.9600000000000003E-2</v>
      </c>
      <c r="Q14" s="56">
        <v>0.35049999999999998</v>
      </c>
      <c r="R14" s="61">
        <f t="shared" si="2"/>
        <v>3.9606619445388028E-2</v>
      </c>
      <c r="S14" s="61">
        <f t="shared" si="3"/>
        <v>3.8975770769758881E-2</v>
      </c>
      <c r="T14" s="61">
        <f t="shared" si="4"/>
        <v>0</v>
      </c>
      <c r="U14" s="62">
        <f t="shared" si="5"/>
        <v>4.4000000000000004E-2</v>
      </c>
      <c r="V14" s="63">
        <f t="shared" si="6"/>
        <v>5.149999999999999E-2</v>
      </c>
    </row>
    <row r="15" spans="1:25" ht="14.25" customHeight="1">
      <c r="A15" s="163">
        <v>10</v>
      </c>
      <c r="B15" s="148" t="s">
        <v>35</v>
      </c>
      <c r="C15" s="147" t="s">
        <v>36</v>
      </c>
      <c r="D15" s="38">
        <v>15598733246.51</v>
      </c>
      <c r="E15" s="34">
        <f t="shared" si="0"/>
        <v>9.1361389270744109E-2</v>
      </c>
      <c r="F15" s="33">
        <v>5.2614289999999997</v>
      </c>
      <c r="G15" s="33">
        <v>5.2917529999999999</v>
      </c>
      <c r="H15" s="35">
        <v>8262</v>
      </c>
      <c r="I15" s="56">
        <v>-3.0099999999999998E-2</v>
      </c>
      <c r="J15" s="56">
        <v>0.32250000000000001</v>
      </c>
      <c r="K15" s="38">
        <v>15016527140.65</v>
      </c>
      <c r="L15" s="34">
        <f t="shared" si="1"/>
        <v>8.5246844788579662E-2</v>
      </c>
      <c r="M15" s="33">
        <v>5.2431390000000002</v>
      </c>
      <c r="N15" s="33">
        <v>5.2939429999999996</v>
      </c>
      <c r="O15" s="35">
        <v>8453</v>
      </c>
      <c r="P15" s="56">
        <v>-3.5000000000000001E-3</v>
      </c>
      <c r="Q15" s="56">
        <v>0.31790000000000002</v>
      </c>
      <c r="R15" s="61">
        <f t="shared" si="2"/>
        <v>-3.7323935005444182E-2</v>
      </c>
      <c r="S15" s="61">
        <f t="shared" si="3"/>
        <v>4.1385151574529127E-4</v>
      </c>
      <c r="T15" s="61">
        <f t="shared" si="4"/>
        <v>2.3117889130961026E-2</v>
      </c>
      <c r="U15" s="62">
        <f t="shared" si="5"/>
        <v>2.6599999999999999E-2</v>
      </c>
      <c r="V15" s="63">
        <f t="shared" si="6"/>
        <v>-4.599999999999993E-3</v>
      </c>
    </row>
    <row r="16" spans="1:25" ht="14.25" customHeight="1">
      <c r="A16" s="166">
        <v>11</v>
      </c>
      <c r="B16" s="148" t="s">
        <v>37</v>
      </c>
      <c r="C16" s="147" t="s">
        <v>38</v>
      </c>
      <c r="D16" s="38">
        <v>374400608.33999997</v>
      </c>
      <c r="E16" s="34">
        <f t="shared" si="0"/>
        <v>2.1928549697718056E-3</v>
      </c>
      <c r="F16" s="33">
        <v>37.619999999999997</v>
      </c>
      <c r="G16" s="33">
        <v>37.99</v>
      </c>
      <c r="H16" s="35">
        <v>107</v>
      </c>
      <c r="I16" s="56">
        <v>0.03</v>
      </c>
      <c r="J16" s="56">
        <v>0.44</v>
      </c>
      <c r="K16" s="38">
        <v>378971678.88999999</v>
      </c>
      <c r="L16" s="34">
        <f t="shared" si="1"/>
        <v>2.1513722571812224E-3</v>
      </c>
      <c r="M16" s="33">
        <v>38.03</v>
      </c>
      <c r="N16" s="33">
        <v>38.31</v>
      </c>
      <c r="O16" s="35">
        <v>107</v>
      </c>
      <c r="P16" s="56">
        <v>0.01</v>
      </c>
      <c r="Q16" s="56">
        <v>0</v>
      </c>
      <c r="R16" s="61">
        <f t="shared" ref="R16" si="7">((K16-D16)/D16)</f>
        <v>1.2209036118469498E-2</v>
      </c>
      <c r="S16" s="61">
        <f t="shared" ref="S16" si="8">((N16-G16)/G16)</f>
        <v>8.423269281389846E-3</v>
      </c>
      <c r="T16" s="61">
        <f t="shared" ref="T16" si="9">((O16-H16)/H16)</f>
        <v>0</v>
      </c>
      <c r="U16" s="62">
        <f t="shared" ref="U16" si="10">P16-I16</f>
        <v>-1.9999999999999997E-2</v>
      </c>
      <c r="V16" s="63">
        <f t="shared" ref="V16" si="11">Q16-J16</f>
        <v>-0.44</v>
      </c>
    </row>
    <row r="17" spans="1:25">
      <c r="A17" s="163">
        <v>12</v>
      </c>
      <c r="B17" s="148" t="s">
        <v>39</v>
      </c>
      <c r="C17" s="147" t="s">
        <v>40</v>
      </c>
      <c r="D17" s="39">
        <v>3727122854.3899999</v>
      </c>
      <c r="E17" s="34">
        <f t="shared" si="0"/>
        <v>2.1829665048987052E-2</v>
      </c>
      <c r="F17" s="33">
        <v>7.21</v>
      </c>
      <c r="G17" s="33">
        <v>7.36</v>
      </c>
      <c r="H17" s="35">
        <v>3783</v>
      </c>
      <c r="I17" s="56">
        <v>0.20039999999999999</v>
      </c>
      <c r="J17" s="56">
        <v>0.30199999999999999</v>
      </c>
      <c r="K17" s="39">
        <v>3795501643.52</v>
      </c>
      <c r="L17" s="34">
        <f t="shared" si="1"/>
        <v>2.1546562428810898E-2</v>
      </c>
      <c r="M17" s="33">
        <v>7.25</v>
      </c>
      <c r="N17" s="33">
        <v>7.4</v>
      </c>
      <c r="O17" s="35">
        <v>3783</v>
      </c>
      <c r="P17" s="56">
        <v>0.20810000000000001</v>
      </c>
      <c r="Q17" s="56">
        <v>0.31040000000000001</v>
      </c>
      <c r="R17" s="61">
        <f t="shared" si="2"/>
        <v>1.8346266490641704E-2</v>
      </c>
      <c r="S17" s="61">
        <f t="shared" si="3"/>
        <v>5.4347826086956564E-3</v>
      </c>
      <c r="T17" s="61">
        <f t="shared" si="4"/>
        <v>0</v>
      </c>
      <c r="U17" s="62">
        <f t="shared" si="5"/>
        <v>7.7000000000000124E-3</v>
      </c>
      <c r="V17" s="63">
        <f t="shared" si="6"/>
        <v>8.4000000000000186E-3</v>
      </c>
    </row>
    <row r="18" spans="1:25">
      <c r="A18" s="163">
        <v>13</v>
      </c>
      <c r="B18" s="148" t="s">
        <v>41</v>
      </c>
      <c r="C18" s="147" t="s">
        <v>42</v>
      </c>
      <c r="D18" s="33">
        <v>7416335269.6899996</v>
      </c>
      <c r="E18" s="34">
        <f t="shared" si="0"/>
        <v>4.3437289607352776E-2</v>
      </c>
      <c r="F18" s="33">
        <v>42.679195</v>
      </c>
      <c r="G18" s="33">
        <v>42.872337999999999</v>
      </c>
      <c r="H18" s="35">
        <v>1624</v>
      </c>
      <c r="I18" s="56">
        <v>4.0000000000000002E-4</v>
      </c>
      <c r="J18" s="56">
        <v>0.312</v>
      </c>
      <c r="K18" s="33">
        <v>7393898428.4300003</v>
      </c>
      <c r="L18" s="34">
        <f>(K18/$K$26)</f>
        <v>4.1974186561728022E-2</v>
      </c>
      <c r="M18" s="33">
        <v>42.353009</v>
      </c>
      <c r="N18" s="33">
        <v>42.551715999999999</v>
      </c>
      <c r="O18" s="35">
        <v>1632</v>
      </c>
      <c r="P18" s="56">
        <v>-7.6427402156952207E-3</v>
      </c>
      <c r="Q18" s="56">
        <v>0.30200691567099147</v>
      </c>
      <c r="R18" s="61">
        <f t="shared" si="2"/>
        <v>-3.0253272599065129E-3</v>
      </c>
      <c r="S18" s="61">
        <f t="shared" si="3"/>
        <v>-7.4785284628050884E-3</v>
      </c>
      <c r="T18" s="61">
        <f t="shared" si="4"/>
        <v>4.9261083743842365E-3</v>
      </c>
      <c r="U18" s="62">
        <f t="shared" si="5"/>
        <v>-8.04274021569522E-3</v>
      </c>
      <c r="V18" s="63">
        <f t="shared" si="6"/>
        <v>-9.9930843290085281E-3</v>
      </c>
    </row>
    <row r="19" spans="1:25">
      <c r="A19" s="163">
        <v>14</v>
      </c>
      <c r="B19" s="148" t="s">
        <v>43</v>
      </c>
      <c r="C19" s="147" t="s">
        <v>44</v>
      </c>
      <c r="D19" s="33">
        <v>258021651.66999999</v>
      </c>
      <c r="E19" s="34">
        <f t="shared" si="0"/>
        <v>1.5112263403682085E-3</v>
      </c>
      <c r="F19" s="33">
        <v>2.71</v>
      </c>
      <c r="G19" s="33">
        <v>2.79</v>
      </c>
      <c r="H19" s="35">
        <v>27</v>
      </c>
      <c r="I19" s="56">
        <v>6.2899999999999998E-2</v>
      </c>
      <c r="J19" s="56">
        <v>0.38190000000000002</v>
      </c>
      <c r="K19" s="33">
        <v>250812878.52000001</v>
      </c>
      <c r="L19" s="34">
        <f t="shared" si="1"/>
        <v>1.4238316440219104E-3</v>
      </c>
      <c r="M19" s="33">
        <v>2.71</v>
      </c>
      <c r="N19" s="33">
        <v>2.79</v>
      </c>
      <c r="O19" s="35">
        <v>27</v>
      </c>
      <c r="P19" s="56">
        <v>1E-3</v>
      </c>
      <c r="Q19" s="56">
        <v>0.3332</v>
      </c>
      <c r="R19" s="61">
        <f t="shared" si="2"/>
        <v>-2.7938636557600705E-2</v>
      </c>
      <c r="S19" s="61">
        <f t="shared" si="3"/>
        <v>0</v>
      </c>
      <c r="T19" s="61">
        <f t="shared" si="4"/>
        <v>0</v>
      </c>
      <c r="U19" s="62">
        <f t="shared" si="5"/>
        <v>-6.1899999999999997E-2</v>
      </c>
      <c r="V19" s="63">
        <f t="shared" si="6"/>
        <v>-4.8700000000000021E-2</v>
      </c>
    </row>
    <row r="20" spans="1:25">
      <c r="A20" s="163">
        <v>15</v>
      </c>
      <c r="B20" s="148" t="s">
        <v>45</v>
      </c>
      <c r="C20" s="147" t="s">
        <v>46</v>
      </c>
      <c r="D20" s="140">
        <v>16251025883.26</v>
      </c>
      <c r="E20" s="34">
        <f t="shared" si="0"/>
        <v>9.5181850878925681E-2</v>
      </c>
      <c r="F20" s="33">
        <v>65.83</v>
      </c>
      <c r="G20" s="33">
        <v>66.069999999999993</v>
      </c>
      <c r="H20" s="35">
        <v>16888</v>
      </c>
      <c r="I20" s="56">
        <v>5.7000000000000002E-3</v>
      </c>
      <c r="J20" s="56">
        <v>0.38700000000000001</v>
      </c>
      <c r="K20" s="140">
        <v>16433707030.42</v>
      </c>
      <c r="L20" s="34">
        <f t="shared" si="1"/>
        <v>9.3291988180868049E-2</v>
      </c>
      <c r="M20" s="33">
        <v>66.31</v>
      </c>
      <c r="N20" s="33">
        <v>66.569999999999993</v>
      </c>
      <c r="O20" s="35">
        <v>17054</v>
      </c>
      <c r="P20" s="56">
        <v>1.01E-2</v>
      </c>
      <c r="Q20" s="56">
        <v>0.39710000000000001</v>
      </c>
      <c r="R20" s="61">
        <f t="shared" si="2"/>
        <v>1.1241207076543866E-2</v>
      </c>
      <c r="S20" s="61">
        <f t="shared" si="3"/>
        <v>7.5677311941879828E-3</v>
      </c>
      <c r="T20" s="61">
        <f t="shared" si="4"/>
        <v>9.8294647086688766E-3</v>
      </c>
      <c r="U20" s="62">
        <f t="shared" si="5"/>
        <v>4.3999999999999994E-3</v>
      </c>
      <c r="V20" s="63">
        <f t="shared" si="6"/>
        <v>1.0099999999999998E-2</v>
      </c>
    </row>
    <row r="21" spans="1:25" ht="12.75" customHeight="1">
      <c r="A21" s="163">
        <v>16</v>
      </c>
      <c r="B21" s="148" t="s">
        <v>47</v>
      </c>
      <c r="C21" s="147" t="s">
        <v>48</v>
      </c>
      <c r="D21" s="33">
        <v>3570540196.1199999</v>
      </c>
      <c r="E21" s="34">
        <f t="shared" si="0"/>
        <v>2.0912564347976344E-2</v>
      </c>
      <c r="F21" s="33">
        <v>15952.1</v>
      </c>
      <c r="G21" s="33">
        <v>16171.52</v>
      </c>
      <c r="H21" s="35">
        <v>63</v>
      </c>
      <c r="I21" s="56">
        <v>-1.04E-2</v>
      </c>
      <c r="J21" s="56">
        <v>0.25740000000000002</v>
      </c>
      <c r="K21" s="33">
        <v>3615538935.8099999</v>
      </c>
      <c r="L21" s="34">
        <f t="shared" si="1"/>
        <v>2.0524937863543882E-2</v>
      </c>
      <c r="M21" s="33">
        <v>15964.65</v>
      </c>
      <c r="N21" s="33">
        <v>16193.18</v>
      </c>
      <c r="O21" s="35">
        <v>65</v>
      </c>
      <c r="P21" s="56">
        <v>1.4E-3</v>
      </c>
      <c r="Q21" s="56">
        <v>0.2591</v>
      </c>
      <c r="R21" s="61">
        <f t="shared" si="2"/>
        <v>1.2602781993295819E-2</v>
      </c>
      <c r="S21" s="61">
        <f t="shared" si="3"/>
        <v>1.3393917207535132E-3</v>
      </c>
      <c r="T21" s="61">
        <f t="shared" si="4"/>
        <v>3.1746031746031744E-2</v>
      </c>
      <c r="U21" s="62">
        <f t="shared" si="5"/>
        <v>1.18E-2</v>
      </c>
      <c r="V21" s="63">
        <f t="shared" si="6"/>
        <v>1.6999999999999793E-3</v>
      </c>
      <c r="X21" s="134"/>
    </row>
    <row r="22" spans="1:25">
      <c r="A22" s="163">
        <v>17</v>
      </c>
      <c r="B22" s="148" t="s">
        <v>49</v>
      </c>
      <c r="C22" s="147" t="s">
        <v>48</v>
      </c>
      <c r="D22" s="33">
        <v>50815145606.980003</v>
      </c>
      <c r="E22" s="34">
        <f t="shared" si="0"/>
        <v>0.29762303292721204</v>
      </c>
      <c r="F22" s="33">
        <v>55423.45</v>
      </c>
      <c r="G22" s="33">
        <v>56156.13</v>
      </c>
      <c r="H22" s="35">
        <v>26926</v>
      </c>
      <c r="I22" s="56">
        <v>4.5999999999999999E-3</v>
      </c>
      <c r="J22" s="56">
        <v>0.29759999999999998</v>
      </c>
      <c r="K22" s="33">
        <v>55151358355.129997</v>
      </c>
      <c r="L22" s="34">
        <f t="shared" si="1"/>
        <v>0.31308699019043601</v>
      </c>
      <c r="M22" s="33">
        <v>55605.57</v>
      </c>
      <c r="N22" s="33">
        <v>56297.15</v>
      </c>
      <c r="O22" s="35">
        <v>27284</v>
      </c>
      <c r="P22" s="56">
        <v>2.5000000000000001E-3</v>
      </c>
      <c r="Q22" s="56">
        <v>0.30080000000000001</v>
      </c>
      <c r="R22" s="61">
        <f t="shared" si="2"/>
        <v>8.5333077301157412E-2</v>
      </c>
      <c r="S22" s="61">
        <f t="shared" si="3"/>
        <v>2.5112129343671666E-3</v>
      </c>
      <c r="T22" s="61">
        <f t="shared" si="4"/>
        <v>1.3295699324073386E-2</v>
      </c>
      <c r="U22" s="62">
        <f t="shared" si="5"/>
        <v>-2.0999999999999999E-3</v>
      </c>
      <c r="V22" s="63">
        <f t="shared" si="6"/>
        <v>3.2000000000000361E-3</v>
      </c>
    </row>
    <row r="23" spans="1:25">
      <c r="A23" s="166">
        <v>18</v>
      </c>
      <c r="B23" s="147" t="s">
        <v>50</v>
      </c>
      <c r="C23" s="147" t="s">
        <v>51</v>
      </c>
      <c r="D23" s="33">
        <v>13080301563.59</v>
      </c>
      <c r="E23" s="34">
        <f t="shared" si="0"/>
        <v>7.661099808840191E-2</v>
      </c>
      <c r="F23" s="33">
        <v>2.4649399999999999</v>
      </c>
      <c r="G23" s="40">
        <v>2.4883700000000002</v>
      </c>
      <c r="H23" s="35">
        <v>7778</v>
      </c>
      <c r="I23" s="56">
        <v>7.7999999999999996E-3</v>
      </c>
      <c r="J23" s="56">
        <v>0.2823</v>
      </c>
      <c r="K23" s="33">
        <v>13428023710.43</v>
      </c>
      <c r="L23" s="34">
        <f t="shared" si="1"/>
        <v>7.622912024456574E-2</v>
      </c>
      <c r="M23" s="33">
        <v>2.4624799999999998</v>
      </c>
      <c r="N23" s="40">
        <v>2.4854599999999998</v>
      </c>
      <c r="O23" s="35">
        <v>7874</v>
      </c>
      <c r="P23" s="56">
        <v>-1E-3</v>
      </c>
      <c r="Q23" s="56">
        <v>0.28100000000000003</v>
      </c>
      <c r="R23" s="61">
        <f t="shared" ref="R23:R24" si="12">((K23-D23)/D23)</f>
        <v>2.6583649096280075E-2</v>
      </c>
      <c r="S23" s="61">
        <f t="shared" ref="S23:S24" si="13">((N23-G23)/G23)</f>
        <v>-1.1694402359779341E-3</v>
      </c>
      <c r="T23" s="61">
        <f t="shared" ref="T23:T24" si="14">((O23-H23)/H23)</f>
        <v>1.2342504499871433E-2</v>
      </c>
      <c r="U23" s="62">
        <f t="shared" ref="U23:U24" si="15">P23-I23</f>
        <v>-8.7999999999999988E-3</v>
      </c>
      <c r="V23" s="63">
        <f t="shared" ref="V23:V24" si="16">Q23-J23</f>
        <v>-1.2999999999999678E-3</v>
      </c>
    </row>
    <row r="24" spans="1:25">
      <c r="A24" s="166">
        <v>19</v>
      </c>
      <c r="B24" s="148" t="s">
        <v>326</v>
      </c>
      <c r="C24" s="147" t="s">
        <v>123</v>
      </c>
      <c r="D24" s="33">
        <v>3309065717.6300001</v>
      </c>
      <c r="E24" s="34">
        <f t="shared" si="0"/>
        <v>1.9381114887550805E-2</v>
      </c>
      <c r="F24" s="33">
        <v>1.54</v>
      </c>
      <c r="G24" s="40">
        <v>1.57</v>
      </c>
      <c r="H24" s="35">
        <v>1017</v>
      </c>
      <c r="I24" s="56">
        <v>-1E-3</v>
      </c>
      <c r="J24" s="56">
        <v>0.51859999999999995</v>
      </c>
      <c r="K24" s="33">
        <v>3911399362.5</v>
      </c>
      <c r="L24" s="34">
        <f t="shared" si="1"/>
        <v>2.220449849942828E-2</v>
      </c>
      <c r="M24" s="33">
        <v>1.53</v>
      </c>
      <c r="N24" s="40">
        <v>1.56</v>
      </c>
      <c r="O24" s="35">
        <v>1095</v>
      </c>
      <c r="P24" s="56">
        <v>-5.5999999999999999E-3</v>
      </c>
      <c r="Q24" s="56">
        <v>0.50990000000000002</v>
      </c>
      <c r="R24" s="61">
        <f t="shared" si="12"/>
        <v>0.18202528939237864</v>
      </c>
      <c r="S24" s="61">
        <f t="shared" si="13"/>
        <v>-6.3694267515923622E-3</v>
      </c>
      <c r="T24" s="61">
        <f t="shared" si="14"/>
        <v>7.6696165191740412E-2</v>
      </c>
      <c r="U24" s="62">
        <f t="shared" si="15"/>
        <v>-4.5999999999999999E-3</v>
      </c>
      <c r="V24" s="63">
        <f t="shared" si="16"/>
        <v>-8.69999999999993E-3</v>
      </c>
    </row>
    <row r="25" spans="1:25">
      <c r="A25" s="163">
        <v>20</v>
      </c>
      <c r="B25" s="147" t="s">
        <v>52</v>
      </c>
      <c r="C25" s="147" t="s">
        <v>53</v>
      </c>
      <c r="D25" s="33">
        <v>15815207520.48</v>
      </c>
      <c r="E25" s="34">
        <f>(D25/$D$26)</f>
        <v>9.2629273662298769E-2</v>
      </c>
      <c r="F25" s="33">
        <v>292.79000000000002</v>
      </c>
      <c r="G25" s="40">
        <v>297.45999999999998</v>
      </c>
      <c r="H25" s="35">
        <v>118</v>
      </c>
      <c r="I25" s="56">
        <v>-2.2499999999999999E-2</v>
      </c>
      <c r="J25" s="56">
        <v>0.3856</v>
      </c>
      <c r="K25" s="33">
        <v>16144621227.5</v>
      </c>
      <c r="L25" s="34">
        <f t="shared" si="1"/>
        <v>9.1650886190955058E-2</v>
      </c>
      <c r="M25" s="33">
        <v>297.72000000000003</v>
      </c>
      <c r="N25" s="40">
        <v>302.35000000000002</v>
      </c>
      <c r="O25" s="35">
        <v>125</v>
      </c>
      <c r="P25" s="56">
        <v>1.7299999999999999E-2</v>
      </c>
      <c r="Q25" s="56">
        <v>0.40839999999999999</v>
      </c>
      <c r="R25" s="61">
        <f t="shared" si="2"/>
        <v>2.0828920935335445E-2</v>
      </c>
      <c r="S25" s="61">
        <f t="shared" si="3"/>
        <v>1.6439185100517863E-2</v>
      </c>
      <c r="T25" s="61">
        <f t="shared" si="4"/>
        <v>5.9322033898305086E-2</v>
      </c>
      <c r="U25" s="62">
        <f t="shared" si="5"/>
        <v>3.9800000000000002E-2</v>
      </c>
      <c r="V25" s="63">
        <f t="shared" si="6"/>
        <v>2.2799999999999987E-2</v>
      </c>
      <c r="X25" s="134"/>
      <c r="Y25" s="134"/>
    </row>
    <row r="26" spans="1:25">
      <c r="A26" s="41"/>
      <c r="B26" s="42"/>
      <c r="C26" s="43" t="s">
        <v>54</v>
      </c>
      <c r="D26" s="44">
        <f>SUM(D6:D25)</f>
        <v>170736602967.8475</v>
      </c>
      <c r="E26" s="45">
        <f>(D26/$D$237)</f>
        <v>2.0228137137011954E-2</v>
      </c>
      <c r="F26" s="46"/>
      <c r="G26" s="47"/>
      <c r="H26" s="48">
        <f>SUM(H6:H25)</f>
        <v>88096</v>
      </c>
      <c r="I26" s="58"/>
      <c r="J26" s="35">
        <v>0</v>
      </c>
      <c r="K26" s="44">
        <f>SUM(K6:K25)</f>
        <v>176153465596.20389</v>
      </c>
      <c r="L26" s="45">
        <f>(K26/$K$237)</f>
        <v>2.0497793615746236E-2</v>
      </c>
      <c r="M26" s="46"/>
      <c r="N26" s="47"/>
      <c r="O26" s="48">
        <f>SUM(O6:O25)</f>
        <v>89252</v>
      </c>
      <c r="P26" s="58"/>
      <c r="Q26" s="48"/>
      <c r="R26" s="61">
        <f t="shared" si="2"/>
        <v>3.1726428511503584E-2</v>
      </c>
      <c r="S26" s="61" t="e">
        <f t="shared" si="3"/>
        <v>#DIV/0!</v>
      </c>
      <c r="T26" s="61">
        <f t="shared" si="4"/>
        <v>1.3122048674173629E-2</v>
      </c>
      <c r="U26" s="62">
        <f t="shared" si="5"/>
        <v>0</v>
      </c>
      <c r="V26" s="63">
        <f t="shared" si="6"/>
        <v>0</v>
      </c>
    </row>
    <row r="27" spans="1:25" ht="4.5" customHeight="1">
      <c r="A27" s="41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</row>
    <row r="28" spans="1:25" ht="15" customHeight="1">
      <c r="A28" s="177" t="s">
        <v>55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</row>
    <row r="29" spans="1:25">
      <c r="A29" s="161">
        <v>21</v>
      </c>
      <c r="B29" s="148" t="s">
        <v>56</v>
      </c>
      <c r="C29" s="147" t="s">
        <v>19</v>
      </c>
      <c r="D29" s="50">
        <v>6007504244</v>
      </c>
      <c r="E29" s="34">
        <f t="shared" ref="E29:E36" si="17">(D29/$K$76)</f>
        <v>1.0771191191998656E-3</v>
      </c>
      <c r="F29" s="40">
        <v>100</v>
      </c>
      <c r="G29" s="40">
        <v>100</v>
      </c>
      <c r="H29" s="35">
        <v>908</v>
      </c>
      <c r="I29" s="56">
        <v>0.15079999999999999</v>
      </c>
      <c r="J29" s="56">
        <v>0.15079999999999999</v>
      </c>
      <c r="K29" s="50">
        <v>6080911096.6300001</v>
      </c>
      <c r="L29" s="34">
        <f t="shared" ref="L29:L36" si="18">(K29/$K$76)</f>
        <v>1.090280645390551E-3</v>
      </c>
      <c r="M29" s="40">
        <v>100</v>
      </c>
      <c r="N29" s="40">
        <v>100</v>
      </c>
      <c r="O29" s="35">
        <v>928</v>
      </c>
      <c r="P29" s="56">
        <v>0.15129999999999999</v>
      </c>
      <c r="Q29" s="56">
        <v>0.15129999999999999</v>
      </c>
      <c r="R29" s="61">
        <f>((K29-D29)/D29)</f>
        <v>1.2219192804285619E-2</v>
      </c>
      <c r="S29" s="61">
        <f>((N29-G29)/G29)</f>
        <v>0</v>
      </c>
      <c r="T29" s="61">
        <f>((O29-H29)/H29)</f>
        <v>2.2026431718061675E-2</v>
      </c>
      <c r="U29" s="61">
        <f>P29-I29</f>
        <v>5.0000000000000044E-4</v>
      </c>
      <c r="V29" s="108">
        <f>Q29-J29</f>
        <v>5.0000000000000044E-4</v>
      </c>
    </row>
    <row r="30" spans="1:25">
      <c r="A30" s="161">
        <v>22</v>
      </c>
      <c r="B30" s="148" t="s">
        <v>57</v>
      </c>
      <c r="C30" s="147" t="s">
        <v>58</v>
      </c>
      <c r="D30" s="50">
        <v>39865572476.790001</v>
      </c>
      <c r="E30" s="34">
        <f t="shared" si="17"/>
        <v>7.1477220104313342E-3</v>
      </c>
      <c r="F30" s="40">
        <v>100</v>
      </c>
      <c r="G30" s="40">
        <v>100</v>
      </c>
      <c r="H30" s="35">
        <v>4600</v>
      </c>
      <c r="I30" s="56">
        <v>0.17491799999999999</v>
      </c>
      <c r="J30" s="56">
        <v>0.17491799999999999</v>
      </c>
      <c r="K30" s="50">
        <v>39338840966.769997</v>
      </c>
      <c r="L30" s="34">
        <f t="shared" si="18"/>
        <v>7.05328136468494E-3</v>
      </c>
      <c r="M30" s="40">
        <v>100</v>
      </c>
      <c r="N30" s="40">
        <v>100</v>
      </c>
      <c r="O30" s="35">
        <v>4645</v>
      </c>
      <c r="P30" s="56">
        <v>0.168544</v>
      </c>
      <c r="Q30" s="56">
        <v>0.168544</v>
      </c>
      <c r="R30" s="61">
        <f t="shared" ref="R30:R76" si="19">((K30-D30)/D30)</f>
        <v>-1.3212691485282717E-2</v>
      </c>
      <c r="S30" s="61">
        <f t="shared" ref="S30:S76" si="20">((N30-G30)/G30)</f>
        <v>0</v>
      </c>
      <c r="T30" s="61">
        <f t="shared" ref="T30:T76" si="21">((O30-H30)/H30)</f>
        <v>9.7826086956521747E-3</v>
      </c>
      <c r="U30" s="62">
        <f t="shared" ref="U30:U76" si="22">P30-I30</f>
        <v>-6.3739999999999908E-3</v>
      </c>
      <c r="V30" s="63">
        <f t="shared" ref="V30:V76" si="23">Q30-J30</f>
        <v>-6.3739999999999908E-3</v>
      </c>
    </row>
    <row r="31" spans="1:25">
      <c r="A31" s="161">
        <v>23</v>
      </c>
      <c r="B31" s="148" t="s">
        <v>335</v>
      </c>
      <c r="C31" s="147" t="s">
        <v>334</v>
      </c>
      <c r="D31" s="50">
        <v>1771810629.8599999</v>
      </c>
      <c r="E31" s="34">
        <f t="shared" si="17"/>
        <v>3.1767786213881237E-4</v>
      </c>
      <c r="F31" s="40">
        <v>1</v>
      </c>
      <c r="G31" s="40">
        <v>1</v>
      </c>
      <c r="H31" s="35">
        <v>147</v>
      </c>
      <c r="I31" s="56">
        <v>0.17549999999999999</v>
      </c>
      <c r="J31" s="56">
        <v>0.17549999999999999</v>
      </c>
      <c r="K31" s="50">
        <v>1814082630.1800001</v>
      </c>
      <c r="L31" s="34">
        <f t="shared" si="18"/>
        <v>3.2525704608978007E-4</v>
      </c>
      <c r="M31" s="40">
        <v>1</v>
      </c>
      <c r="N31" s="40">
        <v>1</v>
      </c>
      <c r="O31" s="35">
        <v>155</v>
      </c>
      <c r="P31" s="56">
        <v>0.1764</v>
      </c>
      <c r="Q31" s="56">
        <v>0.1764</v>
      </c>
      <c r="R31" s="61">
        <f t="shared" ref="R31" si="24">((K31-D31)/D31)</f>
        <v>2.3858080320547748E-2</v>
      </c>
      <c r="S31" s="61">
        <f t="shared" ref="S31" si="25">((N31-G31)/G31)</f>
        <v>0</v>
      </c>
      <c r="T31" s="61">
        <f t="shared" ref="T31" si="26">((O31-H31)/H31)</f>
        <v>5.4421768707482991E-2</v>
      </c>
      <c r="U31" s="62">
        <f t="shared" ref="U31" si="27">P31-I31</f>
        <v>9.000000000000119E-4</v>
      </c>
      <c r="V31" s="63">
        <f t="shared" ref="V31" si="28">Q31-J31</f>
        <v>9.000000000000119E-4</v>
      </c>
    </row>
    <row r="32" spans="1:25">
      <c r="A32" s="161">
        <v>24</v>
      </c>
      <c r="B32" s="148" t="s">
        <v>59</v>
      </c>
      <c r="C32" s="147" t="s">
        <v>21</v>
      </c>
      <c r="D32" s="50">
        <v>3593106487.1599998</v>
      </c>
      <c r="E32" s="34">
        <f t="shared" si="17"/>
        <v>6.4422820816256124E-4</v>
      </c>
      <c r="F32" s="40">
        <v>100</v>
      </c>
      <c r="G32" s="40">
        <v>100</v>
      </c>
      <c r="H32" s="35">
        <v>2488</v>
      </c>
      <c r="I32" s="56">
        <v>0.1593</v>
      </c>
      <c r="J32" s="56">
        <v>0.1593</v>
      </c>
      <c r="K32" s="50">
        <v>3602488347.5</v>
      </c>
      <c r="L32" s="34">
        <f t="shared" si="18"/>
        <v>6.4591033450578773E-4</v>
      </c>
      <c r="M32" s="40">
        <v>100</v>
      </c>
      <c r="N32" s="40">
        <v>100</v>
      </c>
      <c r="O32" s="35">
        <v>2493</v>
      </c>
      <c r="P32" s="56">
        <v>0.1545</v>
      </c>
      <c r="Q32" s="56">
        <v>0.1545</v>
      </c>
      <c r="R32" s="61">
        <f t="shared" si="19"/>
        <v>2.6110721665295253E-3</v>
      </c>
      <c r="S32" s="61">
        <f t="shared" si="20"/>
        <v>0</v>
      </c>
      <c r="T32" s="61">
        <f t="shared" si="21"/>
        <v>2.0096463022508037E-3</v>
      </c>
      <c r="U32" s="62">
        <f t="shared" si="22"/>
        <v>-4.7999999999999987E-3</v>
      </c>
      <c r="V32" s="63">
        <f t="shared" si="23"/>
        <v>-4.7999999999999987E-3</v>
      </c>
    </row>
    <row r="33" spans="1:22">
      <c r="A33" s="161">
        <v>25</v>
      </c>
      <c r="B33" s="148" t="s">
        <v>331</v>
      </c>
      <c r="C33" s="147" t="s">
        <v>332</v>
      </c>
      <c r="D33" s="50">
        <v>756606096.84000003</v>
      </c>
      <c r="E33" s="34">
        <v>0</v>
      </c>
      <c r="F33" s="40">
        <v>100</v>
      </c>
      <c r="G33" s="40">
        <v>100</v>
      </c>
      <c r="H33" s="35">
        <v>123</v>
      </c>
      <c r="I33" s="56">
        <v>0.144846</v>
      </c>
      <c r="J33" s="56">
        <v>0.144846</v>
      </c>
      <c r="K33" s="50">
        <v>778748056.88999999</v>
      </c>
      <c r="L33" s="34">
        <f t="shared" si="18"/>
        <v>1.3962610545863871E-4</v>
      </c>
      <c r="M33" s="40">
        <v>100</v>
      </c>
      <c r="N33" s="40">
        <v>100</v>
      </c>
      <c r="O33" s="35">
        <v>122</v>
      </c>
      <c r="P33" s="56">
        <v>0.14108100000000001</v>
      </c>
      <c r="Q33" s="56">
        <v>0.14108100000000001</v>
      </c>
      <c r="R33" s="61">
        <f t="shared" ref="R33" si="29">((K33-D33)/D33)</f>
        <v>2.9264844867728217E-2</v>
      </c>
      <c r="S33" s="61">
        <f t="shared" ref="S33" si="30">((N33-G33)/G33)</f>
        <v>0</v>
      </c>
      <c r="T33" s="61">
        <f t="shared" ref="T33" si="31">((O33-H33)/H33)</f>
        <v>-8.130081300813009E-3</v>
      </c>
      <c r="U33" s="62">
        <f t="shared" ref="U33" si="32">P33-I33</f>
        <v>-3.7649999999999906E-3</v>
      </c>
      <c r="V33" s="63">
        <f t="shared" ref="V33" si="33">Q33-J33</f>
        <v>-3.7649999999999906E-3</v>
      </c>
    </row>
    <row r="34" spans="1:22">
      <c r="A34" s="161">
        <v>26</v>
      </c>
      <c r="B34" s="148" t="s">
        <v>60</v>
      </c>
      <c r="C34" s="147" t="s">
        <v>23</v>
      </c>
      <c r="D34" s="50">
        <v>388377359168.26001</v>
      </c>
      <c r="E34" s="34">
        <f t="shared" si="17"/>
        <v>6.9634354306497948E-2</v>
      </c>
      <c r="F34" s="40">
        <v>1</v>
      </c>
      <c r="G34" s="40">
        <v>1</v>
      </c>
      <c r="H34" s="35">
        <v>82625</v>
      </c>
      <c r="I34" s="56">
        <v>0.17280000000000001</v>
      </c>
      <c r="J34" s="56">
        <v>0.17280000000000001</v>
      </c>
      <c r="K34" s="50">
        <v>404456616089.70001</v>
      </c>
      <c r="L34" s="34">
        <f t="shared" si="18"/>
        <v>7.2517294434240251E-2</v>
      </c>
      <c r="M34" s="40">
        <v>1</v>
      </c>
      <c r="N34" s="40">
        <v>1</v>
      </c>
      <c r="O34" s="35">
        <v>82899</v>
      </c>
      <c r="P34" s="56">
        <v>0.17219999999999999</v>
      </c>
      <c r="Q34" s="56">
        <v>0.17219999999999999</v>
      </c>
      <c r="R34" s="61">
        <f t="shared" si="19"/>
        <v>4.1401118118406716E-2</v>
      </c>
      <c r="S34" s="61">
        <f t="shared" si="20"/>
        <v>0</v>
      </c>
      <c r="T34" s="61">
        <f t="shared" si="21"/>
        <v>3.3161875945537066E-3</v>
      </c>
      <c r="U34" s="62">
        <f t="shared" si="22"/>
        <v>-6.0000000000001719E-4</v>
      </c>
      <c r="V34" s="63">
        <f t="shared" si="23"/>
        <v>-6.0000000000001719E-4</v>
      </c>
    </row>
    <row r="35" spans="1:22">
      <c r="A35" s="161">
        <v>27</v>
      </c>
      <c r="B35" s="148" t="s">
        <v>61</v>
      </c>
      <c r="C35" s="147" t="s">
        <v>62</v>
      </c>
      <c r="D35" s="50">
        <v>2331585487.1900001</v>
      </c>
      <c r="E35" s="34">
        <f t="shared" si="17"/>
        <v>4.1804303489415603E-4</v>
      </c>
      <c r="F35" s="40">
        <v>1</v>
      </c>
      <c r="G35" s="40">
        <v>1</v>
      </c>
      <c r="H35" s="35">
        <v>300</v>
      </c>
      <c r="I35" s="56">
        <v>0.17</v>
      </c>
      <c r="J35" s="56">
        <v>0.17</v>
      </c>
      <c r="K35" s="50">
        <v>2363018964.21</v>
      </c>
      <c r="L35" s="34">
        <f t="shared" si="18"/>
        <v>4.2367891923247955E-4</v>
      </c>
      <c r="M35" s="40">
        <v>1</v>
      </c>
      <c r="N35" s="40">
        <v>1</v>
      </c>
      <c r="O35" s="35">
        <v>300</v>
      </c>
      <c r="P35" s="56">
        <v>0.17</v>
      </c>
      <c r="Q35" s="56">
        <v>0.17</v>
      </c>
      <c r="R35" s="61">
        <f t="shared" si="19"/>
        <v>1.3481588898498096E-2</v>
      </c>
      <c r="S35" s="61">
        <f t="shared" si="20"/>
        <v>0</v>
      </c>
      <c r="T35" s="61">
        <f t="shared" si="21"/>
        <v>0</v>
      </c>
      <c r="U35" s="62">
        <f t="shared" si="22"/>
        <v>0</v>
      </c>
      <c r="V35" s="63">
        <f t="shared" si="23"/>
        <v>0</v>
      </c>
    </row>
    <row r="36" spans="1:22">
      <c r="A36" s="161">
        <v>28</v>
      </c>
      <c r="B36" s="148" t="s">
        <v>63</v>
      </c>
      <c r="C36" s="147" t="s">
        <v>25</v>
      </c>
      <c r="D36" s="50">
        <v>173331855654.85001</v>
      </c>
      <c r="E36" s="34">
        <f t="shared" si="17"/>
        <v>3.1077640249475666E-2</v>
      </c>
      <c r="F36" s="40">
        <v>1</v>
      </c>
      <c r="G36" s="40">
        <v>1</v>
      </c>
      <c r="H36" s="35">
        <v>39438</v>
      </c>
      <c r="I36" s="56">
        <v>0.16120000000000001</v>
      </c>
      <c r="J36" s="56">
        <v>0.16120000000000001</v>
      </c>
      <c r="K36" s="50">
        <v>172144431085.14001</v>
      </c>
      <c r="L36" s="34">
        <f t="shared" si="18"/>
        <v>3.0864740240637602E-2</v>
      </c>
      <c r="M36" s="40">
        <v>1</v>
      </c>
      <c r="N36" s="40">
        <v>1</v>
      </c>
      <c r="O36" s="35">
        <v>39761</v>
      </c>
      <c r="P36" s="56">
        <v>0.15659999999999999</v>
      </c>
      <c r="Q36" s="56">
        <v>0.15659999999999999</v>
      </c>
      <c r="R36" s="61">
        <f t="shared" si="19"/>
        <v>-6.8505847654136394E-3</v>
      </c>
      <c r="S36" s="61">
        <f t="shared" si="20"/>
        <v>0</v>
      </c>
      <c r="T36" s="61">
        <f t="shared" si="21"/>
        <v>8.1900704903899793E-3</v>
      </c>
      <c r="U36" s="62">
        <f t="shared" si="22"/>
        <v>-4.6000000000000207E-3</v>
      </c>
      <c r="V36" s="63">
        <f t="shared" si="23"/>
        <v>-4.6000000000000207E-3</v>
      </c>
    </row>
    <row r="37" spans="1:22">
      <c r="A37" s="161">
        <v>29</v>
      </c>
      <c r="B37" s="148" t="s">
        <v>64</v>
      </c>
      <c r="C37" s="147" t="s">
        <v>27</v>
      </c>
      <c r="D37" s="33">
        <v>22344997436.360001</v>
      </c>
      <c r="E37" s="34">
        <f t="shared" ref="E37" si="34">(D37/$D$26)</f>
        <v>0.13087408937477765</v>
      </c>
      <c r="F37" s="33">
        <v>1</v>
      </c>
      <c r="G37" s="33">
        <v>1</v>
      </c>
      <c r="H37" s="35">
        <v>1782</v>
      </c>
      <c r="I37" s="56">
        <v>0.17019999999999999</v>
      </c>
      <c r="J37" s="56">
        <v>0.17019999999999999</v>
      </c>
      <c r="K37" s="33">
        <v>22458477263.360001</v>
      </c>
      <c r="L37" s="34">
        <f t="shared" ref="L37" si="35">(K37/$K$26)</f>
        <v>0.12749381448356803</v>
      </c>
      <c r="M37" s="33">
        <v>1</v>
      </c>
      <c r="N37" s="33">
        <v>1</v>
      </c>
      <c r="O37" s="35">
        <v>1796</v>
      </c>
      <c r="P37" s="56">
        <v>0.1691</v>
      </c>
      <c r="Q37" s="56">
        <v>0.1691</v>
      </c>
      <c r="R37" s="61">
        <f t="shared" si="19"/>
        <v>5.0785339010755272E-3</v>
      </c>
      <c r="S37" s="61">
        <f t="shared" si="20"/>
        <v>0</v>
      </c>
      <c r="T37" s="61">
        <f t="shared" si="21"/>
        <v>7.8563411896745237E-3</v>
      </c>
      <c r="U37" s="62">
        <f t="shared" si="22"/>
        <v>-1.0999999999999899E-3</v>
      </c>
      <c r="V37" s="63">
        <f t="shared" si="23"/>
        <v>-1.0999999999999899E-3</v>
      </c>
    </row>
    <row r="38" spans="1:22" ht="15" customHeight="1">
      <c r="A38" s="161">
        <v>30</v>
      </c>
      <c r="B38" s="148" t="s">
        <v>65</v>
      </c>
      <c r="C38" s="147" t="s">
        <v>46</v>
      </c>
      <c r="D38" s="50">
        <v>39308816808.040001</v>
      </c>
      <c r="E38" s="34">
        <f>(D38/$K$76)</f>
        <v>7.0478981649246949E-3</v>
      </c>
      <c r="F38" s="40">
        <v>100</v>
      </c>
      <c r="G38" s="40">
        <v>100</v>
      </c>
      <c r="H38" s="35">
        <v>14086</v>
      </c>
      <c r="I38" s="56">
        <v>0.18129999999999999</v>
      </c>
      <c r="J38" s="56">
        <v>0.18129999999999999</v>
      </c>
      <c r="K38" s="50">
        <v>41042167022.07</v>
      </c>
      <c r="L38" s="34">
        <f t="shared" ref="L38:L52" si="36">(K38/$K$76)</f>
        <v>7.3586802434668095E-3</v>
      </c>
      <c r="M38" s="40">
        <v>100</v>
      </c>
      <c r="N38" s="40">
        <v>100</v>
      </c>
      <c r="O38" s="35">
        <v>14256</v>
      </c>
      <c r="P38" s="56">
        <v>0.17580000000000001</v>
      </c>
      <c r="Q38" s="56">
        <v>0.17580000000000001</v>
      </c>
      <c r="R38" s="61">
        <f t="shared" si="19"/>
        <v>4.4095710702629673E-2</v>
      </c>
      <c r="S38" s="61">
        <f t="shared" si="20"/>
        <v>0</v>
      </c>
      <c r="T38" s="61">
        <f t="shared" si="21"/>
        <v>1.2068720715604145E-2</v>
      </c>
      <c r="U38" s="62">
        <f t="shared" si="22"/>
        <v>-5.4999999999999771E-3</v>
      </c>
      <c r="V38" s="63">
        <f t="shared" si="23"/>
        <v>-5.4999999999999771E-3</v>
      </c>
    </row>
    <row r="39" spans="1:22" ht="15" customHeight="1">
      <c r="A39" s="161">
        <v>31</v>
      </c>
      <c r="B39" s="148" t="s">
        <v>66</v>
      </c>
      <c r="C39" s="147" t="s">
        <v>67</v>
      </c>
      <c r="D39" s="50">
        <v>3465812975.8400002</v>
      </c>
      <c r="E39" s="34">
        <f>(D39/$K$76)</f>
        <v>6.2140504079987564E-4</v>
      </c>
      <c r="F39" s="40">
        <v>1</v>
      </c>
      <c r="G39" s="40">
        <v>1</v>
      </c>
      <c r="H39" s="35">
        <v>699</v>
      </c>
      <c r="I39" s="56">
        <v>0.15570000000000001</v>
      </c>
      <c r="J39" s="56">
        <v>0.15570000000000001</v>
      </c>
      <c r="K39" s="50">
        <v>3657770757.8899999</v>
      </c>
      <c r="L39" s="34">
        <f t="shared" si="36"/>
        <v>6.5582222782587874E-4</v>
      </c>
      <c r="M39" s="40">
        <v>1</v>
      </c>
      <c r="N39" s="40">
        <v>1</v>
      </c>
      <c r="O39" s="35">
        <v>704</v>
      </c>
      <c r="P39" s="56">
        <v>0.16400000000000001</v>
      </c>
      <c r="Q39" s="56">
        <v>0.16400000000000001</v>
      </c>
      <c r="R39" s="61">
        <f t="shared" si="19"/>
        <v>5.5386076337103969E-2</v>
      </c>
      <c r="S39" s="61">
        <f t="shared" si="20"/>
        <v>0</v>
      </c>
      <c r="T39" s="61">
        <f t="shared" si="21"/>
        <v>7.1530758226037196E-3</v>
      </c>
      <c r="U39" s="62">
        <f t="shared" si="22"/>
        <v>8.3000000000000018E-3</v>
      </c>
      <c r="V39" s="63">
        <f t="shared" si="23"/>
        <v>8.3000000000000018E-3</v>
      </c>
    </row>
    <row r="40" spans="1:22">
      <c r="A40" s="161">
        <v>32</v>
      </c>
      <c r="B40" s="148" t="s">
        <v>68</v>
      </c>
      <c r="C40" s="147" t="s">
        <v>69</v>
      </c>
      <c r="D40" s="50">
        <v>93164551962.979996</v>
      </c>
      <c r="E40" s="34">
        <f>(D40/$K$76)</f>
        <v>1.6703994882939797E-2</v>
      </c>
      <c r="F40" s="40">
        <v>100</v>
      </c>
      <c r="G40" s="40">
        <v>100</v>
      </c>
      <c r="H40" s="35">
        <v>5992</v>
      </c>
      <c r="I40" s="56">
        <v>0.16470000000000001</v>
      </c>
      <c r="J40" s="56">
        <v>0.16470000000000001</v>
      </c>
      <c r="K40" s="50">
        <v>97668701462.190002</v>
      </c>
      <c r="L40" s="34">
        <f t="shared" si="36"/>
        <v>1.7511569100832201E-2</v>
      </c>
      <c r="M40" s="40">
        <v>100</v>
      </c>
      <c r="N40" s="40">
        <v>100</v>
      </c>
      <c r="O40" s="35">
        <v>6019</v>
      </c>
      <c r="P40" s="56">
        <v>0.1605</v>
      </c>
      <c r="Q40" s="56">
        <v>0.1605</v>
      </c>
      <c r="R40" s="61">
        <f t="shared" si="19"/>
        <v>4.8346172490581853E-2</v>
      </c>
      <c r="S40" s="61">
        <f t="shared" si="20"/>
        <v>0</v>
      </c>
      <c r="T40" s="61">
        <f t="shared" si="21"/>
        <v>4.5060080106809081E-3</v>
      </c>
      <c r="U40" s="62">
        <f t="shared" si="22"/>
        <v>-4.2000000000000093E-3</v>
      </c>
      <c r="V40" s="63">
        <f t="shared" si="23"/>
        <v>-4.2000000000000093E-3</v>
      </c>
    </row>
    <row r="41" spans="1:22">
      <c r="A41" s="161">
        <v>33</v>
      </c>
      <c r="B41" s="148" t="s">
        <v>70</v>
      </c>
      <c r="C41" s="147" t="s">
        <v>71</v>
      </c>
      <c r="D41" s="50">
        <v>41767988672.650002</v>
      </c>
      <c r="E41" s="34">
        <f>(D41/$K$76)</f>
        <v>7.4888168767866681E-3</v>
      </c>
      <c r="F41" s="40">
        <v>100</v>
      </c>
      <c r="G41" s="40">
        <v>100</v>
      </c>
      <c r="H41" s="35">
        <v>5831</v>
      </c>
      <c r="I41" s="56">
        <v>0.1608</v>
      </c>
      <c r="J41" s="56">
        <v>0.1608</v>
      </c>
      <c r="K41" s="50">
        <v>43173065598.309998</v>
      </c>
      <c r="L41" s="34">
        <f>(K41/$K$76)</f>
        <v>7.740740996871393E-3</v>
      </c>
      <c r="M41" s="40">
        <v>100</v>
      </c>
      <c r="N41" s="40">
        <v>100</v>
      </c>
      <c r="O41" s="35">
        <v>5834</v>
      </c>
      <c r="P41" s="56">
        <v>0.15540000000000001</v>
      </c>
      <c r="Q41" s="56">
        <v>0.15540000000000001</v>
      </c>
      <c r="R41" s="61">
        <f t="shared" si="19"/>
        <v>3.3640042777067003E-2</v>
      </c>
      <c r="S41" s="61">
        <f t="shared" si="20"/>
        <v>0</v>
      </c>
      <c r="T41" s="61">
        <f t="shared" si="21"/>
        <v>5.1449151089007032E-4</v>
      </c>
      <c r="U41" s="62">
        <f t="shared" si="22"/>
        <v>-5.3999999999999881E-3</v>
      </c>
      <c r="V41" s="63">
        <f t="shared" si="23"/>
        <v>-5.3999999999999881E-3</v>
      </c>
    </row>
    <row r="42" spans="1:22">
      <c r="A42" s="161">
        <v>34</v>
      </c>
      <c r="B42" s="148" t="s">
        <v>72</v>
      </c>
      <c r="C42" s="147" t="s">
        <v>73</v>
      </c>
      <c r="D42" s="50">
        <v>65423135609.059998</v>
      </c>
      <c r="E42" s="34">
        <f>(D42/$K$76)</f>
        <v>1.1730080802340599E-2</v>
      </c>
      <c r="F42" s="40">
        <v>1</v>
      </c>
      <c r="G42" s="40">
        <v>1</v>
      </c>
      <c r="H42" s="35">
        <v>16033</v>
      </c>
      <c r="I42" s="56">
        <v>0.1764</v>
      </c>
      <c r="J42" s="56">
        <v>0.1764</v>
      </c>
      <c r="K42" s="50">
        <v>68193069339.18</v>
      </c>
      <c r="L42" s="34">
        <f t="shared" si="36"/>
        <v>1.2226717751471125E-2</v>
      </c>
      <c r="M42" s="40">
        <v>1</v>
      </c>
      <c r="N42" s="40">
        <v>1</v>
      </c>
      <c r="O42" s="35">
        <v>16200</v>
      </c>
      <c r="P42" s="56">
        <v>0.16830000000000001</v>
      </c>
      <c r="Q42" s="56">
        <v>0.16830000000000001</v>
      </c>
      <c r="R42" s="61">
        <f t="shared" si="19"/>
        <v>4.2338749195268068E-2</v>
      </c>
      <c r="S42" s="61">
        <f t="shared" si="20"/>
        <v>0</v>
      </c>
      <c r="T42" s="61">
        <f t="shared" si="21"/>
        <v>1.0416016965009668E-2</v>
      </c>
      <c r="U42" s="62">
        <f t="shared" si="22"/>
        <v>-8.0999999999999961E-3</v>
      </c>
      <c r="V42" s="63">
        <f t="shared" si="23"/>
        <v>-8.0999999999999961E-3</v>
      </c>
    </row>
    <row r="43" spans="1:22">
      <c r="A43" s="161">
        <v>35</v>
      </c>
      <c r="B43" s="148" t="s">
        <v>74</v>
      </c>
      <c r="C43" s="147" t="s">
        <v>75</v>
      </c>
      <c r="D43" s="50">
        <v>1445305416.5599999</v>
      </c>
      <c r="E43" s="34">
        <v>0</v>
      </c>
      <c r="F43" s="40">
        <v>1000</v>
      </c>
      <c r="G43" s="40">
        <v>1000</v>
      </c>
      <c r="H43" s="35">
        <v>102</v>
      </c>
      <c r="I43" s="56">
        <v>0.1799</v>
      </c>
      <c r="J43" s="56">
        <v>0.1799</v>
      </c>
      <c r="K43" s="50">
        <v>1463218275.8499999</v>
      </c>
      <c r="L43" s="34">
        <f t="shared" si="36"/>
        <v>2.6234860875126129E-4</v>
      </c>
      <c r="M43" s="40">
        <v>1000</v>
      </c>
      <c r="N43" s="40">
        <v>1000</v>
      </c>
      <c r="O43" s="35">
        <v>102</v>
      </c>
      <c r="P43" s="56">
        <v>0.1789</v>
      </c>
      <c r="Q43" s="56">
        <v>0.1789</v>
      </c>
      <c r="R43" s="61">
        <f t="shared" si="19"/>
        <v>1.2393822845163559E-2</v>
      </c>
      <c r="S43" s="61">
        <f t="shared" si="20"/>
        <v>0</v>
      </c>
      <c r="T43" s="61">
        <f t="shared" si="21"/>
        <v>0</v>
      </c>
      <c r="U43" s="62">
        <f t="shared" si="22"/>
        <v>-1.0000000000000009E-3</v>
      </c>
      <c r="V43" s="63">
        <f t="shared" si="23"/>
        <v>-1.0000000000000009E-3</v>
      </c>
    </row>
    <row r="44" spans="1:22">
      <c r="A44" s="161">
        <v>36</v>
      </c>
      <c r="B44" s="148" t="s">
        <v>76</v>
      </c>
      <c r="C44" s="147" t="s">
        <v>77</v>
      </c>
      <c r="D44" s="50">
        <v>88310169544.690002</v>
      </c>
      <c r="E44" s="34">
        <f t="shared" ref="E44:E52" si="37">(D44/$K$76)</f>
        <v>1.5833625441275225E-2</v>
      </c>
      <c r="F44" s="51">
        <v>100</v>
      </c>
      <c r="G44" s="51">
        <v>100</v>
      </c>
      <c r="H44" s="35">
        <v>4863</v>
      </c>
      <c r="I44" s="56">
        <v>0.1565</v>
      </c>
      <c r="J44" s="56">
        <v>0.1565</v>
      </c>
      <c r="K44" s="50">
        <v>87864516652.710007</v>
      </c>
      <c r="L44" s="34">
        <f t="shared" si="36"/>
        <v>1.5753721835554468E-2</v>
      </c>
      <c r="M44" s="51">
        <v>100</v>
      </c>
      <c r="N44" s="51">
        <v>100</v>
      </c>
      <c r="O44" s="35">
        <v>4863</v>
      </c>
      <c r="P44" s="56">
        <v>0.15959999999999999</v>
      </c>
      <c r="Q44" s="56">
        <v>0.15959999999999999</v>
      </c>
      <c r="R44" s="61">
        <f t="shared" si="19"/>
        <v>-5.0464504176324773E-3</v>
      </c>
      <c r="S44" s="61">
        <f t="shared" si="20"/>
        <v>0</v>
      </c>
      <c r="T44" s="61">
        <f t="shared" si="21"/>
        <v>0</v>
      </c>
      <c r="U44" s="62">
        <f t="shared" si="22"/>
        <v>3.0999999999999917E-3</v>
      </c>
      <c r="V44" s="63">
        <f t="shared" si="23"/>
        <v>3.0999999999999917E-3</v>
      </c>
    </row>
    <row r="45" spans="1:22">
      <c r="A45" s="161">
        <v>37</v>
      </c>
      <c r="B45" s="148" t="s">
        <v>78</v>
      </c>
      <c r="C45" s="147" t="s">
        <v>77</v>
      </c>
      <c r="D45" s="50">
        <v>10434553854.030001</v>
      </c>
      <c r="E45" s="34">
        <f t="shared" si="37"/>
        <v>1.8708696656721592E-3</v>
      </c>
      <c r="F45" s="51">
        <v>1000000</v>
      </c>
      <c r="G45" s="51">
        <v>1000000</v>
      </c>
      <c r="H45" s="35">
        <v>46</v>
      </c>
      <c r="I45" s="56">
        <v>0.15559999999999999</v>
      </c>
      <c r="J45" s="56">
        <v>0.15559999999999999</v>
      </c>
      <c r="K45" s="50">
        <v>10423861898.18</v>
      </c>
      <c r="L45" s="34">
        <f t="shared" si="36"/>
        <v>1.86895264495941E-3</v>
      </c>
      <c r="M45" s="51">
        <v>1000000</v>
      </c>
      <c r="N45" s="51">
        <v>1000000</v>
      </c>
      <c r="O45" s="35">
        <v>46</v>
      </c>
      <c r="P45" s="56">
        <v>0.16109999999999999</v>
      </c>
      <c r="Q45" s="56">
        <v>0.16109999999999999</v>
      </c>
      <c r="R45" s="61">
        <f t="shared" si="19"/>
        <v>-1.0246682320654244E-3</v>
      </c>
      <c r="S45" s="61">
        <f t="shared" si="20"/>
        <v>0</v>
      </c>
      <c r="T45" s="61">
        <f t="shared" si="21"/>
        <v>0</v>
      </c>
      <c r="U45" s="62">
        <f t="shared" si="22"/>
        <v>5.5000000000000049E-3</v>
      </c>
      <c r="V45" s="63">
        <f t="shared" si="23"/>
        <v>5.5000000000000049E-3</v>
      </c>
    </row>
    <row r="46" spans="1:22">
      <c r="A46" s="161">
        <v>38</v>
      </c>
      <c r="B46" s="148" t="s">
        <v>79</v>
      </c>
      <c r="C46" s="147" t="s">
        <v>80</v>
      </c>
      <c r="D46" s="50">
        <v>8183597851.3599997</v>
      </c>
      <c r="E46" s="34">
        <f t="shared" si="37"/>
        <v>1.467283143136602E-3</v>
      </c>
      <c r="F46" s="40">
        <v>1</v>
      </c>
      <c r="G46" s="40">
        <v>1</v>
      </c>
      <c r="H46" s="35">
        <v>1225</v>
      </c>
      <c r="I46" s="56">
        <v>0.18210000000000001</v>
      </c>
      <c r="J46" s="56">
        <v>0.18210000000000001</v>
      </c>
      <c r="K46" s="50">
        <v>8100779954.1499996</v>
      </c>
      <c r="L46" s="34">
        <f t="shared" si="36"/>
        <v>1.4524342579966681E-3</v>
      </c>
      <c r="M46" s="40">
        <v>1</v>
      </c>
      <c r="N46" s="40">
        <v>1</v>
      </c>
      <c r="O46" s="35">
        <v>1239</v>
      </c>
      <c r="P46" s="56">
        <v>0.1842</v>
      </c>
      <c r="Q46" s="56">
        <v>0.1842</v>
      </c>
      <c r="R46" s="61">
        <f t="shared" si="19"/>
        <v>-1.0119986186300303E-2</v>
      </c>
      <c r="S46" s="61">
        <f t="shared" si="20"/>
        <v>0</v>
      </c>
      <c r="T46" s="61">
        <f t="shared" si="21"/>
        <v>1.1428571428571429E-2</v>
      </c>
      <c r="U46" s="62">
        <f t="shared" si="22"/>
        <v>2.0999999999999908E-3</v>
      </c>
      <c r="V46" s="63">
        <f t="shared" si="23"/>
        <v>2.0999999999999908E-3</v>
      </c>
    </row>
    <row r="47" spans="1:22">
      <c r="A47" s="161">
        <v>39</v>
      </c>
      <c r="B47" s="148" t="s">
        <v>81</v>
      </c>
      <c r="C47" s="147" t="s">
        <v>82</v>
      </c>
      <c r="D47" s="50">
        <v>723103922555.64001</v>
      </c>
      <c r="E47" s="34">
        <f t="shared" si="37"/>
        <v>0.12964935662442434</v>
      </c>
      <c r="F47" s="40">
        <v>100</v>
      </c>
      <c r="G47" s="40">
        <v>100</v>
      </c>
      <c r="H47" s="35">
        <v>40471</v>
      </c>
      <c r="I47" s="56">
        <v>0.16500000000000001</v>
      </c>
      <c r="J47" s="56">
        <v>0.16500000000000001</v>
      </c>
      <c r="K47" s="50">
        <v>748671698003.03003</v>
      </c>
      <c r="L47" s="34">
        <f t="shared" si="36"/>
        <v>0.13423354643957061</v>
      </c>
      <c r="M47" s="40">
        <v>100</v>
      </c>
      <c r="N47" s="40">
        <v>100</v>
      </c>
      <c r="O47" s="35">
        <v>40700</v>
      </c>
      <c r="P47" s="56">
        <v>0.16059999999999999</v>
      </c>
      <c r="Q47" s="56">
        <v>0.16059999999999999</v>
      </c>
      <c r="R47" s="61">
        <f t="shared" si="19"/>
        <v>3.5358369177457577E-2</v>
      </c>
      <c r="S47" s="61">
        <f t="shared" si="20"/>
        <v>0</v>
      </c>
      <c r="T47" s="61">
        <f t="shared" si="21"/>
        <v>5.6583726619060561E-3</v>
      </c>
      <c r="U47" s="62">
        <f t="shared" si="22"/>
        <v>-4.400000000000015E-3</v>
      </c>
      <c r="V47" s="63">
        <f t="shared" si="23"/>
        <v>-4.400000000000015E-3</v>
      </c>
    </row>
    <row r="48" spans="1:22">
      <c r="A48" s="161">
        <v>40</v>
      </c>
      <c r="B48" s="148" t="s">
        <v>83</v>
      </c>
      <c r="C48" s="147" t="s">
        <v>84</v>
      </c>
      <c r="D48" s="54">
        <v>5779626941.21</v>
      </c>
      <c r="E48" s="34">
        <f t="shared" si="37"/>
        <v>1.0362617199043179E-3</v>
      </c>
      <c r="F48" s="40">
        <v>1</v>
      </c>
      <c r="G48" s="40">
        <v>1</v>
      </c>
      <c r="H48" s="52">
        <v>2195</v>
      </c>
      <c r="I48" s="59">
        <v>0.16289999999999999</v>
      </c>
      <c r="J48" s="59">
        <v>0.16289999999999999</v>
      </c>
      <c r="K48" s="54">
        <v>5434661401.9200001</v>
      </c>
      <c r="L48" s="34">
        <f t="shared" si="36"/>
        <v>9.7441091418820765E-4</v>
      </c>
      <c r="M48" s="40">
        <v>1</v>
      </c>
      <c r="N48" s="40">
        <v>1</v>
      </c>
      <c r="O48" s="52">
        <v>2215</v>
      </c>
      <c r="P48" s="59">
        <v>0.17499999999999999</v>
      </c>
      <c r="Q48" s="59">
        <v>0.17499999999999999</v>
      </c>
      <c r="R48" s="61">
        <f t="shared" si="19"/>
        <v>-5.968647160084338E-2</v>
      </c>
      <c r="S48" s="61">
        <f t="shared" si="20"/>
        <v>0</v>
      </c>
      <c r="T48" s="61">
        <f t="shared" si="21"/>
        <v>9.1116173120728925E-3</v>
      </c>
      <c r="U48" s="62">
        <f t="shared" si="22"/>
        <v>1.21E-2</v>
      </c>
      <c r="V48" s="63">
        <f t="shared" si="23"/>
        <v>1.21E-2</v>
      </c>
    </row>
    <row r="49" spans="1:22">
      <c r="A49" s="161">
        <v>41</v>
      </c>
      <c r="B49" s="148" t="s">
        <v>85</v>
      </c>
      <c r="C49" s="147" t="s">
        <v>86</v>
      </c>
      <c r="D49" s="50">
        <v>4412477815.7799997</v>
      </c>
      <c r="E49" s="34">
        <f t="shared" si="37"/>
        <v>7.9113788777906025E-4</v>
      </c>
      <c r="F49" s="40">
        <v>1</v>
      </c>
      <c r="G49" s="40">
        <v>1</v>
      </c>
      <c r="H49" s="52">
        <v>692</v>
      </c>
      <c r="I49" s="59">
        <v>0.17</v>
      </c>
      <c r="J49" s="59">
        <v>0.17</v>
      </c>
      <c r="K49" s="50">
        <v>4606020815.5799999</v>
      </c>
      <c r="L49" s="34">
        <f>(K49/$K$76)</f>
        <v>8.2583929738357022E-4</v>
      </c>
      <c r="M49" s="40">
        <v>1</v>
      </c>
      <c r="N49" s="40">
        <v>1</v>
      </c>
      <c r="O49" s="52">
        <v>761</v>
      </c>
      <c r="P49" s="59">
        <v>0.16</v>
      </c>
      <c r="Q49" s="59">
        <v>0.16</v>
      </c>
      <c r="R49" s="61">
        <f t="shared" si="19"/>
        <v>4.3862656738544378E-2</v>
      </c>
      <c r="S49" s="61">
        <f t="shared" si="20"/>
        <v>0</v>
      </c>
      <c r="T49" s="61">
        <f t="shared" si="21"/>
        <v>9.9710982658959543E-2</v>
      </c>
      <c r="U49" s="62">
        <f t="shared" si="22"/>
        <v>-1.0000000000000009E-2</v>
      </c>
      <c r="V49" s="63">
        <f t="shared" si="23"/>
        <v>-1.0000000000000009E-2</v>
      </c>
    </row>
    <row r="50" spans="1:22">
      <c r="A50" s="161">
        <v>42</v>
      </c>
      <c r="B50" s="148" t="s">
        <v>87</v>
      </c>
      <c r="C50" s="147" t="s">
        <v>88</v>
      </c>
      <c r="D50" s="50">
        <v>8498998.5899999999</v>
      </c>
      <c r="E50" s="34">
        <f t="shared" si="37"/>
        <v>1.5238331099781908E-6</v>
      </c>
      <c r="F50" s="40">
        <v>1</v>
      </c>
      <c r="G50" s="40">
        <v>1</v>
      </c>
      <c r="H50" s="52">
        <v>24</v>
      </c>
      <c r="I50" s="59">
        <v>0.105</v>
      </c>
      <c r="J50" s="59">
        <v>0.105</v>
      </c>
      <c r="K50" s="50">
        <v>8498998.5899999999</v>
      </c>
      <c r="L50" s="34">
        <f t="shared" si="36"/>
        <v>1.5238331099781908E-6</v>
      </c>
      <c r="M50" s="40">
        <v>1</v>
      </c>
      <c r="N50" s="40">
        <v>1</v>
      </c>
      <c r="O50" s="52">
        <v>24</v>
      </c>
      <c r="P50" s="59">
        <v>0.105</v>
      </c>
      <c r="Q50" s="59">
        <v>0.105</v>
      </c>
      <c r="R50" s="61">
        <f t="shared" si="19"/>
        <v>0</v>
      </c>
      <c r="S50" s="61">
        <f t="shared" si="20"/>
        <v>0</v>
      </c>
      <c r="T50" s="61">
        <f t="shared" si="21"/>
        <v>0</v>
      </c>
      <c r="U50" s="62">
        <f t="shared" si="22"/>
        <v>0</v>
      </c>
      <c r="V50" s="63">
        <f t="shared" si="23"/>
        <v>0</v>
      </c>
    </row>
    <row r="51" spans="1:22">
      <c r="A51" s="161">
        <v>43</v>
      </c>
      <c r="B51" s="148" t="s">
        <v>89</v>
      </c>
      <c r="C51" s="147" t="s">
        <v>90</v>
      </c>
      <c r="D51" s="50">
        <v>1980310082.72</v>
      </c>
      <c r="E51" s="34">
        <f t="shared" si="37"/>
        <v>3.5506089807133218E-4</v>
      </c>
      <c r="F51" s="40">
        <v>10</v>
      </c>
      <c r="G51" s="40">
        <v>10</v>
      </c>
      <c r="H51" s="35">
        <v>564</v>
      </c>
      <c r="I51" s="56">
        <v>0.16500000000000001</v>
      </c>
      <c r="J51" s="56">
        <v>0.16500000000000001</v>
      </c>
      <c r="K51" s="50">
        <v>2044788001.95</v>
      </c>
      <c r="L51" s="34">
        <f t="shared" si="36"/>
        <v>3.6662150572936607E-4</v>
      </c>
      <c r="M51" s="40">
        <v>10</v>
      </c>
      <c r="N51" s="40">
        <v>10</v>
      </c>
      <c r="O51" s="35">
        <v>559</v>
      </c>
      <c r="P51" s="56">
        <v>0.1686</v>
      </c>
      <c r="Q51" s="56">
        <v>0.1686</v>
      </c>
      <c r="R51" s="61">
        <f t="shared" si="19"/>
        <v>3.2559506610923356E-2</v>
      </c>
      <c r="S51" s="61">
        <f t="shared" si="20"/>
        <v>0</v>
      </c>
      <c r="T51" s="61">
        <f t="shared" si="21"/>
        <v>-8.8652482269503553E-3</v>
      </c>
      <c r="U51" s="62">
        <f t="shared" si="22"/>
        <v>3.5999999999999921E-3</v>
      </c>
      <c r="V51" s="63">
        <f t="shared" si="23"/>
        <v>3.5999999999999921E-3</v>
      </c>
    </row>
    <row r="52" spans="1:22">
      <c r="A52" s="161">
        <v>44</v>
      </c>
      <c r="B52" s="148" t="s">
        <v>91</v>
      </c>
      <c r="C52" s="147" t="s">
        <v>92</v>
      </c>
      <c r="D52" s="50">
        <v>11808383465.030001</v>
      </c>
      <c r="E52" s="34">
        <f t="shared" si="37"/>
        <v>2.1171912795118738E-3</v>
      </c>
      <c r="F52" s="40">
        <v>100</v>
      </c>
      <c r="G52" s="40">
        <v>100</v>
      </c>
      <c r="H52" s="35">
        <v>1051</v>
      </c>
      <c r="I52" s="56">
        <v>0.18340000000000001</v>
      </c>
      <c r="J52" s="56">
        <v>0.18340000000000001</v>
      </c>
      <c r="K52" s="50">
        <v>12325856073.93</v>
      </c>
      <c r="L52" s="34">
        <f t="shared" si="36"/>
        <v>2.2099718449630104E-3</v>
      </c>
      <c r="M52" s="40">
        <v>100</v>
      </c>
      <c r="N52" s="40">
        <v>100</v>
      </c>
      <c r="O52" s="35">
        <v>1056</v>
      </c>
      <c r="P52" s="56">
        <v>0.18679999999999999</v>
      </c>
      <c r="Q52" s="56">
        <v>0.18679999999999999</v>
      </c>
      <c r="R52" s="61">
        <f t="shared" si="19"/>
        <v>4.3822476669433341E-2</v>
      </c>
      <c r="S52" s="61">
        <f t="shared" si="20"/>
        <v>0</v>
      </c>
      <c r="T52" s="61">
        <f t="shared" si="21"/>
        <v>4.7573739295908657E-3</v>
      </c>
      <c r="U52" s="62">
        <f t="shared" si="22"/>
        <v>3.3999999999999864E-3</v>
      </c>
      <c r="V52" s="63">
        <f t="shared" si="23"/>
        <v>3.3999999999999864E-3</v>
      </c>
    </row>
    <row r="53" spans="1:22">
      <c r="A53" s="161">
        <v>45</v>
      </c>
      <c r="B53" s="148" t="s">
        <v>93</v>
      </c>
      <c r="C53" s="148" t="s">
        <v>94</v>
      </c>
      <c r="D53" s="53">
        <v>222118034.03999999</v>
      </c>
      <c r="E53" s="34">
        <v>0</v>
      </c>
      <c r="F53" s="33">
        <v>1</v>
      </c>
      <c r="G53" s="33">
        <v>1</v>
      </c>
      <c r="H53" s="35">
        <v>144</v>
      </c>
      <c r="I53" s="56">
        <v>0.15559999999999999</v>
      </c>
      <c r="J53" s="56">
        <v>0.15559999999999999</v>
      </c>
      <c r="K53" s="53">
        <v>229436653.90000001</v>
      </c>
      <c r="L53" s="60">
        <f>(K53/$K$202)</f>
        <v>1.8813986229847431E-3</v>
      </c>
      <c r="M53" s="33">
        <v>1</v>
      </c>
      <c r="N53" s="33">
        <v>1</v>
      </c>
      <c r="O53" s="35">
        <v>144</v>
      </c>
      <c r="P53" s="56">
        <v>0.14660000000000001</v>
      </c>
      <c r="Q53" s="56">
        <v>0.14660000000000001</v>
      </c>
      <c r="R53" s="62">
        <f t="shared" si="19"/>
        <v>3.2949237515230503E-2</v>
      </c>
      <c r="S53" s="62">
        <f t="shared" si="20"/>
        <v>0</v>
      </c>
      <c r="T53" s="62">
        <f t="shared" si="21"/>
        <v>0</v>
      </c>
      <c r="U53" s="62">
        <f t="shared" si="22"/>
        <v>-8.9999999999999802E-3</v>
      </c>
      <c r="V53" s="63">
        <f t="shared" si="23"/>
        <v>-8.9999999999999802E-3</v>
      </c>
    </row>
    <row r="54" spans="1:22">
      <c r="A54" s="161">
        <v>46</v>
      </c>
      <c r="B54" s="148" t="s">
        <v>95</v>
      </c>
      <c r="C54" s="147" t="s">
        <v>36</v>
      </c>
      <c r="D54" s="50">
        <v>2270857116.8899999</v>
      </c>
      <c r="E54" s="34">
        <f t="shared" ref="E54:E75" si="38">(D54/$K$76)</f>
        <v>4.0715470488701379E-4</v>
      </c>
      <c r="F54" s="40">
        <v>100</v>
      </c>
      <c r="G54" s="40">
        <v>100</v>
      </c>
      <c r="H54" s="35">
        <v>8158</v>
      </c>
      <c r="I54" s="56">
        <v>0.1542</v>
      </c>
      <c r="J54" s="56">
        <v>0.1542</v>
      </c>
      <c r="K54" s="50">
        <v>2341582415.6900001</v>
      </c>
      <c r="L54" s="34">
        <f t="shared" ref="L54:L67" si="39">(K54/$K$76)</f>
        <v>4.1983544025639581E-4</v>
      </c>
      <c r="M54" s="40">
        <v>100</v>
      </c>
      <c r="N54" s="40">
        <v>100</v>
      </c>
      <c r="O54" s="35">
        <v>8983</v>
      </c>
      <c r="P54" s="56">
        <v>0.14510000000000001</v>
      </c>
      <c r="Q54" s="56">
        <v>0.14510000000000001</v>
      </c>
      <c r="R54" s="61">
        <f t="shared" ref="R54" si="40">((K54-D54)/D54)</f>
        <v>3.1144759515675913E-2</v>
      </c>
      <c r="S54" s="61">
        <f t="shared" ref="S54" si="41">((N54-G54)/G54)</f>
        <v>0</v>
      </c>
      <c r="T54" s="61">
        <f t="shared" ref="T54" si="42">((O54-H54)/H54)</f>
        <v>0.10112772738416279</v>
      </c>
      <c r="U54" s="62">
        <f t="shared" ref="U54" si="43">P54-I54</f>
        <v>-9.099999999999997E-3</v>
      </c>
      <c r="V54" s="63">
        <f t="shared" ref="V54" si="44">Q54-J54</f>
        <v>-9.099999999999997E-3</v>
      </c>
    </row>
    <row r="55" spans="1:22">
      <c r="A55" s="161">
        <v>47</v>
      </c>
      <c r="B55" s="148" t="s">
        <v>96</v>
      </c>
      <c r="C55" s="147" t="s">
        <v>36</v>
      </c>
      <c r="D55" s="50">
        <v>381280970264.31</v>
      </c>
      <c r="E55" s="34">
        <f t="shared" si="38"/>
        <v>6.8362002951381312E-2</v>
      </c>
      <c r="F55" s="40">
        <v>100</v>
      </c>
      <c r="G55" s="40">
        <v>100</v>
      </c>
      <c r="H55" s="35">
        <v>36476</v>
      </c>
      <c r="I55" s="56">
        <v>0.1729</v>
      </c>
      <c r="J55" s="56">
        <v>0.1729</v>
      </c>
      <c r="K55" s="50">
        <v>426719414867.09003</v>
      </c>
      <c r="L55" s="34">
        <f t="shared" si="39"/>
        <v>7.6508916451648881E-2</v>
      </c>
      <c r="M55" s="40">
        <v>100</v>
      </c>
      <c r="N55" s="40">
        <v>100</v>
      </c>
      <c r="O55" s="35">
        <v>39179</v>
      </c>
      <c r="P55" s="56">
        <v>0.16569999999999999</v>
      </c>
      <c r="Q55" s="56">
        <v>0.16569999999999999</v>
      </c>
      <c r="R55" s="61">
        <f t="shared" si="19"/>
        <v>0.1191731246678306</v>
      </c>
      <c r="S55" s="61">
        <f t="shared" si="20"/>
        <v>0</v>
      </c>
      <c r="T55" s="61">
        <f t="shared" si="21"/>
        <v>7.4103520122820482E-2</v>
      </c>
      <c r="U55" s="62">
        <f t="shared" si="22"/>
        <v>-7.2000000000000119E-3</v>
      </c>
      <c r="V55" s="63">
        <f t="shared" si="23"/>
        <v>-7.2000000000000119E-3</v>
      </c>
    </row>
    <row r="56" spans="1:22">
      <c r="A56" s="161">
        <v>48</v>
      </c>
      <c r="B56" s="148" t="s">
        <v>97</v>
      </c>
      <c r="C56" s="147" t="s">
        <v>40</v>
      </c>
      <c r="D56" s="50">
        <v>60621410160.400002</v>
      </c>
      <c r="E56" s="34">
        <f t="shared" si="38"/>
        <v>1.0869152524001752E-2</v>
      </c>
      <c r="F56" s="40">
        <v>1</v>
      </c>
      <c r="G56" s="40">
        <v>1</v>
      </c>
      <c r="H56" s="35">
        <v>3482</v>
      </c>
      <c r="I56" s="56">
        <v>0.16159999999999999</v>
      </c>
      <c r="J56" s="56">
        <v>0.16159999999999999</v>
      </c>
      <c r="K56" s="50">
        <v>64294240470.040001</v>
      </c>
      <c r="L56" s="34">
        <f t="shared" si="39"/>
        <v>1.1527674863297831E-2</v>
      </c>
      <c r="M56" s="40">
        <v>1</v>
      </c>
      <c r="N56" s="40">
        <v>1</v>
      </c>
      <c r="O56" s="35">
        <v>3520</v>
      </c>
      <c r="P56" s="56">
        <v>0.1613</v>
      </c>
      <c r="Q56" s="56">
        <v>0.1613</v>
      </c>
      <c r="R56" s="61">
        <f t="shared" si="19"/>
        <v>6.0586355545374941E-2</v>
      </c>
      <c r="S56" s="61">
        <f t="shared" si="20"/>
        <v>0</v>
      </c>
      <c r="T56" s="61">
        <f t="shared" si="21"/>
        <v>1.0913268236645606E-2</v>
      </c>
      <c r="U56" s="62">
        <f t="shared" si="22"/>
        <v>-2.9999999999999472E-4</v>
      </c>
      <c r="V56" s="63">
        <f t="shared" si="23"/>
        <v>-2.9999999999999472E-4</v>
      </c>
    </row>
    <row r="57" spans="1:22">
      <c r="A57" s="161">
        <v>49</v>
      </c>
      <c r="B57" s="148" t="s">
        <v>98</v>
      </c>
      <c r="C57" s="147" t="s">
        <v>99</v>
      </c>
      <c r="D57" s="50">
        <v>5995916280.7159996</v>
      </c>
      <c r="E57" s="34">
        <f t="shared" si="38"/>
        <v>1.0750414482904778E-3</v>
      </c>
      <c r="F57" s="40">
        <v>100</v>
      </c>
      <c r="G57" s="40">
        <v>100</v>
      </c>
      <c r="H57" s="35">
        <v>969</v>
      </c>
      <c r="I57" s="56">
        <v>0.17080000000000001</v>
      </c>
      <c r="J57" s="56">
        <v>0.17080000000000001</v>
      </c>
      <c r="K57" s="50">
        <v>5937714336.5279999</v>
      </c>
      <c r="L57" s="34">
        <f t="shared" si="39"/>
        <v>1.0646060953862979E-3</v>
      </c>
      <c r="M57" s="40">
        <v>100</v>
      </c>
      <c r="N57" s="40">
        <v>100</v>
      </c>
      <c r="O57" s="35">
        <v>969</v>
      </c>
      <c r="P57" s="56">
        <v>0.16450000000000001</v>
      </c>
      <c r="Q57" s="56">
        <v>0.16450000000000001</v>
      </c>
      <c r="R57" s="61">
        <f t="shared" si="19"/>
        <v>-9.7069307613897454E-3</v>
      </c>
      <c r="S57" s="61">
        <f t="shared" si="20"/>
        <v>0</v>
      </c>
      <c r="T57" s="61">
        <f t="shared" si="21"/>
        <v>0</v>
      </c>
      <c r="U57" s="62">
        <f t="shared" si="22"/>
        <v>-6.3E-3</v>
      </c>
      <c r="V57" s="63">
        <f t="shared" si="23"/>
        <v>-6.3E-3</v>
      </c>
    </row>
    <row r="58" spans="1:22">
      <c r="A58" s="161">
        <v>50</v>
      </c>
      <c r="B58" s="148" t="s">
        <v>100</v>
      </c>
      <c r="C58" s="147" t="s">
        <v>42</v>
      </c>
      <c r="D58" s="54">
        <v>103444141763.73</v>
      </c>
      <c r="E58" s="34">
        <f t="shared" si="38"/>
        <v>1.8547080174636143E-2</v>
      </c>
      <c r="F58" s="40">
        <v>10</v>
      </c>
      <c r="G58" s="40">
        <v>10</v>
      </c>
      <c r="H58" s="35">
        <v>7708</v>
      </c>
      <c r="I58" s="56">
        <v>0.17069999999999999</v>
      </c>
      <c r="J58" s="56">
        <v>0.17069999999999999</v>
      </c>
      <c r="K58" s="54">
        <v>101831764775.42</v>
      </c>
      <c r="L58" s="34">
        <f t="shared" si="39"/>
        <v>1.8257988064014474E-2</v>
      </c>
      <c r="M58" s="40">
        <v>10</v>
      </c>
      <c r="N58" s="40">
        <v>10</v>
      </c>
      <c r="O58" s="35">
        <v>7724</v>
      </c>
      <c r="P58" s="56">
        <v>0.16669999999999999</v>
      </c>
      <c r="Q58" s="56">
        <v>0.16669999999999999</v>
      </c>
      <c r="R58" s="61">
        <f t="shared" si="19"/>
        <v>-1.5586933786861729E-2</v>
      </c>
      <c r="S58" s="61">
        <f t="shared" si="20"/>
        <v>0</v>
      </c>
      <c r="T58" s="61">
        <f t="shared" si="21"/>
        <v>2.0757654385054488E-3</v>
      </c>
      <c r="U58" s="62">
        <f t="shared" si="22"/>
        <v>-4.0000000000000036E-3</v>
      </c>
      <c r="V58" s="63">
        <f t="shared" si="23"/>
        <v>-4.0000000000000036E-3</v>
      </c>
    </row>
    <row r="59" spans="1:22">
      <c r="A59" s="161">
        <v>51</v>
      </c>
      <c r="B59" s="148" t="s">
        <v>342</v>
      </c>
      <c r="C59" s="147" t="s">
        <v>341</v>
      </c>
      <c r="D59" s="54">
        <v>0</v>
      </c>
      <c r="E59" s="34">
        <f t="shared" si="38"/>
        <v>0</v>
      </c>
      <c r="F59" s="40">
        <v>0</v>
      </c>
      <c r="G59" s="40">
        <v>0</v>
      </c>
      <c r="H59" s="35">
        <v>0</v>
      </c>
      <c r="I59" s="56">
        <v>0</v>
      </c>
      <c r="J59" s="56">
        <v>0</v>
      </c>
      <c r="K59" s="54">
        <v>542444807.08000004</v>
      </c>
      <c r="L59" s="34">
        <f t="shared" si="39"/>
        <v>9.7257970878688677E-5</v>
      </c>
      <c r="M59" s="40">
        <v>1</v>
      </c>
      <c r="N59" s="40">
        <v>1</v>
      </c>
      <c r="O59" s="35">
        <v>236</v>
      </c>
      <c r="P59" s="56">
        <v>0.2019</v>
      </c>
      <c r="Q59" s="56">
        <v>0.2019</v>
      </c>
      <c r="R59" s="61" t="e">
        <f t="shared" ref="R59" si="45">((K59-D59)/D59)</f>
        <v>#DIV/0!</v>
      </c>
      <c r="S59" s="61" t="e">
        <f t="shared" ref="S59" si="46">((N59-G59)/G59)</f>
        <v>#DIV/0!</v>
      </c>
      <c r="T59" s="61" t="e">
        <f t="shared" ref="T59" si="47">((O59-H59)/H59)</f>
        <v>#DIV/0!</v>
      </c>
      <c r="U59" s="62">
        <f t="shared" ref="U59" si="48">P59-I59</f>
        <v>0.2019</v>
      </c>
      <c r="V59" s="63">
        <f t="shared" ref="V59" si="49">Q59-J59</f>
        <v>0.2019</v>
      </c>
    </row>
    <row r="60" spans="1:22">
      <c r="A60" s="161">
        <v>52</v>
      </c>
      <c r="B60" s="148" t="s">
        <v>101</v>
      </c>
      <c r="C60" s="147" t="s">
        <v>102</v>
      </c>
      <c r="D60" s="50">
        <v>39753115774</v>
      </c>
      <c r="E60" s="34">
        <f t="shared" si="38"/>
        <v>7.1275590176580429E-3</v>
      </c>
      <c r="F60" s="40">
        <v>100</v>
      </c>
      <c r="G60" s="40">
        <v>100</v>
      </c>
      <c r="H60" s="35">
        <v>6124</v>
      </c>
      <c r="I60" s="56">
        <v>0.17899999999999999</v>
      </c>
      <c r="J60" s="56">
        <v>0.17899999999999999</v>
      </c>
      <c r="K60" s="50">
        <v>43078800182</v>
      </c>
      <c r="L60" s="34">
        <f t="shared" si="39"/>
        <v>7.7238396218472739E-3</v>
      </c>
      <c r="M60" s="40">
        <v>100</v>
      </c>
      <c r="N60" s="40">
        <v>100</v>
      </c>
      <c r="O60" s="35">
        <v>6175</v>
      </c>
      <c r="P60" s="56">
        <v>0.16830000000000001</v>
      </c>
      <c r="Q60" s="56">
        <v>0.16830000000000001</v>
      </c>
      <c r="R60" s="61">
        <f t="shared" si="19"/>
        <v>8.3658459047758968E-2</v>
      </c>
      <c r="S60" s="61">
        <f t="shared" si="20"/>
        <v>0</v>
      </c>
      <c r="T60" s="61">
        <f t="shared" si="21"/>
        <v>8.327890267798824E-3</v>
      </c>
      <c r="U60" s="62">
        <f t="shared" si="22"/>
        <v>-1.0699999999999987E-2</v>
      </c>
      <c r="V60" s="63">
        <f t="shared" si="23"/>
        <v>-1.0699999999999987E-2</v>
      </c>
    </row>
    <row r="61" spans="1:22">
      <c r="A61" s="161">
        <v>53</v>
      </c>
      <c r="B61" s="148" t="s">
        <v>103</v>
      </c>
      <c r="C61" s="147" t="s">
        <v>104</v>
      </c>
      <c r="D61" s="50">
        <v>193232232.38</v>
      </c>
      <c r="E61" s="34">
        <f t="shared" si="38"/>
        <v>3.4645690371345721E-5</v>
      </c>
      <c r="F61" s="40">
        <v>1.01</v>
      </c>
      <c r="G61" s="40">
        <v>1.01</v>
      </c>
      <c r="H61" s="35">
        <v>96</v>
      </c>
      <c r="I61" s="56">
        <v>6.9599999999999995E-2</v>
      </c>
      <c r="J61" s="56">
        <v>6.9599999999999995E-2</v>
      </c>
      <c r="K61" s="50">
        <v>195292885.61000001</v>
      </c>
      <c r="L61" s="34">
        <f t="shared" si="39"/>
        <v>3.5015156442766439E-5</v>
      </c>
      <c r="M61" s="40">
        <v>1.01</v>
      </c>
      <c r="N61" s="40">
        <v>1.01</v>
      </c>
      <c r="O61" s="35">
        <v>97</v>
      </c>
      <c r="P61" s="56">
        <v>7.9100000000000004E-2</v>
      </c>
      <c r="Q61" s="56">
        <v>7.9100000000000004E-2</v>
      </c>
      <c r="R61" s="61">
        <f t="shared" si="19"/>
        <v>1.0664127845646633E-2</v>
      </c>
      <c r="S61" s="61">
        <f t="shared" si="20"/>
        <v>0</v>
      </c>
      <c r="T61" s="61">
        <f t="shared" si="21"/>
        <v>1.0416666666666666E-2</v>
      </c>
      <c r="U61" s="62">
        <f t="shared" si="22"/>
        <v>9.5000000000000084E-3</v>
      </c>
      <c r="V61" s="63">
        <f t="shared" si="23"/>
        <v>9.5000000000000084E-3</v>
      </c>
    </row>
    <row r="62" spans="1:22">
      <c r="A62" s="161">
        <v>54</v>
      </c>
      <c r="B62" s="148" t="s">
        <v>105</v>
      </c>
      <c r="C62" s="147" t="s">
        <v>44</v>
      </c>
      <c r="D62" s="54">
        <v>2885912308.5</v>
      </c>
      <c r="E62" s="34">
        <f t="shared" si="38"/>
        <v>5.1743139872504609E-4</v>
      </c>
      <c r="F62" s="40">
        <v>10</v>
      </c>
      <c r="G62" s="40">
        <v>10</v>
      </c>
      <c r="H62" s="35">
        <v>982</v>
      </c>
      <c r="I62" s="56">
        <v>0.1479</v>
      </c>
      <c r="J62" s="56">
        <v>0.1479</v>
      </c>
      <c r="K62" s="54">
        <v>2942007313.9499998</v>
      </c>
      <c r="L62" s="34">
        <f t="shared" si="39"/>
        <v>5.2748898676955908E-4</v>
      </c>
      <c r="M62" s="40">
        <v>10</v>
      </c>
      <c r="N62" s="40">
        <v>10</v>
      </c>
      <c r="O62" s="35">
        <v>982</v>
      </c>
      <c r="P62" s="56">
        <v>0.15939999999999999</v>
      </c>
      <c r="Q62" s="56">
        <v>0.15939999999999999</v>
      </c>
      <c r="R62" s="61">
        <f t="shared" si="19"/>
        <v>1.9437529437322406E-2</v>
      </c>
      <c r="S62" s="61">
        <f t="shared" si="20"/>
        <v>0</v>
      </c>
      <c r="T62" s="61">
        <f t="shared" si="21"/>
        <v>0</v>
      </c>
      <c r="U62" s="62">
        <f t="shared" si="22"/>
        <v>1.1499999999999982E-2</v>
      </c>
      <c r="V62" s="63">
        <f t="shared" si="23"/>
        <v>1.1499999999999982E-2</v>
      </c>
    </row>
    <row r="63" spans="1:22">
      <c r="A63" s="161">
        <v>55</v>
      </c>
      <c r="B63" s="148" t="s">
        <v>106</v>
      </c>
      <c r="C63" s="147" t="s">
        <v>107</v>
      </c>
      <c r="D63" s="54">
        <v>1598195055</v>
      </c>
      <c r="E63" s="34">
        <f t="shared" si="38"/>
        <v>2.8654935228226877E-4</v>
      </c>
      <c r="F63" s="40">
        <v>1</v>
      </c>
      <c r="G63" s="40">
        <v>1</v>
      </c>
      <c r="H63" s="35">
        <v>227</v>
      </c>
      <c r="I63" s="56">
        <v>0.19309999999999999</v>
      </c>
      <c r="J63" s="56">
        <v>0.19309999999999999</v>
      </c>
      <c r="K63" s="54">
        <v>1582049338</v>
      </c>
      <c r="L63" s="34">
        <f t="shared" si="39"/>
        <v>2.8365449615440846E-4</v>
      </c>
      <c r="M63" s="40">
        <v>1</v>
      </c>
      <c r="N63" s="40">
        <v>1</v>
      </c>
      <c r="O63" s="35">
        <v>228</v>
      </c>
      <c r="P63" s="56">
        <v>0.19500000000000001</v>
      </c>
      <c r="Q63" s="56">
        <v>0.19500000000000001</v>
      </c>
      <c r="R63" s="61">
        <f t="shared" si="19"/>
        <v>-1.0102469626274748E-2</v>
      </c>
      <c r="S63" s="61">
        <f t="shared" si="20"/>
        <v>0</v>
      </c>
      <c r="T63" s="61">
        <f t="shared" si="21"/>
        <v>4.4052863436123352E-3</v>
      </c>
      <c r="U63" s="62">
        <f t="shared" si="22"/>
        <v>1.9000000000000128E-3</v>
      </c>
      <c r="V63" s="63">
        <f t="shared" si="23"/>
        <v>1.9000000000000128E-3</v>
      </c>
    </row>
    <row r="64" spans="1:22">
      <c r="A64" s="161">
        <v>56</v>
      </c>
      <c r="B64" s="148" t="s">
        <v>108</v>
      </c>
      <c r="C64" s="147" t="s">
        <v>109</v>
      </c>
      <c r="D64" s="54">
        <v>2420401070.0999198</v>
      </c>
      <c r="E64" s="34">
        <f t="shared" si="38"/>
        <v>4.3396727873147014E-4</v>
      </c>
      <c r="F64" s="40">
        <v>1</v>
      </c>
      <c r="G64" s="40">
        <v>1</v>
      </c>
      <c r="H64" s="35">
        <v>2575</v>
      </c>
      <c r="I64" s="56">
        <v>0.1656</v>
      </c>
      <c r="J64" s="56">
        <v>0.1656</v>
      </c>
      <c r="K64" s="54">
        <v>2527127792.0883899</v>
      </c>
      <c r="L64" s="34">
        <f t="shared" si="39"/>
        <v>4.531029111195993E-4</v>
      </c>
      <c r="M64" s="40">
        <v>1</v>
      </c>
      <c r="N64" s="40">
        <v>1</v>
      </c>
      <c r="O64" s="35">
        <v>2575</v>
      </c>
      <c r="P64" s="56">
        <v>0.1623</v>
      </c>
      <c r="Q64" s="56">
        <v>0.1623</v>
      </c>
      <c r="R64" s="61">
        <f t="shared" si="19"/>
        <v>4.4094643365888177E-2</v>
      </c>
      <c r="S64" s="61">
        <f t="shared" si="20"/>
        <v>0</v>
      </c>
      <c r="T64" s="61">
        <f t="shared" si="21"/>
        <v>0</v>
      </c>
      <c r="U64" s="62">
        <f t="shared" si="22"/>
        <v>-3.2999999999999974E-3</v>
      </c>
      <c r="V64" s="63">
        <f t="shared" si="23"/>
        <v>-3.2999999999999974E-3</v>
      </c>
    </row>
    <row r="65" spans="1:22">
      <c r="A65" s="161">
        <v>57</v>
      </c>
      <c r="B65" s="148" t="s">
        <v>110</v>
      </c>
      <c r="C65" s="147" t="s">
        <v>111</v>
      </c>
      <c r="D65" s="54">
        <v>15302066561.7694</v>
      </c>
      <c r="E65" s="34">
        <f t="shared" si="38"/>
        <v>2.7435933105519369E-3</v>
      </c>
      <c r="F65" s="40">
        <v>100</v>
      </c>
      <c r="G65" s="40">
        <v>100</v>
      </c>
      <c r="H65" s="35">
        <v>166</v>
      </c>
      <c r="I65" s="56">
        <v>0.1598</v>
      </c>
      <c r="J65" s="56">
        <v>0.1598</v>
      </c>
      <c r="K65" s="54">
        <v>15308194838.486601</v>
      </c>
      <c r="L65" s="34">
        <f t="shared" si="39"/>
        <v>2.7446920836450128E-3</v>
      </c>
      <c r="M65" s="40">
        <v>100</v>
      </c>
      <c r="N65" s="40">
        <v>100</v>
      </c>
      <c r="O65" s="35">
        <v>166</v>
      </c>
      <c r="P65" s="56">
        <v>0.15359999999999999</v>
      </c>
      <c r="Q65" s="56">
        <v>0.15359999999999999</v>
      </c>
      <c r="R65" s="61">
        <f t="shared" si="19"/>
        <v>4.0048686838888063E-4</v>
      </c>
      <c r="S65" s="61">
        <f t="shared" si="20"/>
        <v>0</v>
      </c>
      <c r="T65" s="61">
        <f t="shared" si="21"/>
        <v>0</v>
      </c>
      <c r="U65" s="62">
        <f t="shared" si="22"/>
        <v>-6.2000000000000111E-3</v>
      </c>
      <c r="V65" s="63">
        <f t="shared" si="23"/>
        <v>-6.2000000000000111E-3</v>
      </c>
    </row>
    <row r="66" spans="1:22">
      <c r="A66" s="161">
        <v>58</v>
      </c>
      <c r="B66" s="148" t="s">
        <v>328</v>
      </c>
      <c r="C66" s="147" t="s">
        <v>75</v>
      </c>
      <c r="D66" s="54">
        <v>116575702.51000001</v>
      </c>
      <c r="E66" s="34">
        <f t="shared" si="38"/>
        <v>2.0901511327784051E-5</v>
      </c>
      <c r="F66" s="40">
        <v>1000</v>
      </c>
      <c r="G66" s="40">
        <v>1000</v>
      </c>
      <c r="H66" s="35">
        <v>27</v>
      </c>
      <c r="I66" s="56">
        <v>0.17030000000000001</v>
      </c>
      <c r="J66" s="56">
        <v>0.17030000000000001</v>
      </c>
      <c r="K66" s="54">
        <v>117008519.55</v>
      </c>
      <c r="L66" s="34">
        <f t="shared" si="39"/>
        <v>2.0979113521634367E-5</v>
      </c>
      <c r="M66" s="40">
        <v>1000</v>
      </c>
      <c r="N66" s="40">
        <v>1000</v>
      </c>
      <c r="O66" s="35">
        <v>27</v>
      </c>
      <c r="P66" s="56">
        <v>0.21360000000000001</v>
      </c>
      <c r="Q66" s="56">
        <v>0.21360000000000001</v>
      </c>
      <c r="R66" s="61">
        <f t="shared" si="19"/>
        <v>3.7127551512105544E-3</v>
      </c>
      <c r="S66" s="61">
        <f t="shared" si="20"/>
        <v>0</v>
      </c>
      <c r="T66" s="61">
        <f t="shared" si="21"/>
        <v>0</v>
      </c>
      <c r="U66" s="62">
        <f t="shared" si="22"/>
        <v>4.3300000000000005E-2</v>
      </c>
      <c r="V66" s="63">
        <f t="shared" si="23"/>
        <v>4.3300000000000005E-2</v>
      </c>
    </row>
    <row r="67" spans="1:22">
      <c r="A67" s="161">
        <v>59</v>
      </c>
      <c r="B67" s="148" t="s">
        <v>330</v>
      </c>
      <c r="C67" s="147" t="s">
        <v>32</v>
      </c>
      <c r="D67" s="38">
        <v>1874955968</v>
      </c>
      <c r="E67" s="34">
        <f t="shared" si="38"/>
        <v>3.3617136813639704E-4</v>
      </c>
      <c r="F67" s="33">
        <v>1</v>
      </c>
      <c r="G67" s="33">
        <v>1</v>
      </c>
      <c r="H67" s="35">
        <v>345</v>
      </c>
      <c r="I67" s="56">
        <v>0.1772</v>
      </c>
      <c r="J67" s="56">
        <v>0.1772</v>
      </c>
      <c r="K67" s="38">
        <v>1874955968</v>
      </c>
      <c r="L67" s="34">
        <f t="shared" si="39"/>
        <v>3.3617136813639704E-4</v>
      </c>
      <c r="M67" s="33">
        <v>1</v>
      </c>
      <c r="N67" s="33">
        <v>1</v>
      </c>
      <c r="O67" s="35">
        <v>345</v>
      </c>
      <c r="P67" s="56">
        <v>0.1772</v>
      </c>
      <c r="Q67" s="56">
        <v>0.1772</v>
      </c>
      <c r="R67" s="61">
        <f t="shared" si="19"/>
        <v>0</v>
      </c>
      <c r="S67" s="61">
        <f t="shared" si="20"/>
        <v>0</v>
      </c>
      <c r="T67" s="61">
        <f t="shared" si="21"/>
        <v>0</v>
      </c>
      <c r="U67" s="62">
        <f t="shared" si="22"/>
        <v>0</v>
      </c>
      <c r="V67" s="63">
        <f t="shared" si="23"/>
        <v>0</v>
      </c>
    </row>
    <row r="68" spans="1:22">
      <c r="A68" s="161">
        <v>60</v>
      </c>
      <c r="B68" s="148" t="s">
        <v>112</v>
      </c>
      <c r="C68" s="147" t="s">
        <v>48</v>
      </c>
      <c r="D68" s="50">
        <v>2675212136746.3799</v>
      </c>
      <c r="E68" s="34">
        <f t="shared" si="38"/>
        <v>0.47965378356294525</v>
      </c>
      <c r="F68" s="40">
        <v>100</v>
      </c>
      <c r="G68" s="40">
        <v>100</v>
      </c>
      <c r="H68" s="35">
        <v>306532</v>
      </c>
      <c r="I68" s="56">
        <v>0.1555</v>
      </c>
      <c r="J68" s="56">
        <v>0.1555</v>
      </c>
      <c r="K68" s="50">
        <v>2697612771901.0898</v>
      </c>
      <c r="L68" s="34">
        <f>(K68/$K$76)</f>
        <v>0.48367011903727419</v>
      </c>
      <c r="M68" s="40">
        <v>100</v>
      </c>
      <c r="N68" s="40">
        <v>100</v>
      </c>
      <c r="O68" s="35">
        <v>310006</v>
      </c>
      <c r="P68" s="56">
        <v>0.1545</v>
      </c>
      <c r="Q68" s="56">
        <v>0.1545</v>
      </c>
      <c r="R68" s="61">
        <f t="shared" si="19"/>
        <v>8.3734051767400553E-3</v>
      </c>
      <c r="S68" s="61">
        <f t="shared" si="20"/>
        <v>0</v>
      </c>
      <c r="T68" s="61">
        <f t="shared" si="21"/>
        <v>1.1333237639137187E-2</v>
      </c>
      <c r="U68" s="62">
        <f t="shared" si="22"/>
        <v>-1.0000000000000009E-3</v>
      </c>
      <c r="V68" s="63">
        <f t="shared" si="23"/>
        <v>-1.0000000000000009E-3</v>
      </c>
    </row>
    <row r="69" spans="1:22">
      <c r="A69" s="161">
        <v>61</v>
      </c>
      <c r="B69" s="148" t="s">
        <v>113</v>
      </c>
      <c r="C69" s="148" t="s">
        <v>114</v>
      </c>
      <c r="D69" s="50">
        <v>10665055393.799999</v>
      </c>
      <c r="E69" s="34">
        <f t="shared" si="38"/>
        <v>1.9121975791296056E-3</v>
      </c>
      <c r="F69" s="40">
        <v>100</v>
      </c>
      <c r="G69" s="40">
        <v>100</v>
      </c>
      <c r="H69" s="35">
        <v>1309</v>
      </c>
      <c r="I69" s="56">
        <v>0.2024</v>
      </c>
      <c r="J69" s="56">
        <v>0.2024</v>
      </c>
      <c r="K69" s="50">
        <v>12144349675.879999</v>
      </c>
      <c r="L69" s="34">
        <f t="shared" ref="L69:L75" si="50">(K69/$K$76)</f>
        <v>2.1774285451739146E-3</v>
      </c>
      <c r="M69" s="40">
        <v>100</v>
      </c>
      <c r="N69" s="40">
        <v>100</v>
      </c>
      <c r="O69" s="35">
        <v>1334</v>
      </c>
      <c r="P69" s="56">
        <v>0.18529999999999999</v>
      </c>
      <c r="Q69" s="56">
        <v>0.18529999999999999</v>
      </c>
      <c r="R69" s="61">
        <f t="shared" si="19"/>
        <v>0.1387047912512456</v>
      </c>
      <c r="S69" s="61">
        <f t="shared" si="20"/>
        <v>0</v>
      </c>
      <c r="T69" s="61">
        <f t="shared" si="21"/>
        <v>1.9098548510313215E-2</v>
      </c>
      <c r="U69" s="62">
        <f t="shared" si="22"/>
        <v>-1.7100000000000004E-2</v>
      </c>
      <c r="V69" s="63">
        <f t="shared" si="23"/>
        <v>-1.7100000000000004E-2</v>
      </c>
    </row>
    <row r="70" spans="1:22">
      <c r="A70" s="161">
        <v>62</v>
      </c>
      <c r="B70" s="162" t="s">
        <v>115</v>
      </c>
      <c r="C70" s="147" t="s">
        <v>116</v>
      </c>
      <c r="D70" s="50">
        <v>15854951142.209999</v>
      </c>
      <c r="E70" s="34">
        <f t="shared" si="38"/>
        <v>2.8427230869308958E-3</v>
      </c>
      <c r="F70" s="40">
        <v>1</v>
      </c>
      <c r="G70" s="40">
        <v>1</v>
      </c>
      <c r="H70" s="35">
        <v>833</v>
      </c>
      <c r="I70" s="56">
        <v>0.195497</v>
      </c>
      <c r="J70" s="56">
        <v>0.195497</v>
      </c>
      <c r="K70" s="50">
        <v>15621682259.559999</v>
      </c>
      <c r="L70" s="34">
        <f t="shared" si="50"/>
        <v>2.8008990010523634E-3</v>
      </c>
      <c r="M70" s="40">
        <v>1</v>
      </c>
      <c r="N70" s="40">
        <v>1</v>
      </c>
      <c r="O70" s="35">
        <v>842</v>
      </c>
      <c r="P70" s="56">
        <v>0.189244</v>
      </c>
      <c r="Q70" s="56">
        <v>0.189244</v>
      </c>
      <c r="R70" s="61">
        <f t="shared" si="19"/>
        <v>-1.4712683789291362E-2</v>
      </c>
      <c r="S70" s="61">
        <f t="shared" si="20"/>
        <v>0</v>
      </c>
      <c r="T70" s="61">
        <f t="shared" si="21"/>
        <v>1.0804321728691477E-2</v>
      </c>
      <c r="U70" s="62">
        <f t="shared" si="22"/>
        <v>-6.2530000000000086E-3</v>
      </c>
      <c r="V70" s="63">
        <f t="shared" si="23"/>
        <v>-6.2530000000000086E-3</v>
      </c>
    </row>
    <row r="71" spans="1:22">
      <c r="A71" s="161">
        <v>63</v>
      </c>
      <c r="B71" s="148" t="s">
        <v>117</v>
      </c>
      <c r="C71" s="147" t="s">
        <v>51</v>
      </c>
      <c r="D71" s="50">
        <v>214941009323.31</v>
      </c>
      <c r="E71" s="34">
        <f t="shared" si="38"/>
        <v>3.8537978707793949E-2</v>
      </c>
      <c r="F71" s="40">
        <v>1</v>
      </c>
      <c r="G71" s="40">
        <v>1</v>
      </c>
      <c r="H71" s="35">
        <v>84934</v>
      </c>
      <c r="I71" s="56">
        <v>0.1547</v>
      </c>
      <c r="J71" s="56">
        <v>0.1547</v>
      </c>
      <c r="K71" s="50">
        <v>221464184325.84</v>
      </c>
      <c r="L71" s="34">
        <f t="shared" si="50"/>
        <v>3.970755532858937E-2</v>
      </c>
      <c r="M71" s="40">
        <v>1</v>
      </c>
      <c r="N71" s="40">
        <v>1</v>
      </c>
      <c r="O71" s="35">
        <v>85601</v>
      </c>
      <c r="P71" s="56">
        <v>0.15040000000000001</v>
      </c>
      <c r="Q71" s="56">
        <v>0.15040000000000001</v>
      </c>
      <c r="R71" s="61">
        <f t="shared" si="19"/>
        <v>3.0348675774188667E-2</v>
      </c>
      <c r="S71" s="61">
        <f t="shared" si="20"/>
        <v>0</v>
      </c>
      <c r="T71" s="61">
        <f t="shared" si="21"/>
        <v>7.8531565686297596E-3</v>
      </c>
      <c r="U71" s="62">
        <f t="shared" si="22"/>
        <v>-4.2999999999999983E-3</v>
      </c>
      <c r="V71" s="63">
        <f t="shared" si="23"/>
        <v>-4.2999999999999983E-3</v>
      </c>
    </row>
    <row r="72" spans="1:22">
      <c r="A72" s="161">
        <v>64</v>
      </c>
      <c r="B72" s="148" t="s">
        <v>118</v>
      </c>
      <c r="C72" s="147" t="s">
        <v>119</v>
      </c>
      <c r="D72" s="54">
        <v>2749927361.7399998</v>
      </c>
      <c r="E72" s="34">
        <f t="shared" si="38"/>
        <v>4.9304989517057738E-4</v>
      </c>
      <c r="F72" s="40">
        <v>1</v>
      </c>
      <c r="G72" s="40">
        <v>1</v>
      </c>
      <c r="H72" s="35">
        <v>161</v>
      </c>
      <c r="I72" s="56">
        <v>0.15540000000000001</v>
      </c>
      <c r="J72" s="56">
        <v>0.15540000000000001</v>
      </c>
      <c r="K72" s="54">
        <v>2844943541.3899999</v>
      </c>
      <c r="L72" s="34">
        <f t="shared" si="50"/>
        <v>5.1008587876335805E-4</v>
      </c>
      <c r="M72" s="40">
        <v>1</v>
      </c>
      <c r="N72" s="40">
        <v>1</v>
      </c>
      <c r="O72" s="35">
        <v>163</v>
      </c>
      <c r="P72" s="56">
        <v>0.15329999999999999</v>
      </c>
      <c r="Q72" s="56">
        <v>0.15329999999999999</v>
      </c>
      <c r="R72" s="61">
        <f t="shared" si="19"/>
        <v>3.4552250714680398E-2</v>
      </c>
      <c r="S72" s="61">
        <f t="shared" si="20"/>
        <v>0</v>
      </c>
      <c r="T72" s="61">
        <f t="shared" si="21"/>
        <v>1.2422360248447204E-2</v>
      </c>
      <c r="U72" s="62">
        <f t="shared" si="22"/>
        <v>-2.1000000000000185E-3</v>
      </c>
      <c r="V72" s="63">
        <f t="shared" si="23"/>
        <v>-2.1000000000000185E-3</v>
      </c>
    </row>
    <row r="73" spans="1:22">
      <c r="A73" s="161">
        <v>65</v>
      </c>
      <c r="B73" s="148" t="s">
        <v>120</v>
      </c>
      <c r="C73" s="147" t="s">
        <v>121</v>
      </c>
      <c r="D73" s="50">
        <v>9287026575.1399994</v>
      </c>
      <c r="E73" s="34">
        <f t="shared" si="38"/>
        <v>1.6651230658041197E-3</v>
      </c>
      <c r="F73" s="40">
        <v>1</v>
      </c>
      <c r="G73" s="40">
        <v>1</v>
      </c>
      <c r="H73" s="35">
        <v>586</v>
      </c>
      <c r="I73" s="56">
        <v>0.16250000000000001</v>
      </c>
      <c r="J73" s="56">
        <v>0.16250000000000001</v>
      </c>
      <c r="K73" s="50">
        <v>9313777409.5900002</v>
      </c>
      <c r="L73" s="34">
        <f>(K73/$K$76)</f>
        <v>1.6699193729011017E-3</v>
      </c>
      <c r="M73" s="40">
        <v>1</v>
      </c>
      <c r="N73" s="40">
        <v>1</v>
      </c>
      <c r="O73" s="35">
        <v>586</v>
      </c>
      <c r="P73" s="56">
        <v>0.1658</v>
      </c>
      <c r="Q73" s="56">
        <v>0.1658</v>
      </c>
      <c r="R73" s="61">
        <f t="shared" si="19"/>
        <v>2.880452019121901E-3</v>
      </c>
      <c r="S73" s="61">
        <f t="shared" si="20"/>
        <v>0</v>
      </c>
      <c r="T73" s="61">
        <f t="shared" si="21"/>
        <v>0</v>
      </c>
      <c r="U73" s="62">
        <f t="shared" si="22"/>
        <v>3.2999999999999974E-3</v>
      </c>
      <c r="V73" s="63">
        <f t="shared" si="23"/>
        <v>3.2999999999999974E-3</v>
      </c>
    </row>
    <row r="74" spans="1:22">
      <c r="A74" s="161">
        <v>66</v>
      </c>
      <c r="B74" s="148" t="s">
        <v>122</v>
      </c>
      <c r="C74" s="147" t="s">
        <v>123</v>
      </c>
      <c r="D74" s="50">
        <v>14927222128.940001</v>
      </c>
      <c r="E74" s="34">
        <f t="shared" si="38"/>
        <v>2.6763853504860871E-3</v>
      </c>
      <c r="F74" s="40">
        <v>1</v>
      </c>
      <c r="G74" s="40">
        <v>1</v>
      </c>
      <c r="H74" s="35">
        <v>6528</v>
      </c>
      <c r="I74" s="56">
        <v>0.18060000000000001</v>
      </c>
      <c r="J74" s="56">
        <v>0.18060000000000001</v>
      </c>
      <c r="K74" s="50">
        <v>16007873450.959999</v>
      </c>
      <c r="L74" s="34">
        <f t="shared" si="50"/>
        <v>2.8701413850821321E-3</v>
      </c>
      <c r="M74" s="40">
        <v>1</v>
      </c>
      <c r="N74" s="40">
        <v>1</v>
      </c>
      <c r="O74" s="35">
        <v>6808</v>
      </c>
      <c r="P74" s="56">
        <v>0.1749</v>
      </c>
      <c r="Q74" s="56">
        <v>0.1749</v>
      </c>
      <c r="R74" s="61">
        <f t="shared" si="19"/>
        <v>7.2394670132555794E-2</v>
      </c>
      <c r="S74" s="61">
        <f t="shared" si="20"/>
        <v>0</v>
      </c>
      <c r="T74" s="61">
        <f t="shared" si="21"/>
        <v>4.2892156862745098E-2</v>
      </c>
      <c r="U74" s="62">
        <f t="shared" si="22"/>
        <v>-5.7000000000000106E-3</v>
      </c>
      <c r="V74" s="63">
        <f t="shared" si="23"/>
        <v>-5.7000000000000106E-3</v>
      </c>
    </row>
    <row r="75" spans="1:22">
      <c r="A75" s="161">
        <v>67</v>
      </c>
      <c r="B75" s="148" t="s">
        <v>124</v>
      </c>
      <c r="C75" s="147" t="s">
        <v>125</v>
      </c>
      <c r="D75" s="50">
        <v>149785071650.54001</v>
      </c>
      <c r="E75" s="34">
        <f t="shared" si="38"/>
        <v>2.6855805321594779E-2</v>
      </c>
      <c r="F75" s="40">
        <v>1</v>
      </c>
      <c r="G75" s="40">
        <v>1</v>
      </c>
      <c r="H75" s="35">
        <v>8064</v>
      </c>
      <c r="I75" s="56">
        <v>0.1678</v>
      </c>
      <c r="J75" s="56">
        <v>0.1678</v>
      </c>
      <c r="K75" s="50">
        <v>145133589132.78</v>
      </c>
      <c r="L75" s="34">
        <f t="shared" si="50"/>
        <v>2.6021814940729516E-2</v>
      </c>
      <c r="M75" s="40">
        <v>1</v>
      </c>
      <c r="N75" s="40">
        <v>1</v>
      </c>
      <c r="O75" s="35">
        <v>8200</v>
      </c>
      <c r="P75" s="56">
        <v>0.16209999999999999</v>
      </c>
      <c r="Q75" s="56">
        <v>0.16209999999999999</v>
      </c>
      <c r="R75" s="61">
        <f t="shared" si="19"/>
        <v>-3.105437989583016E-2</v>
      </c>
      <c r="S75" s="61">
        <f t="shared" si="20"/>
        <v>0</v>
      </c>
      <c r="T75" s="61">
        <f t="shared" si="21"/>
        <v>1.6865079365079364E-2</v>
      </c>
      <c r="U75" s="62">
        <f t="shared" si="22"/>
        <v>-5.7000000000000106E-3</v>
      </c>
      <c r="V75" s="63">
        <f t="shared" si="23"/>
        <v>-5.7000000000000106E-3</v>
      </c>
    </row>
    <row r="76" spans="1:22">
      <c r="A76" s="41"/>
      <c r="B76" s="42"/>
      <c r="C76" s="43" t="s">
        <v>54</v>
      </c>
      <c r="D76" s="65">
        <f>SUM(D29:D75)</f>
        <v>5448379818849.8945</v>
      </c>
      <c r="E76" s="45">
        <f>(D76/$D$237)</f>
        <v>0.6455005677428084</v>
      </c>
      <c r="F76" s="46"/>
      <c r="G76" s="51"/>
      <c r="H76" s="48">
        <f>SUM(H29:H75)</f>
        <v>702711</v>
      </c>
      <c r="I76" s="69"/>
      <c r="J76" s="69"/>
      <c r="K76" s="65">
        <f>SUM(K29:K75)</f>
        <v>5577381495616.4316</v>
      </c>
      <c r="L76" s="45">
        <f>(K76/$K$237)</f>
        <v>0.64900235954194796</v>
      </c>
      <c r="M76" s="46"/>
      <c r="N76" s="51"/>
      <c r="O76" s="48">
        <f>SUM(O29:O75)</f>
        <v>712567</v>
      </c>
      <c r="P76" s="69"/>
      <c r="Q76" s="69"/>
      <c r="R76" s="61">
        <f t="shared" si="19"/>
        <v>2.3677071176320494E-2</v>
      </c>
      <c r="S76" s="61" t="e">
        <f t="shared" si="20"/>
        <v>#DIV/0!</v>
      </c>
      <c r="T76" s="61">
        <f t="shared" si="21"/>
        <v>1.4025680542925897E-2</v>
      </c>
      <c r="U76" s="62">
        <f t="shared" si="22"/>
        <v>0</v>
      </c>
      <c r="V76" s="63">
        <f t="shared" si="23"/>
        <v>0</v>
      </c>
    </row>
    <row r="77" spans="1:22" ht="3" customHeight="1">
      <c r="A77" s="41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</row>
    <row r="78" spans="1:22" ht="15" customHeight="1">
      <c r="A78" s="177" t="s">
        <v>126</v>
      </c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</row>
    <row r="79" spans="1:22">
      <c r="A79" s="161">
        <v>68</v>
      </c>
      <c r="B79" s="148" t="s">
        <v>127</v>
      </c>
      <c r="C79" s="147" t="s">
        <v>21</v>
      </c>
      <c r="D79" s="38">
        <v>776180488.49000001</v>
      </c>
      <c r="E79" s="34">
        <f>(D79/$D$118)</f>
        <v>3.2184113737804962E-3</v>
      </c>
      <c r="F79" s="66">
        <v>1.7685999999999999</v>
      </c>
      <c r="G79" s="66">
        <v>1.7685999999999999</v>
      </c>
      <c r="H79" s="35">
        <v>554</v>
      </c>
      <c r="I79" s="56">
        <v>1.7000000000000001E-4</v>
      </c>
      <c r="J79" s="56">
        <v>5.9499999999999997E-2</v>
      </c>
      <c r="K79" s="38">
        <v>1135426923.3399999</v>
      </c>
      <c r="L79" s="34">
        <f t="shared" ref="L79:L102" si="51">(K79/$K$118)</f>
        <v>4.7264522100079389E-3</v>
      </c>
      <c r="M79" s="66">
        <v>1.7669999999999999</v>
      </c>
      <c r="N79" s="66">
        <v>1.7669999999999999</v>
      </c>
      <c r="O79" s="35">
        <v>554</v>
      </c>
      <c r="P79" s="56">
        <v>1.8710000000000001E-3</v>
      </c>
      <c r="Q79" s="56">
        <v>5.8500000000000003E-2</v>
      </c>
      <c r="R79" s="61">
        <f>((K79-D79)/D79)</f>
        <v>0.46283878579437943</v>
      </c>
      <c r="S79" s="61">
        <f>((N79-G79)/G79)</f>
        <v>-9.0467036073733225E-4</v>
      </c>
      <c r="T79" s="61">
        <f>((O79-H79)/H79)</f>
        <v>0</v>
      </c>
      <c r="U79" s="62">
        <f>P79-I79</f>
        <v>1.701E-3</v>
      </c>
      <c r="V79" s="63">
        <f>Q79-J79</f>
        <v>-9.9999999999999395E-4</v>
      </c>
    </row>
    <row r="80" spans="1:22">
      <c r="A80" s="161">
        <v>69</v>
      </c>
      <c r="B80" s="148" t="s">
        <v>128</v>
      </c>
      <c r="C80" s="147" t="s">
        <v>23</v>
      </c>
      <c r="D80" s="38">
        <v>1204931145.1400001</v>
      </c>
      <c r="E80" s="34">
        <f>(D80/$D$118)</f>
        <v>4.996214359478706E-3</v>
      </c>
      <c r="F80" s="66">
        <v>1.3656999999999999</v>
      </c>
      <c r="G80" s="66">
        <v>1.3656999999999999</v>
      </c>
      <c r="H80" s="35">
        <v>1516</v>
      </c>
      <c r="I80" s="56">
        <v>0.111</v>
      </c>
      <c r="J80" s="56">
        <v>0.11650000000000001</v>
      </c>
      <c r="K80" s="38">
        <v>1216916058.8699999</v>
      </c>
      <c r="L80" s="34">
        <f t="shared" si="51"/>
        <v>5.0656677920943886E-3</v>
      </c>
      <c r="M80" s="66">
        <v>1.3687</v>
      </c>
      <c r="N80" s="66">
        <v>1.3687</v>
      </c>
      <c r="O80" s="35">
        <v>1508</v>
      </c>
      <c r="P80" s="56">
        <v>0.1145</v>
      </c>
      <c r="Q80" s="56">
        <v>0.1166</v>
      </c>
      <c r="R80" s="61">
        <f t="shared" ref="R80:R118" si="52">((K80-D80)/D80)</f>
        <v>9.9465548536445715E-3</v>
      </c>
      <c r="S80" s="61">
        <f t="shared" ref="S80:S118" si="53">((N80-G80)/G80)</f>
        <v>2.1966756974446172E-3</v>
      </c>
      <c r="T80" s="61">
        <f t="shared" ref="T80:T118" si="54">((O80-H80)/H80)</f>
        <v>-5.2770448548812663E-3</v>
      </c>
      <c r="U80" s="62">
        <f t="shared" ref="U80:U118" si="55">P80-I80</f>
        <v>3.5000000000000031E-3</v>
      </c>
      <c r="V80" s="63">
        <f t="shared" ref="V80:V118" si="56">Q80-J80</f>
        <v>9.9999999999988987E-5</v>
      </c>
    </row>
    <row r="81" spans="1:22">
      <c r="A81" s="161">
        <v>70</v>
      </c>
      <c r="B81" s="148" t="s">
        <v>129</v>
      </c>
      <c r="C81" s="147" t="s">
        <v>23</v>
      </c>
      <c r="D81" s="38">
        <v>651649699.88999999</v>
      </c>
      <c r="E81" s="34">
        <f>(D81/$D$118)</f>
        <v>2.7020478315896799E-3</v>
      </c>
      <c r="F81" s="66">
        <v>1.2170000000000001</v>
      </c>
      <c r="G81" s="66">
        <v>1.2170000000000001</v>
      </c>
      <c r="H81" s="35">
        <v>744</v>
      </c>
      <c r="I81" s="56">
        <v>0.1202</v>
      </c>
      <c r="J81" s="56">
        <v>0.12529999999999999</v>
      </c>
      <c r="K81" s="38">
        <v>653669318.62</v>
      </c>
      <c r="L81" s="34">
        <f t="shared" si="51"/>
        <v>2.7210353498731779E-3</v>
      </c>
      <c r="M81" s="66">
        <v>1.2197</v>
      </c>
      <c r="N81" s="66">
        <v>1.2197</v>
      </c>
      <c r="O81" s="35">
        <v>740</v>
      </c>
      <c r="P81" s="56">
        <v>0.1157</v>
      </c>
      <c r="Q81" s="56">
        <v>0.12479999999999999</v>
      </c>
      <c r="R81" s="61">
        <f t="shared" si="52"/>
        <v>3.0992398682005615E-3</v>
      </c>
      <c r="S81" s="61">
        <f t="shared" si="53"/>
        <v>2.218570254724671E-3</v>
      </c>
      <c r="T81" s="61">
        <f t="shared" si="54"/>
        <v>-5.3763440860215058E-3</v>
      </c>
      <c r="U81" s="62">
        <f t="shared" si="55"/>
        <v>-4.500000000000004E-3</v>
      </c>
      <c r="V81" s="63">
        <f t="shared" si="56"/>
        <v>-5.0000000000000044E-4</v>
      </c>
    </row>
    <row r="82" spans="1:22">
      <c r="A82" s="161">
        <v>71</v>
      </c>
      <c r="B82" s="148" t="s">
        <v>130</v>
      </c>
      <c r="C82" s="147" t="s">
        <v>62</v>
      </c>
      <c r="D82" s="38">
        <v>339085184.27999997</v>
      </c>
      <c r="E82" s="34">
        <f>(D82/$D$118)</f>
        <v>1.4060075329776439E-3</v>
      </c>
      <c r="F82" s="37">
        <v>1295.1500000000001</v>
      </c>
      <c r="G82" s="37">
        <v>1295.1500000000001</v>
      </c>
      <c r="H82" s="35">
        <v>20</v>
      </c>
      <c r="I82" s="56">
        <v>5.9999999999999995E-4</v>
      </c>
      <c r="J82" s="56">
        <v>9.7799999999999998E-2</v>
      </c>
      <c r="K82" s="38">
        <v>330964243.66000003</v>
      </c>
      <c r="L82" s="34">
        <f t="shared" si="51"/>
        <v>1.3777079341036487E-3</v>
      </c>
      <c r="M82" s="37">
        <v>1288.72</v>
      </c>
      <c r="N82" s="37">
        <v>1288.72</v>
      </c>
      <c r="O82" s="35">
        <v>20</v>
      </c>
      <c r="P82" s="56">
        <v>1.9E-3</v>
      </c>
      <c r="Q82" s="56">
        <v>7.1199999999999999E-2</v>
      </c>
      <c r="R82" s="61">
        <f t="shared" si="52"/>
        <v>-2.3949558979533797E-2</v>
      </c>
      <c r="S82" s="61">
        <f t="shared" si="53"/>
        <v>-4.9646759062657326E-3</v>
      </c>
      <c r="T82" s="61">
        <f t="shared" si="54"/>
        <v>0</v>
      </c>
      <c r="U82" s="62">
        <f t="shared" si="55"/>
        <v>1.2999999999999999E-3</v>
      </c>
      <c r="V82" s="63">
        <f t="shared" si="56"/>
        <v>-2.6599999999999999E-2</v>
      </c>
    </row>
    <row r="83" spans="1:22" ht="15" customHeight="1">
      <c r="A83" s="161">
        <v>72</v>
      </c>
      <c r="B83" s="148" t="s">
        <v>131</v>
      </c>
      <c r="C83" s="147" t="s">
        <v>27</v>
      </c>
      <c r="D83" s="38">
        <v>1853920839.2</v>
      </c>
      <c r="E83" s="34">
        <f>(D83/$K$118)</f>
        <v>7.7173335134952765E-3</v>
      </c>
      <c r="F83" s="37">
        <v>1.1547000000000001</v>
      </c>
      <c r="G83" s="37">
        <v>1.1547000000000001</v>
      </c>
      <c r="H83" s="35">
        <v>1081</v>
      </c>
      <c r="I83" s="56">
        <v>-8.0000000000000004E-4</v>
      </c>
      <c r="J83" s="56">
        <v>6.4600000000000005E-2</v>
      </c>
      <c r="K83" s="38">
        <v>1841553268.78</v>
      </c>
      <c r="L83" s="34">
        <f t="shared" si="51"/>
        <v>7.665850913124936E-3</v>
      </c>
      <c r="M83" s="37">
        <v>1.1551</v>
      </c>
      <c r="N83" s="37">
        <v>1.1551</v>
      </c>
      <c r="O83" s="35">
        <v>1081</v>
      </c>
      <c r="P83" s="56">
        <v>2.9999999999999997E-4</v>
      </c>
      <c r="Q83" s="56">
        <v>6.5000000000000002E-2</v>
      </c>
      <c r="R83" s="61">
        <f t="shared" si="52"/>
        <v>-6.671034792044791E-3</v>
      </c>
      <c r="S83" s="61">
        <f t="shared" si="53"/>
        <v>3.4641032302758803E-4</v>
      </c>
      <c r="T83" s="61">
        <f t="shared" si="54"/>
        <v>0</v>
      </c>
      <c r="U83" s="62">
        <f t="shared" si="55"/>
        <v>1.1000000000000001E-3</v>
      </c>
      <c r="V83" s="63">
        <f t="shared" si="56"/>
        <v>3.9999999999999758E-4</v>
      </c>
    </row>
    <row r="84" spans="1:22">
      <c r="A84" s="161">
        <v>73</v>
      </c>
      <c r="B84" s="148" t="s">
        <v>132</v>
      </c>
      <c r="C84" s="147" t="s">
        <v>133</v>
      </c>
      <c r="D84" s="38">
        <v>496555363.69999999</v>
      </c>
      <c r="E84" s="34">
        <f t="shared" ref="E84:E102" si="57">(D84/$D$118)</f>
        <v>2.0589533670870939E-3</v>
      </c>
      <c r="F84" s="37">
        <v>2.8290999999999999</v>
      </c>
      <c r="G84" s="37">
        <v>2.8290999999999999</v>
      </c>
      <c r="H84" s="35">
        <v>1390</v>
      </c>
      <c r="I84" s="56">
        <v>0.1381</v>
      </c>
      <c r="J84" s="56">
        <v>0.13800000000000001</v>
      </c>
      <c r="K84" s="38">
        <v>496555363.69999999</v>
      </c>
      <c r="L84" s="34">
        <f t="shared" si="51"/>
        <v>2.0670156290176112E-3</v>
      </c>
      <c r="M84" s="37">
        <v>2.8290999999999999</v>
      </c>
      <c r="N84" s="37">
        <v>2.8290999999999999</v>
      </c>
      <c r="O84" s="35">
        <v>1390</v>
      </c>
      <c r="P84" s="56">
        <v>0.1381</v>
      </c>
      <c r="Q84" s="56">
        <v>0.129</v>
      </c>
      <c r="R84" s="61">
        <f t="shared" si="52"/>
        <v>0</v>
      </c>
      <c r="S84" s="61">
        <f t="shared" si="53"/>
        <v>0</v>
      </c>
      <c r="T84" s="61">
        <f t="shared" si="54"/>
        <v>0</v>
      </c>
      <c r="U84" s="62">
        <f t="shared" si="55"/>
        <v>0</v>
      </c>
      <c r="V84" s="63">
        <f t="shared" si="56"/>
        <v>-9.000000000000008E-3</v>
      </c>
    </row>
    <row r="85" spans="1:22">
      <c r="A85" s="161">
        <v>74</v>
      </c>
      <c r="B85" s="147" t="s">
        <v>134</v>
      </c>
      <c r="C85" s="147" t="s">
        <v>135</v>
      </c>
      <c r="D85" s="38">
        <v>2922015900.8899999</v>
      </c>
      <c r="E85" s="34">
        <f t="shared" si="57"/>
        <v>1.2116059794400513E-2</v>
      </c>
      <c r="F85" s="37">
        <v>1176.83</v>
      </c>
      <c r="G85" s="37">
        <v>1176.83</v>
      </c>
      <c r="H85" s="35">
        <v>303</v>
      </c>
      <c r="I85" s="56">
        <v>2.0200000000000001E-3</v>
      </c>
      <c r="J85" s="56">
        <v>5.1670000000000001E-2</v>
      </c>
      <c r="K85" s="38">
        <v>3130346988.6900001</v>
      </c>
      <c r="L85" s="34">
        <f t="shared" si="51"/>
        <v>1.3030724513087049E-2</v>
      </c>
      <c r="M85" s="37">
        <v>1182.8499999999999</v>
      </c>
      <c r="N85" s="37">
        <v>1182.8499999999999</v>
      </c>
      <c r="O85" s="35">
        <v>344</v>
      </c>
      <c r="P85" s="56">
        <v>4.3400000000000001E-3</v>
      </c>
      <c r="Q85" s="56">
        <v>5.7049999999999997E-2</v>
      </c>
      <c r="R85" s="61">
        <f t="shared" ref="R85" si="58">((K85-D85)/D85)</f>
        <v>7.1297041106636636E-2</v>
      </c>
      <c r="S85" s="61">
        <f t="shared" si="53"/>
        <v>5.1154372339250204E-3</v>
      </c>
      <c r="T85" s="61">
        <f t="shared" ref="T85" si="59">((O85-H85)/H85)</f>
        <v>0.13531353135313531</v>
      </c>
      <c r="U85" s="62">
        <f t="shared" si="55"/>
        <v>2.32E-3</v>
      </c>
      <c r="V85" s="63">
        <f t="shared" si="56"/>
        <v>5.3799999999999959E-3</v>
      </c>
    </row>
    <row r="86" spans="1:22">
      <c r="A86" s="161">
        <v>75</v>
      </c>
      <c r="B86" s="148" t="s">
        <v>136</v>
      </c>
      <c r="C86" s="147" t="s">
        <v>67</v>
      </c>
      <c r="D86" s="38">
        <v>212672007.80000001</v>
      </c>
      <c r="E86" s="34">
        <f t="shared" si="57"/>
        <v>8.8183872042420306E-4</v>
      </c>
      <c r="F86" s="37">
        <v>11.9758</v>
      </c>
      <c r="G86" s="37">
        <v>12.04</v>
      </c>
      <c r="H86" s="35">
        <v>47</v>
      </c>
      <c r="I86" s="56">
        <v>-5.0899999999999999E-3</v>
      </c>
      <c r="J86" s="56">
        <v>0.18440000000000001</v>
      </c>
      <c r="K86" s="38">
        <v>212742060.09999999</v>
      </c>
      <c r="L86" s="34">
        <f t="shared" si="51"/>
        <v>8.8558335147050982E-4</v>
      </c>
      <c r="M86" s="37">
        <v>11.98</v>
      </c>
      <c r="N86" s="37">
        <v>12.058</v>
      </c>
      <c r="O86" s="35">
        <v>47</v>
      </c>
      <c r="P86" s="56">
        <v>-5.2999999999999998E-4</v>
      </c>
      <c r="Q86" s="56">
        <v>0.17080000000000001</v>
      </c>
      <c r="R86" s="61">
        <f t="shared" si="52"/>
        <v>3.293912571035694E-4</v>
      </c>
      <c r="S86" s="61">
        <f t="shared" si="53"/>
        <v>1.4950166112957378E-3</v>
      </c>
      <c r="T86" s="61">
        <f t="shared" si="54"/>
        <v>0</v>
      </c>
      <c r="U86" s="62">
        <f t="shared" si="55"/>
        <v>4.5599999999999998E-3</v>
      </c>
      <c r="V86" s="63">
        <f t="shared" si="56"/>
        <v>-1.3600000000000001E-2</v>
      </c>
    </row>
    <row r="87" spans="1:22">
      <c r="A87" s="161">
        <v>76</v>
      </c>
      <c r="B87" s="148" t="s">
        <v>137</v>
      </c>
      <c r="C87" s="147" t="s">
        <v>69</v>
      </c>
      <c r="D87" s="38">
        <v>2112494724.6449499</v>
      </c>
      <c r="E87" s="34">
        <f t="shared" si="57"/>
        <v>8.7594021618287547E-3</v>
      </c>
      <c r="F87" s="38">
        <v>4915.2109478727298</v>
      </c>
      <c r="G87" s="38">
        <v>4915.2109478727298</v>
      </c>
      <c r="H87" s="35">
        <v>1209</v>
      </c>
      <c r="I87" s="56">
        <v>8.3299999999999999E-2</v>
      </c>
      <c r="J87" s="56">
        <v>0.1452</v>
      </c>
      <c r="K87" s="38">
        <v>2117541279.1322</v>
      </c>
      <c r="L87" s="34">
        <f t="shared" si="51"/>
        <v>8.8147087697165918E-3</v>
      </c>
      <c r="M87" s="38">
        <v>4926.7537870225697</v>
      </c>
      <c r="N87" s="38">
        <v>4926.7537870225697</v>
      </c>
      <c r="O87" s="35">
        <v>1214</v>
      </c>
      <c r="P87" s="56">
        <v>0.1225</v>
      </c>
      <c r="Q87" s="56">
        <v>0.14380000000000001</v>
      </c>
      <c r="R87" s="61">
        <f t="shared" si="52"/>
        <v>2.3889074980285555E-3</v>
      </c>
      <c r="S87" s="61">
        <f t="shared" si="53"/>
        <v>2.3483914062397576E-3</v>
      </c>
      <c r="T87" s="61">
        <f t="shared" si="54"/>
        <v>4.1356492969396195E-3</v>
      </c>
      <c r="U87" s="62">
        <f t="shared" si="55"/>
        <v>3.9199999999999999E-2</v>
      </c>
      <c r="V87" s="63">
        <f t="shared" si="56"/>
        <v>-1.3999999999999846E-3</v>
      </c>
    </row>
    <row r="88" spans="1:22">
      <c r="A88" s="161">
        <v>77</v>
      </c>
      <c r="B88" s="148" t="s">
        <v>138</v>
      </c>
      <c r="C88" s="147" t="s">
        <v>71</v>
      </c>
      <c r="D88" s="38">
        <v>375686498.38</v>
      </c>
      <c r="E88" s="34">
        <f t="shared" si="57"/>
        <v>1.5577738905988201E-3</v>
      </c>
      <c r="F88" s="66">
        <v>115.27</v>
      </c>
      <c r="G88" s="66">
        <v>115.27</v>
      </c>
      <c r="H88" s="35">
        <v>98</v>
      </c>
      <c r="I88" s="56">
        <v>3.0999999999999999E-3</v>
      </c>
      <c r="J88" s="56">
        <v>0.1198</v>
      </c>
      <c r="K88" s="38">
        <v>379247181.47000003</v>
      </c>
      <c r="L88" s="34">
        <f t="shared" si="51"/>
        <v>1.57869576821846E-3</v>
      </c>
      <c r="M88" s="66">
        <v>115.5</v>
      </c>
      <c r="N88" s="66">
        <v>115.5</v>
      </c>
      <c r="O88" s="35">
        <v>97</v>
      </c>
      <c r="P88" s="56">
        <v>2E-3</v>
      </c>
      <c r="Q88" s="56">
        <v>0.1198</v>
      </c>
      <c r="R88" s="61">
        <f t="shared" si="52"/>
        <v>9.4778042473021417E-3</v>
      </c>
      <c r="S88" s="61">
        <f t="shared" si="53"/>
        <v>1.9953153465776352E-3</v>
      </c>
      <c r="T88" s="61">
        <f t="shared" si="54"/>
        <v>-1.020408163265306E-2</v>
      </c>
      <c r="U88" s="62">
        <f t="shared" si="55"/>
        <v>-1.0999999999999998E-3</v>
      </c>
      <c r="V88" s="63">
        <f t="shared" si="56"/>
        <v>0</v>
      </c>
    </row>
    <row r="89" spans="1:22" ht="13.5" customHeight="1">
      <c r="A89" s="161">
        <v>78</v>
      </c>
      <c r="B89" s="148" t="s">
        <v>139</v>
      </c>
      <c r="C89" s="147" t="s">
        <v>73</v>
      </c>
      <c r="D89" s="38">
        <v>1378946040.5</v>
      </c>
      <c r="E89" s="34">
        <f t="shared" si="57"/>
        <v>5.717762410143293E-3</v>
      </c>
      <c r="F89" s="66">
        <v>1.5582</v>
      </c>
      <c r="G89" s="66">
        <v>1.5582</v>
      </c>
      <c r="H89" s="35">
        <v>2615</v>
      </c>
      <c r="I89" s="56">
        <v>5.9999999999999995E-4</v>
      </c>
      <c r="J89" s="56">
        <v>0.19900000000000001</v>
      </c>
      <c r="K89" s="38">
        <v>1371076974.7</v>
      </c>
      <c r="L89" s="34">
        <f t="shared" si="51"/>
        <v>5.7073948696752018E-3</v>
      </c>
      <c r="M89" s="66">
        <v>1.5570999999999999</v>
      </c>
      <c r="N89" s="66">
        <v>1.5570999999999999</v>
      </c>
      <c r="O89" s="35">
        <v>2673</v>
      </c>
      <c r="P89" s="56">
        <v>-6.9999999999999999E-4</v>
      </c>
      <c r="Q89" s="56">
        <v>8.4400000000000003E-2</v>
      </c>
      <c r="R89" s="61">
        <f t="shared" si="52"/>
        <v>-5.7065799305291614E-3</v>
      </c>
      <c r="S89" s="61">
        <f t="shared" si="53"/>
        <v>-7.0594275446033946E-4</v>
      </c>
      <c r="T89" s="61">
        <f t="shared" si="54"/>
        <v>2.2179732313575527E-2</v>
      </c>
      <c r="U89" s="62">
        <f t="shared" si="55"/>
        <v>-1.2999999999999999E-3</v>
      </c>
      <c r="V89" s="63">
        <f t="shared" si="56"/>
        <v>-0.11460000000000001</v>
      </c>
    </row>
    <row r="90" spans="1:22" ht="13.5" customHeight="1">
      <c r="A90" s="161">
        <v>79</v>
      </c>
      <c r="B90" s="148" t="s">
        <v>140</v>
      </c>
      <c r="C90" s="147" t="s">
        <v>73</v>
      </c>
      <c r="D90" s="38">
        <v>144887555.11000001</v>
      </c>
      <c r="E90" s="34">
        <f t="shared" si="57"/>
        <v>6.0077232319049754E-4</v>
      </c>
      <c r="F90" s="66">
        <v>1.0469999999999999</v>
      </c>
      <c r="G90" s="66">
        <v>1.0469999999999999</v>
      </c>
      <c r="H90" s="35">
        <v>102</v>
      </c>
      <c r="I90" s="56">
        <v>-0.3276</v>
      </c>
      <c r="J90" s="56">
        <v>-0.2848</v>
      </c>
      <c r="K90" s="38">
        <v>148812483.18000001</v>
      </c>
      <c r="L90" s="34">
        <f t="shared" si="51"/>
        <v>6.1946310726354234E-4</v>
      </c>
      <c r="M90" s="66">
        <v>1.0432999999999999</v>
      </c>
      <c r="N90" s="66">
        <v>1.0432999999999999</v>
      </c>
      <c r="O90" s="35">
        <v>100</v>
      </c>
      <c r="P90" s="56">
        <v>-3.5000000000000001E-3</v>
      </c>
      <c r="Q90" s="56">
        <v>-0.2873</v>
      </c>
      <c r="R90" s="61">
        <f t="shared" ref="R90" si="60">((K90-D90)/D90)</f>
        <v>2.7089476849962373E-2</v>
      </c>
      <c r="S90" s="61">
        <f t="shared" ref="S90" si="61">((N90-G90)/G90)</f>
        <v>-3.5339063992359471E-3</v>
      </c>
      <c r="T90" s="61">
        <f t="shared" ref="T90" si="62">((O90-H90)/H90)</f>
        <v>-1.9607843137254902E-2</v>
      </c>
      <c r="U90" s="62">
        <f t="shared" ref="U90" si="63">P90-I90</f>
        <v>0.3241</v>
      </c>
      <c r="V90" s="63">
        <f t="shared" ref="V90" si="64">Q90-J90</f>
        <v>-2.5000000000000022E-3</v>
      </c>
    </row>
    <row r="91" spans="1:22">
      <c r="A91" s="161">
        <v>80</v>
      </c>
      <c r="B91" s="148" t="s">
        <v>141</v>
      </c>
      <c r="C91" s="147" t="s">
        <v>29</v>
      </c>
      <c r="D91" s="38">
        <v>232583768.27000001</v>
      </c>
      <c r="E91" s="34">
        <f t="shared" si="57"/>
        <v>9.6440229593137907E-4</v>
      </c>
      <c r="F91" s="66">
        <v>145.32069999999999</v>
      </c>
      <c r="G91" s="66">
        <v>145.32069999999999</v>
      </c>
      <c r="H91" s="35">
        <v>445</v>
      </c>
      <c r="I91" s="56">
        <v>4.3600000000000003E-4</v>
      </c>
      <c r="J91" s="56">
        <v>7.9799999999999996E-2</v>
      </c>
      <c r="K91" s="38">
        <v>234423431.59</v>
      </c>
      <c r="L91" s="34">
        <f t="shared" si="51"/>
        <v>9.7583659814663042E-4</v>
      </c>
      <c r="M91" s="66">
        <v>145.6996</v>
      </c>
      <c r="N91" s="66">
        <v>145.6996</v>
      </c>
      <c r="O91" s="35">
        <v>450</v>
      </c>
      <c r="P91" s="56">
        <v>4.3100000000000001E-4</v>
      </c>
      <c r="Q91" s="56">
        <v>8.2500000000000004E-2</v>
      </c>
      <c r="R91" s="61">
        <f t="shared" si="52"/>
        <v>7.9096806010313624E-3</v>
      </c>
      <c r="S91" s="61">
        <f t="shared" si="53"/>
        <v>2.6073367386753284E-3</v>
      </c>
      <c r="T91" s="61">
        <f t="shared" si="54"/>
        <v>1.1235955056179775E-2</v>
      </c>
      <c r="U91" s="62">
        <f t="shared" si="55"/>
        <v>-5.0000000000000131E-6</v>
      </c>
      <c r="V91" s="63">
        <f t="shared" si="56"/>
        <v>2.7000000000000079E-3</v>
      </c>
    </row>
    <row r="92" spans="1:22">
      <c r="A92" s="161">
        <v>81</v>
      </c>
      <c r="B92" s="148" t="s">
        <v>142</v>
      </c>
      <c r="C92" s="147" t="s">
        <v>75</v>
      </c>
      <c r="D92" s="38">
        <v>2724893513.0500002</v>
      </c>
      <c r="E92" s="34">
        <f t="shared" si="57"/>
        <v>1.1298697152001136E-2</v>
      </c>
      <c r="F92" s="37">
        <v>1340.047546</v>
      </c>
      <c r="G92" s="37">
        <v>1340.047546</v>
      </c>
      <c r="H92" s="35">
        <v>318</v>
      </c>
      <c r="I92" s="56">
        <v>5.1000000000000004E-3</v>
      </c>
      <c r="J92" s="56">
        <v>0.2031</v>
      </c>
      <c r="K92" s="38">
        <v>2735582167.46</v>
      </c>
      <c r="L92" s="34">
        <f t="shared" si="51"/>
        <v>1.1387433321570004E-2</v>
      </c>
      <c r="M92" s="37">
        <v>1343.507971</v>
      </c>
      <c r="N92" s="37">
        <v>1343.507971</v>
      </c>
      <c r="O92" s="35">
        <v>318</v>
      </c>
      <c r="P92" s="56">
        <v>2.5999999999999999E-3</v>
      </c>
      <c r="Q92" s="56">
        <v>0.2009</v>
      </c>
      <c r="R92" s="61">
        <f t="shared" si="52"/>
        <v>3.9225952716353792E-3</v>
      </c>
      <c r="S92" s="61">
        <f t="shared" si="53"/>
        <v>2.5823150904826079E-3</v>
      </c>
      <c r="T92" s="61">
        <f t="shared" si="54"/>
        <v>0</v>
      </c>
      <c r="U92" s="62">
        <f t="shared" si="55"/>
        <v>-2.5000000000000005E-3</v>
      </c>
      <c r="V92" s="63">
        <f t="shared" si="56"/>
        <v>-2.2000000000000075E-3</v>
      </c>
    </row>
    <row r="93" spans="1:22">
      <c r="A93" s="161">
        <v>82</v>
      </c>
      <c r="B93" s="148" t="s">
        <v>143</v>
      </c>
      <c r="C93" s="147" t="s">
        <v>77</v>
      </c>
      <c r="D93" s="38">
        <v>148781809.65000001</v>
      </c>
      <c r="E93" s="34">
        <f t="shared" si="57"/>
        <v>6.1691974417026844E-4</v>
      </c>
      <c r="F93" s="37">
        <v>1000.7</v>
      </c>
      <c r="G93" s="37">
        <v>1010.7</v>
      </c>
      <c r="H93" s="35">
        <v>70</v>
      </c>
      <c r="I93" s="56">
        <v>2.0999999999999999E-3</v>
      </c>
      <c r="J93" s="56">
        <v>2.6700000000000002E-2</v>
      </c>
      <c r="K93" s="38">
        <v>149117987.47999999</v>
      </c>
      <c r="L93" s="34">
        <f t="shared" si="51"/>
        <v>6.207348328534679E-4</v>
      </c>
      <c r="M93" s="37">
        <v>1001.63</v>
      </c>
      <c r="N93" s="37">
        <v>1012.09</v>
      </c>
      <c r="O93" s="35">
        <v>70</v>
      </c>
      <c r="P93" s="56">
        <v>1.1999999999999999E-3</v>
      </c>
      <c r="Q93" s="56">
        <v>2.7900000000000001E-2</v>
      </c>
      <c r="R93" s="61">
        <f t="shared" si="52"/>
        <v>2.2595358316370856E-3</v>
      </c>
      <c r="S93" s="61">
        <f t="shared" si="53"/>
        <v>1.3752844563173902E-3</v>
      </c>
      <c r="T93" s="61">
        <f t="shared" si="54"/>
        <v>0</v>
      </c>
      <c r="U93" s="62">
        <f t="shared" si="55"/>
        <v>-8.9999999999999998E-4</v>
      </c>
      <c r="V93" s="63">
        <f t="shared" si="56"/>
        <v>1.1999999999999997E-3</v>
      </c>
    </row>
    <row r="94" spans="1:22">
      <c r="A94" s="161">
        <v>83</v>
      </c>
      <c r="B94" s="148" t="s">
        <v>144</v>
      </c>
      <c r="C94" s="147" t="s">
        <v>80</v>
      </c>
      <c r="D94" s="38">
        <v>743540475</v>
      </c>
      <c r="E94" s="34">
        <f t="shared" si="57"/>
        <v>3.0830704418524989E-3</v>
      </c>
      <c r="F94" s="67">
        <v>1.2258</v>
      </c>
      <c r="G94" s="67">
        <v>1.2258</v>
      </c>
      <c r="H94" s="35">
        <v>61</v>
      </c>
      <c r="I94" s="56">
        <v>0.13557</v>
      </c>
      <c r="J94" s="56">
        <v>0.15690000000000001</v>
      </c>
      <c r="K94" s="38">
        <v>747440559.57000005</v>
      </c>
      <c r="L94" s="34">
        <f t="shared" si="51"/>
        <v>3.1113777663798882E-3</v>
      </c>
      <c r="M94" s="67">
        <v>1.2329000000000001</v>
      </c>
      <c r="N94" s="67">
        <v>1.2329000000000001</v>
      </c>
      <c r="O94" s="35">
        <v>60</v>
      </c>
      <c r="P94" s="56">
        <v>0.13557</v>
      </c>
      <c r="Q94" s="56">
        <v>0.15529999999999999</v>
      </c>
      <c r="R94" s="61">
        <f t="shared" si="52"/>
        <v>5.2452888593590716E-3</v>
      </c>
      <c r="S94" s="61">
        <f t="shared" si="53"/>
        <v>5.7921357480829709E-3</v>
      </c>
      <c r="T94" s="61">
        <f t="shared" si="54"/>
        <v>-1.6393442622950821E-2</v>
      </c>
      <c r="U94" s="62">
        <f t="shared" si="55"/>
        <v>0</v>
      </c>
      <c r="V94" s="63">
        <f t="shared" si="56"/>
        <v>-1.6000000000000181E-3</v>
      </c>
    </row>
    <row r="95" spans="1:22">
      <c r="A95" s="161">
        <v>84</v>
      </c>
      <c r="B95" s="148" t="s">
        <v>145</v>
      </c>
      <c r="C95" s="147" t="s">
        <v>82</v>
      </c>
      <c r="D95" s="67">
        <v>11637505018.73</v>
      </c>
      <c r="E95" s="34">
        <f t="shared" si="57"/>
        <v>4.8254599374911729E-2</v>
      </c>
      <c r="F95" s="67">
        <v>1697.96</v>
      </c>
      <c r="G95" s="67">
        <v>1697.96</v>
      </c>
      <c r="H95" s="35">
        <v>2035</v>
      </c>
      <c r="I95" s="56">
        <v>1.6999999999999999E-3</v>
      </c>
      <c r="J95" s="56">
        <v>1.9E-2</v>
      </c>
      <c r="K95" s="67">
        <v>11648023675.299999</v>
      </c>
      <c r="L95" s="34">
        <f t="shared" si="51"/>
        <v>4.8487336446452034E-2</v>
      </c>
      <c r="M95" s="67">
        <v>1701.75</v>
      </c>
      <c r="N95" s="67">
        <v>1701.75</v>
      </c>
      <c r="O95" s="35">
        <v>2036</v>
      </c>
      <c r="P95" s="56">
        <v>2.2000000000000001E-3</v>
      </c>
      <c r="Q95" s="56">
        <v>2.1299999999999999E-2</v>
      </c>
      <c r="R95" s="61">
        <f t="shared" si="52"/>
        <v>9.0385839173176964E-4</v>
      </c>
      <c r="S95" s="61">
        <f t="shared" si="53"/>
        <v>2.2320902730335011E-3</v>
      </c>
      <c r="T95" s="61">
        <f t="shared" si="54"/>
        <v>4.9140049140049139E-4</v>
      </c>
      <c r="U95" s="62">
        <f t="shared" si="55"/>
        <v>5.0000000000000023E-4</v>
      </c>
      <c r="V95" s="63">
        <f t="shared" si="56"/>
        <v>2.3E-3</v>
      </c>
    </row>
    <row r="96" spans="1:22">
      <c r="A96" s="161">
        <v>85</v>
      </c>
      <c r="B96" s="148" t="s">
        <v>146</v>
      </c>
      <c r="C96" s="147" t="s">
        <v>90</v>
      </c>
      <c r="D96" s="38">
        <v>24515297.309999999</v>
      </c>
      <c r="E96" s="34">
        <f t="shared" si="57"/>
        <v>1.016520163339959E-4</v>
      </c>
      <c r="F96" s="66">
        <v>0.74890000000000001</v>
      </c>
      <c r="G96" s="66">
        <v>0.74680000000000002</v>
      </c>
      <c r="H96" s="35">
        <v>744</v>
      </c>
      <c r="I96" s="56">
        <v>2.8E-3</v>
      </c>
      <c r="J96" s="56">
        <v>2.6700000000000002E-2</v>
      </c>
      <c r="K96" s="38">
        <v>23648228.829999998</v>
      </c>
      <c r="L96" s="34">
        <f t="shared" si="51"/>
        <v>9.8440702011482175E-5</v>
      </c>
      <c r="M96" s="66">
        <v>0.72240000000000004</v>
      </c>
      <c r="N96" s="66">
        <v>0.72240000000000004</v>
      </c>
      <c r="O96" s="35">
        <v>744</v>
      </c>
      <c r="P96" s="56">
        <v>-3.5000000000000003E-2</v>
      </c>
      <c r="Q96" s="56">
        <v>-9.5999999999999992E-3</v>
      </c>
      <c r="R96" s="61">
        <f t="shared" si="52"/>
        <v>-3.5368466840755619E-2</v>
      </c>
      <c r="S96" s="61">
        <f t="shared" si="53"/>
        <v>-3.2672737011247961E-2</v>
      </c>
      <c r="T96" s="61">
        <f t="shared" si="54"/>
        <v>0</v>
      </c>
      <c r="U96" s="62">
        <f t="shared" si="55"/>
        <v>-3.78E-2</v>
      </c>
      <c r="V96" s="63">
        <f t="shared" si="56"/>
        <v>-3.6299999999999999E-2</v>
      </c>
    </row>
    <row r="97" spans="1:22">
      <c r="A97" s="161">
        <v>86</v>
      </c>
      <c r="B97" s="148" t="s">
        <v>147</v>
      </c>
      <c r="C97" s="147" t="s">
        <v>36</v>
      </c>
      <c r="D97" s="38">
        <v>11974600572.469999</v>
      </c>
      <c r="E97" s="34">
        <f t="shared" si="57"/>
        <v>4.9652356958741574E-2</v>
      </c>
      <c r="F97" s="66">
        <v>1</v>
      </c>
      <c r="G97" s="66">
        <v>1</v>
      </c>
      <c r="H97" s="35">
        <v>5724</v>
      </c>
      <c r="I97" s="56">
        <v>0.06</v>
      </c>
      <c r="J97" s="56">
        <v>0.06</v>
      </c>
      <c r="K97" s="38">
        <v>12269987830.83</v>
      </c>
      <c r="L97" s="34">
        <f t="shared" si="51"/>
        <v>5.1076392419163202E-2</v>
      </c>
      <c r="M97" s="66">
        <v>1</v>
      </c>
      <c r="N97" s="66">
        <v>1</v>
      </c>
      <c r="O97" s="35">
        <v>5750</v>
      </c>
      <c r="P97" s="56">
        <v>0.06</v>
      </c>
      <c r="Q97" s="56">
        <v>0.06</v>
      </c>
      <c r="R97" s="61">
        <f t="shared" si="52"/>
        <v>2.4667817233011147E-2</v>
      </c>
      <c r="S97" s="61">
        <f t="shared" si="53"/>
        <v>0</v>
      </c>
      <c r="T97" s="61">
        <f t="shared" si="54"/>
        <v>4.5422781271837872E-3</v>
      </c>
      <c r="U97" s="62">
        <f t="shared" si="55"/>
        <v>0</v>
      </c>
      <c r="V97" s="63">
        <f t="shared" si="56"/>
        <v>0</v>
      </c>
    </row>
    <row r="98" spans="1:22">
      <c r="A98" s="161">
        <v>87</v>
      </c>
      <c r="B98" s="148" t="s">
        <v>148</v>
      </c>
      <c r="C98" s="147" t="s">
        <v>149</v>
      </c>
      <c r="D98" s="38">
        <v>1685137346.3699999</v>
      </c>
      <c r="E98" s="34">
        <f t="shared" si="57"/>
        <v>6.9873763671777292E-3</v>
      </c>
      <c r="F98" s="38">
        <v>278.76</v>
      </c>
      <c r="G98" s="38">
        <v>278.76</v>
      </c>
      <c r="H98" s="35">
        <v>562</v>
      </c>
      <c r="I98" s="56">
        <v>3.0000000000000001E-3</v>
      </c>
      <c r="J98" s="56">
        <v>0.16980000000000001</v>
      </c>
      <c r="K98" s="38">
        <v>1783209413.9400001</v>
      </c>
      <c r="L98" s="34">
        <f t="shared" si="51"/>
        <v>7.4229824061516122E-3</v>
      </c>
      <c r="M98" s="38">
        <v>279.27</v>
      </c>
      <c r="N98" s="38">
        <v>279.27</v>
      </c>
      <c r="O98" s="35">
        <v>562</v>
      </c>
      <c r="P98" s="56">
        <v>3.0000000000000001E-3</v>
      </c>
      <c r="Q98" s="56">
        <v>0.16980000000000001</v>
      </c>
      <c r="R98" s="61">
        <f t="shared" si="52"/>
        <v>5.8198263649701834E-2</v>
      </c>
      <c r="S98" s="61">
        <f t="shared" si="53"/>
        <v>1.8295307791648405E-3</v>
      </c>
      <c r="T98" s="61">
        <f t="shared" si="54"/>
        <v>0</v>
      </c>
      <c r="U98" s="62">
        <f t="shared" si="55"/>
        <v>0</v>
      </c>
      <c r="V98" s="63">
        <f t="shared" si="56"/>
        <v>0</v>
      </c>
    </row>
    <row r="99" spans="1:22">
      <c r="A99" s="161">
        <v>88</v>
      </c>
      <c r="B99" s="148" t="s">
        <v>150</v>
      </c>
      <c r="C99" s="147" t="s">
        <v>40</v>
      </c>
      <c r="D99" s="38">
        <v>1117980047.1700001</v>
      </c>
      <c r="E99" s="34">
        <f t="shared" si="57"/>
        <v>4.6356739866927751E-3</v>
      </c>
      <c r="F99" s="66">
        <v>3.75</v>
      </c>
      <c r="G99" s="66">
        <v>3.79</v>
      </c>
      <c r="H99" s="52">
        <v>805</v>
      </c>
      <c r="I99" s="59">
        <v>3.6499999999999998E-2</v>
      </c>
      <c r="J99" s="59">
        <v>0.16819999999999999</v>
      </c>
      <c r="K99" s="38">
        <v>1120477426.04</v>
      </c>
      <c r="L99" s="34">
        <f t="shared" si="51"/>
        <v>4.6642217986096936E-3</v>
      </c>
      <c r="M99" s="66">
        <v>3.76</v>
      </c>
      <c r="N99" s="66">
        <v>3.79</v>
      </c>
      <c r="O99" s="52">
        <v>806</v>
      </c>
      <c r="P99" s="59">
        <v>3.8899999999999997E-2</v>
      </c>
      <c r="Q99" s="59">
        <v>0.16489999999999999</v>
      </c>
      <c r="R99" s="61">
        <f t="shared" si="52"/>
        <v>2.2338313428058292E-3</v>
      </c>
      <c r="S99" s="61">
        <f t="shared" si="53"/>
        <v>0</v>
      </c>
      <c r="T99" s="61">
        <f t="shared" si="54"/>
        <v>1.2422360248447205E-3</v>
      </c>
      <c r="U99" s="62">
        <f t="shared" si="55"/>
        <v>2.3999999999999994E-3</v>
      </c>
      <c r="V99" s="63">
        <f t="shared" si="56"/>
        <v>-3.2999999999999974E-3</v>
      </c>
    </row>
    <row r="100" spans="1:22">
      <c r="A100" s="161">
        <v>89</v>
      </c>
      <c r="B100" s="148" t="s">
        <v>151</v>
      </c>
      <c r="C100" s="147" t="s">
        <v>42</v>
      </c>
      <c r="D100" s="38">
        <v>785543624.01999998</v>
      </c>
      <c r="E100" s="34">
        <f t="shared" si="57"/>
        <v>3.257235361668448E-3</v>
      </c>
      <c r="F100" s="66">
        <v>112.78018</v>
      </c>
      <c r="G100" s="66">
        <v>112.78018</v>
      </c>
      <c r="H100" s="52">
        <v>249</v>
      </c>
      <c r="I100" s="59">
        <v>0.14349999999999999</v>
      </c>
      <c r="J100" s="59">
        <v>0.16550000000000001</v>
      </c>
      <c r="K100" s="38">
        <v>785165014.39999998</v>
      </c>
      <c r="L100" s="34">
        <f t="shared" si="51"/>
        <v>3.2684137052301819E-3</v>
      </c>
      <c r="M100" s="66">
        <v>112.88665</v>
      </c>
      <c r="N100" s="66">
        <v>112.88665</v>
      </c>
      <c r="O100" s="52">
        <v>251</v>
      </c>
      <c r="P100" s="59">
        <v>0.14729999999999999</v>
      </c>
      <c r="Q100" s="59">
        <v>0.1694</v>
      </c>
      <c r="R100" s="61">
        <f t="shared" si="52"/>
        <v>-4.819714760874507E-4</v>
      </c>
      <c r="S100" s="61">
        <f t="shared" si="53"/>
        <v>9.4404885681155699E-4</v>
      </c>
      <c r="T100" s="61">
        <f t="shared" si="54"/>
        <v>8.0321285140562242E-3</v>
      </c>
      <c r="U100" s="62">
        <f t="shared" si="55"/>
        <v>3.7999999999999978E-3</v>
      </c>
      <c r="V100" s="63">
        <f t="shared" si="56"/>
        <v>3.8999999999999868E-3</v>
      </c>
    </row>
    <row r="101" spans="1:22">
      <c r="A101" s="161">
        <v>90</v>
      </c>
      <c r="B101" s="147" t="s">
        <v>152</v>
      </c>
      <c r="C101" s="149" t="s">
        <v>46</v>
      </c>
      <c r="D101" s="38">
        <v>1169459032.6600001</v>
      </c>
      <c r="E101" s="34">
        <f t="shared" si="57"/>
        <v>4.8491302057920415E-3</v>
      </c>
      <c r="F101" s="66">
        <v>115.37</v>
      </c>
      <c r="G101" s="66">
        <v>116.24</v>
      </c>
      <c r="H101" s="35">
        <v>3130</v>
      </c>
      <c r="I101" s="56">
        <v>-2.8E-3</v>
      </c>
      <c r="J101" s="56">
        <v>4.3900000000000002E-2</v>
      </c>
      <c r="K101" s="38">
        <v>1174488957.46</v>
      </c>
      <c r="L101" s="34">
        <f t="shared" si="51"/>
        <v>4.8890561026043756E-3</v>
      </c>
      <c r="M101" s="66">
        <v>115.48</v>
      </c>
      <c r="N101" s="66">
        <v>116.39</v>
      </c>
      <c r="O101" s="35">
        <v>3173</v>
      </c>
      <c r="P101" s="56">
        <v>3.7000000000000002E-3</v>
      </c>
      <c r="Q101" s="56">
        <v>5.3800000000000001E-2</v>
      </c>
      <c r="R101" s="61">
        <f t="shared" si="52"/>
        <v>4.3010696907946457E-3</v>
      </c>
      <c r="S101" s="61">
        <f t="shared" si="53"/>
        <v>1.2904335856848391E-3</v>
      </c>
      <c r="T101" s="61">
        <f t="shared" si="54"/>
        <v>1.3738019169329074E-2</v>
      </c>
      <c r="U101" s="62">
        <f t="shared" si="55"/>
        <v>6.5000000000000006E-3</v>
      </c>
      <c r="V101" s="63">
        <f t="shared" si="56"/>
        <v>9.8999999999999991E-3</v>
      </c>
    </row>
    <row r="102" spans="1:22">
      <c r="A102" s="161">
        <v>91</v>
      </c>
      <c r="B102" s="148" t="s">
        <v>153</v>
      </c>
      <c r="C102" s="147" t="s">
        <v>19</v>
      </c>
      <c r="D102" s="140">
        <v>1686884164.1199999</v>
      </c>
      <c r="E102" s="142">
        <f t="shared" si="57"/>
        <v>6.9946194996680323E-3</v>
      </c>
      <c r="F102" s="143">
        <v>400.69779999999997</v>
      </c>
      <c r="G102" s="143">
        <v>400.69779999999997</v>
      </c>
      <c r="H102" s="36">
        <v>89</v>
      </c>
      <c r="I102" s="57">
        <v>2.5000000000000001E-3</v>
      </c>
      <c r="J102" s="57">
        <v>4.2299999999999997E-2</v>
      </c>
      <c r="K102" s="140">
        <v>1692391339.55</v>
      </c>
      <c r="L102" s="142">
        <f t="shared" si="51"/>
        <v>7.0449331635402106E-3</v>
      </c>
      <c r="M102" s="143">
        <v>401.69029999999998</v>
      </c>
      <c r="N102" s="143">
        <v>401.69029999999998</v>
      </c>
      <c r="O102" s="36">
        <v>96</v>
      </c>
      <c r="P102" s="57">
        <v>2.5000000000000001E-3</v>
      </c>
      <c r="Q102" s="57">
        <v>4.48E-2</v>
      </c>
      <c r="R102" s="62">
        <f t="shared" si="52"/>
        <v>3.2647027858448154E-3</v>
      </c>
      <c r="S102" s="62">
        <f t="shared" si="53"/>
        <v>2.4769289973641155E-3</v>
      </c>
      <c r="T102" s="62">
        <f t="shared" si="54"/>
        <v>7.8651685393258425E-2</v>
      </c>
      <c r="U102" s="62">
        <f t="shared" si="55"/>
        <v>0</v>
      </c>
      <c r="V102" s="63">
        <f t="shared" si="56"/>
        <v>2.5000000000000022E-3</v>
      </c>
    </row>
    <row r="103" spans="1:22">
      <c r="A103" s="161">
        <v>92</v>
      </c>
      <c r="B103" s="148" t="s">
        <v>154</v>
      </c>
      <c r="C103" s="147" t="s">
        <v>102</v>
      </c>
      <c r="D103" s="50">
        <v>5708704414</v>
      </c>
      <c r="E103" s="34">
        <f>(D103/$K$76)</f>
        <v>1.0235456223474729E-3</v>
      </c>
      <c r="F103" s="66">
        <v>104.92</v>
      </c>
      <c r="G103" s="66">
        <v>104.92</v>
      </c>
      <c r="H103" s="35">
        <v>494</v>
      </c>
      <c r="I103" s="56">
        <v>0</v>
      </c>
      <c r="J103" s="56">
        <v>0.16300000000000001</v>
      </c>
      <c r="K103" s="50">
        <v>5659827170</v>
      </c>
      <c r="L103" s="34">
        <f t="shared" ref="L103:L117" si="65">(K103/$K$118)</f>
        <v>2.3560215180751892E-2</v>
      </c>
      <c r="M103" s="66">
        <v>103.14</v>
      </c>
      <c r="N103" s="66">
        <v>103.14</v>
      </c>
      <c r="O103" s="35">
        <v>494</v>
      </c>
      <c r="P103" s="56">
        <v>-1.6899999999999998E-2</v>
      </c>
      <c r="Q103" s="56">
        <v>0.1512</v>
      </c>
      <c r="R103" s="61">
        <f t="shared" si="52"/>
        <v>-8.5618803243926369E-3</v>
      </c>
      <c r="S103" s="61">
        <f t="shared" si="53"/>
        <v>-1.6965306900495625E-2</v>
      </c>
      <c r="T103" s="61">
        <f t="shared" si="54"/>
        <v>0</v>
      </c>
      <c r="U103" s="62">
        <f t="shared" si="55"/>
        <v>-1.6899999999999998E-2</v>
      </c>
      <c r="V103" s="63">
        <f t="shared" si="56"/>
        <v>-1.1800000000000005E-2</v>
      </c>
    </row>
    <row r="104" spans="1:22">
      <c r="A104" s="161">
        <v>93</v>
      </c>
      <c r="B104" s="148" t="s">
        <v>155</v>
      </c>
      <c r="C104" s="147" t="s">
        <v>44</v>
      </c>
      <c r="D104" s="38">
        <v>61563736.880000003</v>
      </c>
      <c r="E104" s="34">
        <f t="shared" ref="E104:E117" si="66">(D104/$D$118)</f>
        <v>2.5527236760677029E-4</v>
      </c>
      <c r="F104" s="38">
        <v>12.779308</v>
      </c>
      <c r="G104" s="38">
        <v>13.44</v>
      </c>
      <c r="H104" s="35">
        <v>54</v>
      </c>
      <c r="I104" s="56">
        <v>-3.0000000000000001E-3</v>
      </c>
      <c r="J104" s="56">
        <v>-8.0100000000000005E-2</v>
      </c>
      <c r="K104" s="38">
        <v>61768375.399999999</v>
      </c>
      <c r="L104" s="34">
        <f t="shared" si="65"/>
        <v>2.5712379054667521E-4</v>
      </c>
      <c r="M104" s="38">
        <v>12.779308</v>
      </c>
      <c r="N104" s="38">
        <v>13.44</v>
      </c>
      <c r="O104" s="35">
        <v>54</v>
      </c>
      <c r="P104" s="56">
        <v>-4.0000000000000002E-4</v>
      </c>
      <c r="Q104" s="56">
        <v>-8.43E-2</v>
      </c>
      <c r="R104" s="61">
        <f t="shared" si="52"/>
        <v>3.3240106980327901E-3</v>
      </c>
      <c r="S104" s="61">
        <f t="shared" si="53"/>
        <v>0</v>
      </c>
      <c r="T104" s="61">
        <f t="shared" si="54"/>
        <v>0</v>
      </c>
      <c r="U104" s="62">
        <f t="shared" si="55"/>
        <v>2.5999999999999999E-3</v>
      </c>
      <c r="V104" s="63">
        <f t="shared" si="56"/>
        <v>-4.1999999999999954E-3</v>
      </c>
    </row>
    <row r="105" spans="1:22">
      <c r="A105" s="161">
        <v>94</v>
      </c>
      <c r="B105" s="148" t="s">
        <v>156</v>
      </c>
      <c r="C105" s="147" t="s">
        <v>157</v>
      </c>
      <c r="D105" s="38">
        <v>1001623241.39</v>
      </c>
      <c r="E105" s="34">
        <f t="shared" si="66"/>
        <v>4.1532036428844031E-3</v>
      </c>
      <c r="F105" s="38">
        <v>162.36000000000001</v>
      </c>
      <c r="G105" s="38">
        <v>162.36000000000001</v>
      </c>
      <c r="H105" s="35">
        <v>190</v>
      </c>
      <c r="I105" s="56">
        <v>0.15190000000000001</v>
      </c>
      <c r="J105" s="56">
        <v>0.1905</v>
      </c>
      <c r="K105" s="38">
        <v>1010317159.7</v>
      </c>
      <c r="L105" s="34">
        <f t="shared" si="65"/>
        <v>4.2056566337410036E-3</v>
      </c>
      <c r="M105" s="38">
        <v>162.85</v>
      </c>
      <c r="N105" s="38">
        <v>162.85</v>
      </c>
      <c r="O105" s="35">
        <v>190</v>
      </c>
      <c r="P105" s="56">
        <v>0.16520000000000001</v>
      </c>
      <c r="Q105" s="56">
        <v>0.1888</v>
      </c>
      <c r="R105" s="61">
        <f t="shared" si="52"/>
        <v>8.6798288525484889E-3</v>
      </c>
      <c r="S105" s="61">
        <f t="shared" si="53"/>
        <v>3.017984725301679E-3</v>
      </c>
      <c r="T105" s="61">
        <f t="shared" si="54"/>
        <v>0</v>
      </c>
      <c r="U105" s="62">
        <f t="shared" si="55"/>
        <v>1.3300000000000006E-2</v>
      </c>
      <c r="V105" s="63">
        <f t="shared" si="56"/>
        <v>-1.7000000000000071E-3</v>
      </c>
    </row>
    <row r="106" spans="1:22">
      <c r="A106" s="161">
        <v>95</v>
      </c>
      <c r="B106" s="148" t="s">
        <v>158</v>
      </c>
      <c r="C106" s="147" t="s">
        <v>159</v>
      </c>
      <c r="D106" s="38">
        <v>10297913084.864</v>
      </c>
      <c r="E106" s="34">
        <f t="shared" si="66"/>
        <v>4.2700017702076383E-2</v>
      </c>
      <c r="F106" s="38">
        <v>1.03</v>
      </c>
      <c r="G106" s="38">
        <v>1.03</v>
      </c>
      <c r="H106" s="35">
        <v>5334</v>
      </c>
      <c r="I106" s="56">
        <v>0.16109999999999999</v>
      </c>
      <c r="J106" s="56">
        <v>0.16109999999999999</v>
      </c>
      <c r="K106" s="38">
        <v>11367312649.5222</v>
      </c>
      <c r="L106" s="34">
        <f t="shared" si="65"/>
        <v>4.7318818049637709E-2</v>
      </c>
      <c r="M106" s="38">
        <v>1.03</v>
      </c>
      <c r="N106" s="38">
        <v>1.03</v>
      </c>
      <c r="O106" s="35">
        <v>5334</v>
      </c>
      <c r="P106" s="56">
        <v>0.16109999999999999</v>
      </c>
      <c r="Q106" s="56">
        <v>0.16109999999999999</v>
      </c>
      <c r="R106" s="61">
        <f t="shared" si="52"/>
        <v>0.10384624106315443</v>
      </c>
      <c r="S106" s="61">
        <f t="shared" si="53"/>
        <v>0</v>
      </c>
      <c r="T106" s="61">
        <f t="shared" si="54"/>
        <v>0</v>
      </c>
      <c r="U106" s="62">
        <f t="shared" si="55"/>
        <v>0</v>
      </c>
      <c r="V106" s="63">
        <f t="shared" si="56"/>
        <v>0</v>
      </c>
    </row>
    <row r="107" spans="1:22" ht="14.25" customHeight="1">
      <c r="A107" s="161">
        <v>96</v>
      </c>
      <c r="B107" s="148" t="s">
        <v>160</v>
      </c>
      <c r="C107" s="147" t="s">
        <v>48</v>
      </c>
      <c r="D107" s="38">
        <v>163460335.75</v>
      </c>
      <c r="E107" s="34">
        <f t="shared" si="66"/>
        <v>6.7778385509694047E-4</v>
      </c>
      <c r="F107" s="38">
        <v>0</v>
      </c>
      <c r="G107" s="38">
        <v>0</v>
      </c>
      <c r="H107" s="35">
        <v>6</v>
      </c>
      <c r="I107" s="56">
        <v>0</v>
      </c>
      <c r="J107" s="56">
        <v>0</v>
      </c>
      <c r="K107" s="38">
        <v>163460335.75</v>
      </c>
      <c r="L107" s="34">
        <f t="shared" si="65"/>
        <v>6.8043785933978454E-4</v>
      </c>
      <c r="M107" s="38">
        <v>0</v>
      </c>
      <c r="N107" s="38">
        <v>0</v>
      </c>
      <c r="O107" s="35">
        <v>1</v>
      </c>
      <c r="P107" s="56">
        <v>0</v>
      </c>
      <c r="Q107" s="56">
        <v>0</v>
      </c>
      <c r="R107" s="61">
        <f t="shared" si="52"/>
        <v>0</v>
      </c>
      <c r="S107" s="61" t="e">
        <f t="shared" si="53"/>
        <v>#DIV/0!</v>
      </c>
      <c r="T107" s="61">
        <f t="shared" si="54"/>
        <v>-0.83333333333333337</v>
      </c>
      <c r="U107" s="62">
        <f t="shared" si="55"/>
        <v>0</v>
      </c>
      <c r="V107" s="63">
        <f t="shared" si="56"/>
        <v>0</v>
      </c>
    </row>
    <row r="108" spans="1:22" ht="13.5" customHeight="1">
      <c r="A108" s="161">
        <v>97</v>
      </c>
      <c r="B108" s="148" t="s">
        <v>161</v>
      </c>
      <c r="C108" s="147" t="s">
        <v>48</v>
      </c>
      <c r="D108" s="38">
        <v>15310718651.530001</v>
      </c>
      <c r="E108" s="34">
        <f t="shared" si="66"/>
        <v>6.3485480219556162E-2</v>
      </c>
      <c r="F108" s="66">
        <v>259.25</v>
      </c>
      <c r="G108" s="66">
        <v>259.25</v>
      </c>
      <c r="H108" s="35">
        <v>5931</v>
      </c>
      <c r="I108" s="56">
        <v>0</v>
      </c>
      <c r="J108" s="56">
        <v>0</v>
      </c>
      <c r="K108" s="38">
        <v>15180509317.450001</v>
      </c>
      <c r="L108" s="34">
        <f t="shared" si="65"/>
        <v>6.3192047271035487E-2</v>
      </c>
      <c r="M108" s="66">
        <v>259.25</v>
      </c>
      <c r="N108" s="66">
        <v>259.25</v>
      </c>
      <c r="O108" s="35">
        <v>5928</v>
      </c>
      <c r="P108" s="56">
        <v>0</v>
      </c>
      <c r="Q108" s="56">
        <v>0</v>
      </c>
      <c r="R108" s="61">
        <f t="shared" si="52"/>
        <v>-8.5044560639867869E-3</v>
      </c>
      <c r="S108" s="61">
        <f t="shared" si="53"/>
        <v>0</v>
      </c>
      <c r="T108" s="61">
        <f t="shared" si="54"/>
        <v>-5.0581689428426911E-4</v>
      </c>
      <c r="U108" s="62">
        <f t="shared" si="55"/>
        <v>0</v>
      </c>
      <c r="V108" s="63">
        <f t="shared" si="56"/>
        <v>0</v>
      </c>
    </row>
    <row r="109" spans="1:22" ht="13.5" customHeight="1">
      <c r="A109" s="161">
        <v>98</v>
      </c>
      <c r="B109" s="148" t="s">
        <v>162</v>
      </c>
      <c r="C109" s="147" t="s">
        <v>48</v>
      </c>
      <c r="D109" s="38">
        <v>1001204422.83</v>
      </c>
      <c r="E109" s="34">
        <f t="shared" si="66"/>
        <v>4.1514670230684671E-3</v>
      </c>
      <c r="F109" s="37">
        <v>10432.43</v>
      </c>
      <c r="G109" s="37">
        <v>10472.57</v>
      </c>
      <c r="H109" s="35">
        <v>27</v>
      </c>
      <c r="I109" s="56">
        <v>-4.0000000000000002E-4</v>
      </c>
      <c r="J109" s="56">
        <v>0.1113</v>
      </c>
      <c r="K109" s="38">
        <v>1001394040.2</v>
      </c>
      <c r="L109" s="34">
        <f t="shared" si="65"/>
        <v>4.168512281238883E-3</v>
      </c>
      <c r="M109" s="37">
        <v>10430.66</v>
      </c>
      <c r="N109" s="37">
        <v>10470.81</v>
      </c>
      <c r="O109" s="35">
        <v>27</v>
      </c>
      <c r="P109" s="56">
        <v>1E-4</v>
      </c>
      <c r="Q109" s="56">
        <v>0.1115</v>
      </c>
      <c r="R109" s="61">
        <f t="shared" si="52"/>
        <v>1.8938926524518653E-4</v>
      </c>
      <c r="S109" s="61">
        <f t="shared" si="53"/>
        <v>-1.6805807934444156E-4</v>
      </c>
      <c r="T109" s="61">
        <f t="shared" si="54"/>
        <v>0</v>
      </c>
      <c r="U109" s="62">
        <f t="shared" si="55"/>
        <v>5.0000000000000001E-4</v>
      </c>
      <c r="V109" s="63">
        <f t="shared" si="56"/>
        <v>2.0000000000000573E-4</v>
      </c>
    </row>
    <row r="110" spans="1:22" ht="15" customHeight="1">
      <c r="A110" s="161">
        <v>99</v>
      </c>
      <c r="B110" s="148" t="s">
        <v>163</v>
      </c>
      <c r="C110" s="147" t="s">
        <v>48</v>
      </c>
      <c r="D110" s="38">
        <v>6662967966.0100002</v>
      </c>
      <c r="E110" s="34">
        <f t="shared" si="66"/>
        <v>2.7627816214060838E-2</v>
      </c>
      <c r="F110" s="66">
        <v>167.33</v>
      </c>
      <c r="G110" s="66">
        <v>167.33</v>
      </c>
      <c r="H110" s="35">
        <v>6038</v>
      </c>
      <c r="I110" s="56">
        <v>2.8999999999999998E-3</v>
      </c>
      <c r="J110" s="56">
        <v>3.6499999999999998E-2</v>
      </c>
      <c r="K110" s="38">
        <v>6785316184.6400003</v>
      </c>
      <c r="L110" s="34">
        <f t="shared" si="65"/>
        <v>2.8245298765820236E-2</v>
      </c>
      <c r="M110" s="66">
        <v>170.69</v>
      </c>
      <c r="N110" s="66">
        <v>170.69</v>
      </c>
      <c r="O110" s="35">
        <v>6093</v>
      </c>
      <c r="P110" s="56">
        <v>2.0500000000000001E-2</v>
      </c>
      <c r="Q110" s="56">
        <v>5.7799999999999997E-2</v>
      </c>
      <c r="R110" s="61">
        <f t="shared" si="52"/>
        <v>1.8362420358935955E-2</v>
      </c>
      <c r="S110" s="61">
        <f t="shared" si="53"/>
        <v>2.0080081276519363E-2</v>
      </c>
      <c r="T110" s="61">
        <f t="shared" si="54"/>
        <v>9.1089764822789004E-3</v>
      </c>
      <c r="U110" s="62">
        <f t="shared" si="55"/>
        <v>1.7600000000000001E-2</v>
      </c>
      <c r="V110" s="63">
        <f t="shared" si="56"/>
        <v>2.1299999999999999E-2</v>
      </c>
    </row>
    <row r="111" spans="1:22" ht="15" customHeight="1">
      <c r="A111" s="161">
        <v>100</v>
      </c>
      <c r="B111" s="148" t="s">
        <v>164</v>
      </c>
      <c r="C111" s="147" t="s">
        <v>48</v>
      </c>
      <c r="D111" s="38">
        <v>5698649520.5299997</v>
      </c>
      <c r="E111" s="34">
        <f t="shared" si="66"/>
        <v>2.3629295897069972E-2</v>
      </c>
      <c r="F111" s="66">
        <v>388.09</v>
      </c>
      <c r="G111" s="66">
        <v>388.09</v>
      </c>
      <c r="H111" s="35">
        <v>11740</v>
      </c>
      <c r="I111" s="56">
        <v>0</v>
      </c>
      <c r="J111" s="56">
        <v>7.4000000000000003E-3</v>
      </c>
      <c r="K111" s="38">
        <v>5710048215.6099997</v>
      </c>
      <c r="L111" s="34">
        <f t="shared" si="65"/>
        <v>2.3769270794224615E-2</v>
      </c>
      <c r="M111" s="66">
        <v>388.1</v>
      </c>
      <c r="N111" s="66">
        <v>388.1</v>
      </c>
      <c r="O111" s="35">
        <v>11803</v>
      </c>
      <c r="P111" s="56">
        <v>1E-4</v>
      </c>
      <c r="Q111" s="56">
        <v>7.4999999999999997E-3</v>
      </c>
      <c r="R111" s="61">
        <f t="shared" si="52"/>
        <v>2.0002449771537793E-3</v>
      </c>
      <c r="S111" s="61">
        <f t="shared" si="53"/>
        <v>2.5767218944182404E-5</v>
      </c>
      <c r="T111" s="61">
        <f t="shared" si="54"/>
        <v>5.3662691652470191E-3</v>
      </c>
      <c r="U111" s="62">
        <f t="shared" si="55"/>
        <v>1E-4</v>
      </c>
      <c r="V111" s="63">
        <f t="shared" si="56"/>
        <v>9.9999999999999395E-5</v>
      </c>
    </row>
    <row r="112" spans="1:22" ht="15" customHeight="1">
      <c r="A112" s="161">
        <v>101</v>
      </c>
      <c r="B112" s="148" t="s">
        <v>165</v>
      </c>
      <c r="C112" s="147" t="s">
        <v>116</v>
      </c>
      <c r="D112" s="38">
        <v>117141085.58</v>
      </c>
      <c r="E112" s="34">
        <f t="shared" si="66"/>
        <v>4.8572233875797009E-4</v>
      </c>
      <c r="F112" s="66">
        <v>117.93219999999999</v>
      </c>
      <c r="G112" s="66">
        <v>117.93219999999999</v>
      </c>
      <c r="H112" s="35">
        <v>27</v>
      </c>
      <c r="I112" s="56">
        <v>2.8219E-3</v>
      </c>
      <c r="J112" s="56">
        <v>0.17674100000000001</v>
      </c>
      <c r="K112" s="38">
        <v>117419351.23999999</v>
      </c>
      <c r="L112" s="34">
        <f t="shared" si="65"/>
        <v>4.8878262507063197E-4</v>
      </c>
      <c r="M112" s="66">
        <v>118.17919999999999</v>
      </c>
      <c r="N112" s="66">
        <v>118.17919999999999</v>
      </c>
      <c r="O112" s="35">
        <v>27</v>
      </c>
      <c r="P112" s="56">
        <v>1.8048999999999999E-3</v>
      </c>
      <c r="Q112" s="56">
        <v>0.1739</v>
      </c>
      <c r="R112" s="61">
        <f t="shared" ref="R112" si="67">((K112-D112)/D112)</f>
        <v>2.3754744855079774E-3</v>
      </c>
      <c r="S112" s="61">
        <f t="shared" ref="S112" si="68">((N112-G112)/G112)</f>
        <v>2.0944237451688335E-3</v>
      </c>
      <c r="T112" s="61">
        <f t="shared" ref="T112" si="69">((O112-H112)/H112)</f>
        <v>0</v>
      </c>
      <c r="U112" s="62">
        <f t="shared" ref="U112" si="70">P112-I112</f>
        <v>-1.0170000000000001E-3</v>
      </c>
      <c r="V112" s="63">
        <f t="shared" ref="V112" si="71">Q112-J112</f>
        <v>-2.8410000000000102E-3</v>
      </c>
    </row>
    <row r="113" spans="1:28">
      <c r="A113" s="161">
        <v>102</v>
      </c>
      <c r="B113" s="148" t="s">
        <v>166</v>
      </c>
      <c r="C113" s="147" t="s">
        <v>51</v>
      </c>
      <c r="D113" s="38">
        <v>78390855806.380005</v>
      </c>
      <c r="E113" s="34">
        <f t="shared" si="66"/>
        <v>0.32504556049644978</v>
      </c>
      <c r="F113" s="38">
        <v>2.01627</v>
      </c>
      <c r="G113" s="38">
        <v>2.01627</v>
      </c>
      <c r="H113" s="35">
        <v>6990</v>
      </c>
      <c r="I113" s="56">
        <v>2.0999999999999999E-3</v>
      </c>
      <c r="J113" s="56">
        <v>8.5199999999999998E-2</v>
      </c>
      <c r="K113" s="38">
        <v>77774594875.610001</v>
      </c>
      <c r="L113" s="34">
        <f t="shared" si="65"/>
        <v>0.32375302916982446</v>
      </c>
      <c r="M113" s="38">
        <v>2.0192199999999998</v>
      </c>
      <c r="N113" s="38">
        <v>2.0192199999999998</v>
      </c>
      <c r="O113" s="35">
        <v>7005</v>
      </c>
      <c r="P113" s="56">
        <v>1.5E-3</v>
      </c>
      <c r="Q113" s="56">
        <v>8.5699999999999998E-2</v>
      </c>
      <c r="R113" s="61">
        <f t="shared" si="52"/>
        <v>-7.8613879696903186E-3</v>
      </c>
      <c r="S113" s="61">
        <f t="shared" si="53"/>
        <v>1.4630977002086953E-3</v>
      </c>
      <c r="T113" s="61">
        <f t="shared" si="54"/>
        <v>2.1459227467811159E-3</v>
      </c>
      <c r="U113" s="62">
        <f t="shared" si="55"/>
        <v>-5.9999999999999984E-4</v>
      </c>
      <c r="V113" s="63">
        <f t="shared" si="56"/>
        <v>5.0000000000000044E-4</v>
      </c>
    </row>
    <row r="114" spans="1:28">
      <c r="A114" s="161">
        <v>103</v>
      </c>
      <c r="B114" s="148" t="s">
        <v>167</v>
      </c>
      <c r="C114" s="147" t="s">
        <v>51</v>
      </c>
      <c r="D114" s="38">
        <v>67659227266.709999</v>
      </c>
      <c r="E114" s="34">
        <f t="shared" si="66"/>
        <v>0.28054715340758585</v>
      </c>
      <c r="F114" s="38">
        <v>133.50291000000001</v>
      </c>
      <c r="G114" s="38">
        <v>133.50291000000001</v>
      </c>
      <c r="H114" s="35">
        <v>1466</v>
      </c>
      <c r="I114" s="56">
        <v>3.5999999999999999E-3</v>
      </c>
      <c r="J114" s="56">
        <v>0.1575</v>
      </c>
      <c r="K114" s="38">
        <v>65323278862.220001</v>
      </c>
      <c r="L114" s="34">
        <f t="shared" si="65"/>
        <v>0.27192182023928563</v>
      </c>
      <c r="M114" s="38">
        <v>133.85664</v>
      </c>
      <c r="N114" s="38">
        <v>133.85664</v>
      </c>
      <c r="O114" s="35">
        <v>1482</v>
      </c>
      <c r="P114" s="56">
        <v>2.7000000000000001E-3</v>
      </c>
      <c r="Q114" s="56">
        <v>0.15859999999999999</v>
      </c>
      <c r="R114" s="61">
        <f t="shared" ref="R114:R116" si="72">((K114-D114)/D114)</f>
        <v>-3.4525200757640664E-2</v>
      </c>
      <c r="S114" s="61">
        <f t="shared" ref="S114:S116" si="73">((N114-G114)/G114)</f>
        <v>2.6496051659097505E-3</v>
      </c>
      <c r="T114" s="61">
        <f t="shared" ref="T114:T116" si="74">((O114-H114)/H114)</f>
        <v>1.0914051841746248E-2</v>
      </c>
      <c r="U114" s="62">
        <f t="shared" ref="U114:U116" si="75">P114-I114</f>
        <v>-8.9999999999999976E-4</v>
      </c>
      <c r="V114" s="63">
        <f t="shared" ref="V114:V116" si="76">Q114-J114</f>
        <v>1.0999999999999899E-3</v>
      </c>
    </row>
    <row r="115" spans="1:28">
      <c r="A115" s="161">
        <v>104</v>
      </c>
      <c r="B115" s="148" t="s">
        <v>168</v>
      </c>
      <c r="C115" s="148" t="s">
        <v>169</v>
      </c>
      <c r="D115" s="38">
        <v>116845661.47</v>
      </c>
      <c r="E115" s="34">
        <f t="shared" si="66"/>
        <v>4.8449737068699642E-4</v>
      </c>
      <c r="F115" s="38">
        <v>117.82</v>
      </c>
      <c r="G115" s="38">
        <v>117.82</v>
      </c>
      <c r="H115" s="68">
        <v>88</v>
      </c>
      <c r="I115" s="70">
        <v>1.5E-3</v>
      </c>
      <c r="J115" s="70">
        <v>1.01E-2</v>
      </c>
      <c r="K115" s="38">
        <v>117021339.51000001</v>
      </c>
      <c r="L115" s="34">
        <f t="shared" si="65"/>
        <v>4.8712581794179116E-4</v>
      </c>
      <c r="M115" s="38">
        <v>118</v>
      </c>
      <c r="N115" s="38">
        <v>118</v>
      </c>
      <c r="O115" s="68">
        <v>88</v>
      </c>
      <c r="P115" s="70">
        <v>1.4E-3</v>
      </c>
      <c r="Q115" s="70">
        <v>1.15E-2</v>
      </c>
      <c r="R115" s="61">
        <f t="shared" si="72"/>
        <v>1.5035050321069192E-3</v>
      </c>
      <c r="S115" s="61">
        <f t="shared" si="73"/>
        <v>1.5277542013241116E-3</v>
      </c>
      <c r="T115" s="61">
        <f t="shared" si="74"/>
        <v>0</v>
      </c>
      <c r="U115" s="62">
        <f t="shared" si="75"/>
        <v>-1.0000000000000005E-4</v>
      </c>
      <c r="V115" s="63">
        <f t="shared" si="76"/>
        <v>1.4000000000000002E-3</v>
      </c>
    </row>
    <row r="116" spans="1:28">
      <c r="A116" s="161">
        <v>105</v>
      </c>
      <c r="B116" s="148" t="s">
        <v>170</v>
      </c>
      <c r="C116" s="147" t="s">
        <v>123</v>
      </c>
      <c r="D116" s="38">
        <v>550583554.09000003</v>
      </c>
      <c r="E116" s="34">
        <f t="shared" si="66"/>
        <v>2.2829797952626258E-3</v>
      </c>
      <c r="F116" s="38">
        <v>1.52</v>
      </c>
      <c r="G116" s="38">
        <v>1.52</v>
      </c>
      <c r="H116" s="35">
        <v>882</v>
      </c>
      <c r="I116" s="56">
        <v>2.9600000000000001E-2</v>
      </c>
      <c r="J116" s="56">
        <v>9.5299999999999996E-2</v>
      </c>
      <c r="K116" s="38">
        <v>527171670.58999997</v>
      </c>
      <c r="L116" s="34">
        <f t="shared" si="65"/>
        <v>2.1944624143526367E-3</v>
      </c>
      <c r="M116" s="38">
        <v>1.45</v>
      </c>
      <c r="N116" s="38">
        <v>1.45</v>
      </c>
      <c r="O116" s="35">
        <v>890</v>
      </c>
      <c r="P116" s="56">
        <v>-4.8099999999999997E-2</v>
      </c>
      <c r="Q116" s="56">
        <v>5.3400000000000003E-2</v>
      </c>
      <c r="R116" s="61">
        <f t="shared" si="72"/>
        <v>-4.2521944809439556E-2</v>
      </c>
      <c r="S116" s="61">
        <f t="shared" si="73"/>
        <v>-4.6052631578947407E-2</v>
      </c>
      <c r="T116" s="61">
        <f t="shared" si="74"/>
        <v>9.0702947845804991E-3</v>
      </c>
      <c r="U116" s="62">
        <f t="shared" si="75"/>
        <v>-7.7699999999999991E-2</v>
      </c>
      <c r="V116" s="63">
        <f t="shared" si="76"/>
        <v>-4.1899999999999993E-2</v>
      </c>
    </row>
    <row r="117" spans="1:28">
      <c r="A117" s="161">
        <v>106</v>
      </c>
      <c r="B117" s="148" t="s">
        <v>171</v>
      </c>
      <c r="C117" s="147" t="s">
        <v>125</v>
      </c>
      <c r="D117" s="38">
        <v>2026915858.21</v>
      </c>
      <c r="E117" s="34">
        <f t="shared" si="66"/>
        <v>8.4045517099379709E-3</v>
      </c>
      <c r="F117" s="66">
        <v>31.132100000000001</v>
      </c>
      <c r="G117" s="66">
        <v>31.132100000000001</v>
      </c>
      <c r="H117" s="35">
        <v>1548</v>
      </c>
      <c r="I117" s="56">
        <v>0.14710000000000001</v>
      </c>
      <c r="J117" s="56">
        <v>0.14710000000000001</v>
      </c>
      <c r="K117" s="38">
        <v>2029913461.0799999</v>
      </c>
      <c r="L117" s="34">
        <f t="shared" si="65"/>
        <v>8.4499396368228012E-3</v>
      </c>
      <c r="M117" s="66">
        <v>31.194800000000001</v>
      </c>
      <c r="N117" s="66">
        <v>31.194800000000001</v>
      </c>
      <c r="O117" s="35">
        <v>1548</v>
      </c>
      <c r="P117" s="56">
        <v>0.14399999999999999</v>
      </c>
      <c r="Q117" s="56">
        <v>0.14399999999999999</v>
      </c>
      <c r="R117" s="61">
        <f t="shared" si="52"/>
        <v>1.4788985235169624E-3</v>
      </c>
      <c r="S117" s="61">
        <f t="shared" si="53"/>
        <v>2.0139984132133562E-3</v>
      </c>
      <c r="T117" s="61">
        <f t="shared" si="54"/>
        <v>0</v>
      </c>
      <c r="U117" s="62">
        <f t="shared" si="55"/>
        <v>-3.1000000000000194E-3</v>
      </c>
      <c r="V117" s="63">
        <f t="shared" si="56"/>
        <v>-3.1000000000000194E-3</v>
      </c>
    </row>
    <row r="118" spans="1:28">
      <c r="A118" s="41"/>
      <c r="B118" s="42"/>
      <c r="C118" s="43" t="s">
        <v>54</v>
      </c>
      <c r="D118" s="65">
        <f>SUM(D79:D117)</f>
        <v>241168824723.06894</v>
      </c>
      <c r="E118" s="45">
        <f>(D118/$D$237)</f>
        <v>2.8572643328208421E-2</v>
      </c>
      <c r="F118" s="46"/>
      <c r="G118" s="51"/>
      <c r="H118" s="48">
        <f>SUM(H79:H117)</f>
        <v>64726</v>
      </c>
      <c r="I118" s="59"/>
      <c r="J118" s="59"/>
      <c r="K118" s="65">
        <f>SUM(K79:K117)</f>
        <v>240228161185.21439</v>
      </c>
      <c r="L118" s="45">
        <f>(K118/$K$237)</f>
        <v>2.7953734841370391E-2</v>
      </c>
      <c r="M118" s="46"/>
      <c r="N118" s="51"/>
      <c r="O118" s="48">
        <f>SUM(O79:O117)</f>
        <v>65048</v>
      </c>
      <c r="P118" s="59"/>
      <c r="Q118" s="59"/>
      <c r="R118" s="61">
        <f t="shared" si="52"/>
        <v>-3.9004358831814397E-3</v>
      </c>
      <c r="S118" s="61" t="e">
        <f t="shared" si="53"/>
        <v>#DIV/0!</v>
      </c>
      <c r="T118" s="61">
        <f t="shared" si="54"/>
        <v>4.9748169205574271E-3</v>
      </c>
      <c r="U118" s="62">
        <f t="shared" si="55"/>
        <v>0</v>
      </c>
      <c r="V118" s="63">
        <f t="shared" si="56"/>
        <v>0</v>
      </c>
    </row>
    <row r="119" spans="1:28" ht="3.75" customHeight="1">
      <c r="A119" s="41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</row>
    <row r="120" spans="1:28" ht="15" customHeight="1">
      <c r="A120" s="177" t="s">
        <v>172</v>
      </c>
      <c r="B120" s="177"/>
      <c r="C120" s="177"/>
      <c r="D120" s="177"/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</row>
    <row r="121" spans="1:28">
      <c r="A121" s="176" t="s">
        <v>173</v>
      </c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Z121" s="71"/>
      <c r="AB121" s="73"/>
    </row>
    <row r="122" spans="1:28" ht="16.5" customHeight="1">
      <c r="A122" s="161">
        <v>107</v>
      </c>
      <c r="B122" s="148" t="s">
        <v>174</v>
      </c>
      <c r="C122" s="147" t="s">
        <v>19</v>
      </c>
      <c r="D122" s="38">
        <f>2700773.86*1380.5766</f>
        <v>3728625193.0076761</v>
      </c>
      <c r="E122" s="34">
        <f t="shared" ref="E122:E127" si="77">(D122/$D$161)</f>
        <v>2.0299133073956792E-3</v>
      </c>
      <c r="F122" s="38">
        <f>116.2616*1380.5766</f>
        <v>160508.04443856003</v>
      </c>
      <c r="G122" s="38">
        <f>116.2616*1380.5766</f>
        <v>160508.04443856003</v>
      </c>
      <c r="H122" s="35">
        <v>192</v>
      </c>
      <c r="I122" s="56">
        <v>8.9999999999999998E-4</v>
      </c>
      <c r="J122" s="56">
        <v>1.5100000000000001E-2</v>
      </c>
      <c r="K122" s="38">
        <f>2702301.55*W141</f>
        <v>3731322306.8910098</v>
      </c>
      <c r="L122" s="34">
        <f t="shared" ref="L122:L138" si="78">(K122/$K$161)</f>
        <v>2.0208473109295027E-3</v>
      </c>
      <c r="M122" s="72">
        <f>116.0816*W141</f>
        <v>160284.80000672</v>
      </c>
      <c r="N122" s="38">
        <f>116.0816*W141</f>
        <v>160284.80000672</v>
      </c>
      <c r="O122" s="35">
        <v>190</v>
      </c>
      <c r="P122" s="56">
        <v>-1.5E-3</v>
      </c>
      <c r="Q122" s="56">
        <v>1.35E-2</v>
      </c>
      <c r="R122" s="61">
        <f>((K122-D122)/D122)</f>
        <v>7.2335344630283696E-4</v>
      </c>
      <c r="S122" s="61">
        <f>((N122-G122)/G122)</f>
        <v>-1.3908613279845765E-3</v>
      </c>
      <c r="T122" s="61">
        <f>((O122-H122)/H122)</f>
        <v>-1.0416666666666666E-2</v>
      </c>
      <c r="U122" s="61">
        <f>P122-I122</f>
        <v>-2.4000000000000002E-3</v>
      </c>
      <c r="V122" s="108">
        <f>Q122-J122</f>
        <v>-1.6000000000000007E-3</v>
      </c>
      <c r="X122" s="71"/>
      <c r="Y122" s="74"/>
      <c r="Z122" s="71"/>
      <c r="AA122" s="75"/>
    </row>
    <row r="123" spans="1:28" ht="16.5" customHeight="1">
      <c r="A123" s="161">
        <v>108</v>
      </c>
      <c r="B123" s="148" t="s">
        <v>175</v>
      </c>
      <c r="C123" s="147" t="s">
        <v>58</v>
      </c>
      <c r="D123" s="38">
        <v>5482614160.0732327</v>
      </c>
      <c r="E123" s="34">
        <f t="shared" si="77"/>
        <v>2.984808305141366E-3</v>
      </c>
      <c r="F123" s="38">
        <v>140735.978604</v>
      </c>
      <c r="G123" s="38">
        <v>140735.978604</v>
      </c>
      <c r="H123" s="35">
        <v>104</v>
      </c>
      <c r="I123" s="56">
        <v>-9.3519999999999992E-3</v>
      </c>
      <c r="J123" s="56">
        <v>1.9377999999999999E-2</v>
      </c>
      <c r="K123" s="38">
        <f>3992394.47*W141</f>
        <v>5512675128.2880745</v>
      </c>
      <c r="L123" s="34">
        <f t="shared" si="78"/>
        <v>2.9856104063846309E-3</v>
      </c>
      <c r="M123" s="38">
        <f>104.41*W141</f>
        <v>144168.72242199999</v>
      </c>
      <c r="N123" s="38">
        <f>104.41*W141</f>
        <v>144168.72242199999</v>
      </c>
      <c r="O123" s="35">
        <v>104</v>
      </c>
      <c r="P123" s="56">
        <v>2.4735E-2</v>
      </c>
      <c r="Q123" s="56">
        <v>4.4112999999999999E-2</v>
      </c>
      <c r="R123" s="62">
        <f>((K123-D123)/D123)</f>
        <v>5.4829625680681334E-3</v>
      </c>
      <c r="S123" s="62">
        <f>((N123-G123)/G123)</f>
        <v>2.4391373492765284E-2</v>
      </c>
      <c r="T123" s="62">
        <f>((O123-H123)/H123)</f>
        <v>0</v>
      </c>
      <c r="U123" s="62">
        <f>P123-I123</f>
        <v>3.4086999999999999E-2</v>
      </c>
      <c r="V123" s="63">
        <f>Q123-J123</f>
        <v>2.4735E-2</v>
      </c>
      <c r="X123" s="71"/>
      <c r="Y123" s="74"/>
      <c r="Z123" s="71"/>
      <c r="AA123" s="75"/>
    </row>
    <row r="124" spans="1:28">
      <c r="A124" s="161">
        <v>109</v>
      </c>
      <c r="B124" s="148" t="s">
        <v>176</v>
      </c>
      <c r="C124" s="147" t="s">
        <v>23</v>
      </c>
      <c r="D124" s="38">
        <v>17974282893.071781</v>
      </c>
      <c r="E124" s="34">
        <f t="shared" si="77"/>
        <v>9.7854394439977187E-3</v>
      </c>
      <c r="F124" s="38">
        <v>1682.37064476</v>
      </c>
      <c r="G124" s="38">
        <v>1682.37064476</v>
      </c>
      <c r="H124" s="35">
        <v>338</v>
      </c>
      <c r="I124" s="56">
        <v>-5.5599999999999997E-2</v>
      </c>
      <c r="J124" s="56">
        <v>3.9699999999999999E-2</v>
      </c>
      <c r="K124" s="38">
        <f>13145656.36*FX_RATE</f>
        <v>18151446057.081112</v>
      </c>
      <c r="L124" s="34">
        <f t="shared" si="78"/>
        <v>9.8306439211084031E-3</v>
      </c>
      <c r="M124" s="38">
        <f>1.2196*W141</f>
        <v>1684.0166063200002</v>
      </c>
      <c r="N124" s="38">
        <f>1.2196*W141</f>
        <v>1684.0166063200002</v>
      </c>
      <c r="O124" s="35">
        <v>340</v>
      </c>
      <c r="P124" s="56">
        <v>4.2799999999999998E-2</v>
      </c>
      <c r="Q124" s="56">
        <v>0.04</v>
      </c>
      <c r="R124" s="62">
        <f t="shared" ref="R124:R136" si="79">((K124-D124)/D124)</f>
        <v>9.8564802314098782E-3</v>
      </c>
      <c r="S124" s="62">
        <f t="shared" ref="S124:S136" si="80">((N124-G124)/G124)</f>
        <v>9.783584640678071E-4</v>
      </c>
      <c r="T124" s="62">
        <f t="shared" ref="T124:T136" si="81">((O124-H124)/H124)</f>
        <v>5.9171597633136093E-3</v>
      </c>
      <c r="U124" s="62">
        <f t="shared" ref="U124:U136" si="82">P124-I124</f>
        <v>9.8399999999999987E-2</v>
      </c>
      <c r="V124" s="63">
        <f t="shared" ref="V124:V136" si="83">Q124-J124</f>
        <v>3.0000000000000165E-4</v>
      </c>
    </row>
    <row r="125" spans="1:28">
      <c r="A125" s="161">
        <v>110</v>
      </c>
      <c r="B125" s="148" t="s">
        <v>177</v>
      </c>
      <c r="C125" s="147" t="s">
        <v>23</v>
      </c>
      <c r="D125" s="38">
        <v>4331084246.9841967</v>
      </c>
      <c r="E125" s="34">
        <f t="shared" si="77"/>
        <v>2.3579000551978827E-3</v>
      </c>
      <c r="F125" s="38">
        <v>1457.0605436399999</v>
      </c>
      <c r="G125" s="38">
        <v>1457.0605436399999</v>
      </c>
      <c r="H125" s="35">
        <v>122</v>
      </c>
      <c r="I125" s="56">
        <v>-4.8999999999999998E-3</v>
      </c>
      <c r="J125" s="56">
        <v>4.4699999999999997E-2</v>
      </c>
      <c r="K125" s="38">
        <f>3125857.3*W141</f>
        <v>4316165629.8676596</v>
      </c>
      <c r="L125" s="34">
        <f t="shared" si="78"/>
        <v>2.337592678749844E-3</v>
      </c>
      <c r="M125" s="38">
        <f>1.0564*W141</f>
        <v>1458.6709928800001</v>
      </c>
      <c r="N125" s="38">
        <f>1.0564*W141</f>
        <v>1458.6709928800001</v>
      </c>
      <c r="O125" s="35">
        <v>121</v>
      </c>
      <c r="P125" s="56">
        <v>4.9399999999999999E-2</v>
      </c>
      <c r="Q125" s="56">
        <v>4.5100000000000001E-2</v>
      </c>
      <c r="R125" s="62">
        <f t="shared" si="79"/>
        <v>-3.4445455839205081E-3</v>
      </c>
      <c r="S125" s="62">
        <f t="shared" ref="S125" si="84">((N125-G125)/G125)</f>
        <v>1.1052726992229265E-3</v>
      </c>
      <c r="T125" s="62">
        <f t="shared" ref="T125" si="85">((O125-H125)/H125)</f>
        <v>-8.1967213114754103E-3</v>
      </c>
      <c r="U125" s="62">
        <f t="shared" ref="U125" si="86">P125-I125</f>
        <v>5.4300000000000001E-2</v>
      </c>
      <c r="V125" s="63">
        <f t="shared" ref="V125" si="87">Q125-J125</f>
        <v>4.0000000000000452E-4</v>
      </c>
    </row>
    <row r="126" spans="1:28">
      <c r="A126" s="161">
        <v>111</v>
      </c>
      <c r="B126" s="148" t="s">
        <v>178</v>
      </c>
      <c r="C126" s="147" t="s">
        <v>27</v>
      </c>
      <c r="D126" s="38">
        <v>46042034506.914894</v>
      </c>
      <c r="E126" s="34">
        <f t="shared" si="77"/>
        <v>2.5065897940191598E-2</v>
      </c>
      <c r="F126" s="38">
        <v>1697.2808720400001</v>
      </c>
      <c r="G126" s="38">
        <v>1697.2808720400001</v>
      </c>
      <c r="H126" s="35">
        <v>651</v>
      </c>
      <c r="I126" s="56">
        <v>-3.3599999999999998E-2</v>
      </c>
      <c r="J126" s="56">
        <v>-1.4200000000000001E-2</v>
      </c>
      <c r="K126" s="38">
        <f xml:space="preserve"> 33536613.61*W141</f>
        <v>46307161560.329063</v>
      </c>
      <c r="L126" s="34">
        <f t="shared" si="78"/>
        <v>2.5079501372247025E-2</v>
      </c>
      <c r="M126" s="38">
        <f>1.2538*W141</f>
        <v>1731.2397679600001</v>
      </c>
      <c r="N126" s="38">
        <f>1.2538*W141</f>
        <v>1731.2397679600001</v>
      </c>
      <c r="O126" s="35">
        <v>650</v>
      </c>
      <c r="P126" s="56">
        <v>-1.4500000000000001E-2</v>
      </c>
      <c r="Q126" s="56">
        <v>5.4000000000000003E-3</v>
      </c>
      <c r="R126" s="62">
        <f t="shared" si="79"/>
        <v>5.7583696344771819E-3</v>
      </c>
      <c r="S126" s="62">
        <f t="shared" ref="S126:T129" si="88">((N126-G126)/G126)</f>
        <v>2.0007823383518173E-2</v>
      </c>
      <c r="T126" s="62">
        <f t="shared" si="88"/>
        <v>-1.5360983102918587E-3</v>
      </c>
      <c r="U126" s="62">
        <f t="shared" si="82"/>
        <v>1.9099999999999999E-2</v>
      </c>
      <c r="V126" s="63">
        <f t="shared" si="83"/>
        <v>1.9599999999999999E-2</v>
      </c>
    </row>
    <row r="127" spans="1:28">
      <c r="A127" s="161">
        <v>112</v>
      </c>
      <c r="B127" s="148" t="s">
        <v>179</v>
      </c>
      <c r="C127" s="147" t="s">
        <v>67</v>
      </c>
      <c r="D127" s="38">
        <v>1372314884.4814501</v>
      </c>
      <c r="E127" s="34">
        <f t="shared" si="77"/>
        <v>7.4710653437896381E-4</v>
      </c>
      <c r="F127" s="38">
        <v>1517.8059140400001</v>
      </c>
      <c r="G127" s="38">
        <v>1532.4400260000002</v>
      </c>
      <c r="H127" s="35">
        <v>73</v>
      </c>
      <c r="I127" s="56">
        <v>-3.2000000000000003E-4</v>
      </c>
      <c r="J127" s="56">
        <v>9.4E-2</v>
      </c>
      <c r="K127" s="38">
        <f>1003543.94*W141</f>
        <v>1385687651.797148</v>
      </c>
      <c r="L127" s="34">
        <f t="shared" si="78"/>
        <v>7.5047474718304417E-4</v>
      </c>
      <c r="M127" s="38">
        <f>1.1007*W141</f>
        <v>1519.8401759400001</v>
      </c>
      <c r="N127" s="38">
        <f>1.11*W141</f>
        <v>1532.6815620000002</v>
      </c>
      <c r="O127" s="35">
        <v>74</v>
      </c>
      <c r="P127" s="56">
        <v>8.8000000000000003E-4</v>
      </c>
      <c r="Q127" s="56">
        <v>9.1399999999999995E-2</v>
      </c>
      <c r="R127" s="62">
        <f t="shared" si="79"/>
        <v>9.7446784749777096E-3</v>
      </c>
      <c r="S127" s="62">
        <f t="shared" si="88"/>
        <v>1.5761530363472533E-4</v>
      </c>
      <c r="T127" s="62">
        <f t="shared" si="88"/>
        <v>1.3698630136986301E-2</v>
      </c>
      <c r="U127" s="62">
        <f t="shared" si="82"/>
        <v>1.2000000000000001E-3</v>
      </c>
      <c r="V127" s="63">
        <f t="shared" si="83"/>
        <v>-2.6000000000000051E-3</v>
      </c>
    </row>
    <row r="128" spans="1:28">
      <c r="A128" s="161">
        <v>113</v>
      </c>
      <c r="B128" s="148" t="s">
        <v>180</v>
      </c>
      <c r="C128" s="147" t="s">
        <v>29</v>
      </c>
      <c r="D128" s="38">
        <v>853738684.51154399</v>
      </c>
      <c r="E128" s="34">
        <v>0</v>
      </c>
      <c r="F128" s="38">
        <v>1996.1757059400002</v>
      </c>
      <c r="G128" s="38">
        <v>1996.1757059400002</v>
      </c>
      <c r="H128" s="35">
        <v>76</v>
      </c>
      <c r="I128" s="56">
        <v>3.4600000000000001E-4</v>
      </c>
      <c r="J128" s="56">
        <v>3.0499999999999999E-2</v>
      </c>
      <c r="K128" s="38">
        <f>619462.11*W141</f>
        <v>855349688.60776198</v>
      </c>
      <c r="L128" s="34">
        <f t="shared" si="78"/>
        <v>4.6324894392937599E-4</v>
      </c>
      <c r="M128" s="38">
        <f>1.4487*W141</f>
        <v>2000.3565575400003</v>
      </c>
      <c r="N128" s="38">
        <f>1.4459*W141</f>
        <v>1996.4903337800001</v>
      </c>
      <c r="O128" s="35">
        <v>76</v>
      </c>
      <c r="P128" s="56">
        <v>3.4600000000000001E-4</v>
      </c>
      <c r="Q128" s="56">
        <v>3.3799999999999997E-2</v>
      </c>
      <c r="R128" s="62">
        <f t="shared" si="79"/>
        <v>1.8869990612405082E-3</v>
      </c>
      <c r="S128" s="62">
        <f t="shared" si="88"/>
        <v>1.5761530363470633E-4</v>
      </c>
      <c r="T128" s="62">
        <f t="shared" si="88"/>
        <v>0</v>
      </c>
      <c r="U128" s="62">
        <f t="shared" si="82"/>
        <v>0</v>
      </c>
      <c r="V128" s="63">
        <f t="shared" si="83"/>
        <v>3.2999999999999974E-3</v>
      </c>
    </row>
    <row r="129" spans="1:25">
      <c r="A129" s="161">
        <v>114</v>
      </c>
      <c r="B129" s="148" t="s">
        <v>181</v>
      </c>
      <c r="C129" s="147" t="s">
        <v>77</v>
      </c>
      <c r="D129" s="38">
        <v>3803966474.8131542</v>
      </c>
      <c r="E129" s="34">
        <f t="shared" ref="E129:E138" si="89">(D129/$D$161)</f>
        <v>2.0709301065150948E-3</v>
      </c>
      <c r="F129" s="38">
        <v>149212.71892800002</v>
      </c>
      <c r="G129" s="38">
        <v>149654.50344000003</v>
      </c>
      <c r="H129" s="35">
        <v>81</v>
      </c>
      <c r="I129" s="56">
        <v>-2.3999999999999998E-3</v>
      </c>
      <c r="J129" s="56">
        <v>8.0999999999999996E-3</v>
      </c>
      <c r="K129" s="38">
        <f>2759572.07*W141</f>
        <v>3810401108.7379937</v>
      </c>
      <c r="L129" s="34">
        <f>(K129/$K$161)</f>
        <v>2.063675609028778E-3</v>
      </c>
      <c r="M129" s="38">
        <f>108.16*W141</f>
        <v>149346.70067200001</v>
      </c>
      <c r="N129" s="38">
        <f>108.5*W141</f>
        <v>149816.17070000002</v>
      </c>
      <c r="O129" s="35">
        <v>81</v>
      </c>
      <c r="P129" s="56">
        <v>8.0000000000000004E-4</v>
      </c>
      <c r="Q129" s="56">
        <v>8.8999999999999999E-3</v>
      </c>
      <c r="R129" s="62">
        <f t="shared" si="79"/>
        <v>1.6915590522273353E-3</v>
      </c>
      <c r="S129" s="62">
        <f t="shared" si="88"/>
        <v>1.0802699302985132E-3</v>
      </c>
      <c r="T129" s="62">
        <f t="shared" si="88"/>
        <v>0</v>
      </c>
      <c r="U129" s="62">
        <f t="shared" si="82"/>
        <v>3.1999999999999997E-3</v>
      </c>
      <c r="V129" s="63">
        <f t="shared" si="83"/>
        <v>8.0000000000000036E-4</v>
      </c>
    </row>
    <row r="130" spans="1:25">
      <c r="A130" s="161">
        <v>115</v>
      </c>
      <c r="B130" s="148" t="s">
        <v>182</v>
      </c>
      <c r="C130" s="147" t="s">
        <v>80</v>
      </c>
      <c r="D130" s="38">
        <v>4819919338.6800003</v>
      </c>
      <c r="E130" s="34">
        <f t="shared" si="89"/>
        <v>2.6240284018110406E-3</v>
      </c>
      <c r="F130" s="38">
        <v>1637.4372599999999</v>
      </c>
      <c r="G130" s="38">
        <v>1637.4372599999999</v>
      </c>
      <c r="H130" s="35">
        <v>62</v>
      </c>
      <c r="I130" s="56">
        <v>6.5799999999999997E-2</v>
      </c>
      <c r="J130" s="56">
        <v>4.1799999999999997E-2</v>
      </c>
      <c r="K130" s="38">
        <v>4819919338.6800003</v>
      </c>
      <c r="L130" s="34">
        <f t="shared" si="78"/>
        <v>2.6104207123785984E-3</v>
      </c>
      <c r="M130" s="38">
        <v>1637.4372599999999</v>
      </c>
      <c r="N130" s="38">
        <v>1637.4372599999999</v>
      </c>
      <c r="O130" s="35">
        <v>62</v>
      </c>
      <c r="P130" s="56">
        <v>6.5799999999999997E-2</v>
      </c>
      <c r="Q130" s="56">
        <v>4.1799999999999997E-2</v>
      </c>
      <c r="R130" s="62">
        <f t="shared" si="79"/>
        <v>0</v>
      </c>
      <c r="S130" s="62">
        <f t="shared" si="80"/>
        <v>0</v>
      </c>
      <c r="T130" s="62">
        <f t="shared" si="81"/>
        <v>0</v>
      </c>
      <c r="U130" s="62">
        <f t="shared" si="82"/>
        <v>0</v>
      </c>
      <c r="V130" s="63">
        <f t="shared" si="83"/>
        <v>0</v>
      </c>
      <c r="X130" s="72"/>
    </row>
    <row r="131" spans="1:25">
      <c r="A131" s="161">
        <v>116</v>
      </c>
      <c r="B131" s="148" t="s">
        <v>183</v>
      </c>
      <c r="C131" s="147" t="s">
        <v>82</v>
      </c>
      <c r="D131" s="38">
        <v>52660012676.962166</v>
      </c>
      <c r="E131" s="34">
        <f t="shared" si="89"/>
        <v>2.8668813561913465E-2</v>
      </c>
      <c r="F131" s="38">
        <v>179626.82142600004</v>
      </c>
      <c r="G131" s="38">
        <v>179668.238724</v>
      </c>
      <c r="H131" s="35">
        <v>2571</v>
      </c>
      <c r="I131" s="56">
        <v>1.2999999999999999E-3</v>
      </c>
      <c r="J131" s="56">
        <v>1.7399999999999999E-2</v>
      </c>
      <c r="K131" s="38">
        <f>38236602.93*1380.72</f>
        <v>52794042397.509598</v>
      </c>
      <c r="L131" s="34">
        <f t="shared" si="78"/>
        <v>2.8592731969326969E-2</v>
      </c>
      <c r="M131" s="38">
        <f>130.27*1380.72</f>
        <v>179866.39440000002</v>
      </c>
      <c r="N131" s="38">
        <f>130.3*1380.72</f>
        <v>179907.81600000002</v>
      </c>
      <c r="O131" s="35">
        <v>2568</v>
      </c>
      <c r="P131" s="56">
        <v>1.1999999999999999E-3</v>
      </c>
      <c r="Q131" s="56">
        <v>1.8599999999999998E-2</v>
      </c>
      <c r="R131" s="62">
        <f t="shared" si="79"/>
        <v>2.54518967493655E-3</v>
      </c>
      <c r="S131" s="62">
        <f t="shared" si="80"/>
        <v>1.3334425589158004E-3</v>
      </c>
      <c r="T131" s="62">
        <f t="shared" si="81"/>
        <v>-1.1668611435239206E-3</v>
      </c>
      <c r="U131" s="62">
        <f t="shared" si="82"/>
        <v>-1.0000000000000005E-4</v>
      </c>
      <c r="V131" s="63">
        <f t="shared" si="83"/>
        <v>1.1999999999999997E-3</v>
      </c>
    </row>
    <row r="132" spans="1:25">
      <c r="A132" s="161">
        <v>117</v>
      </c>
      <c r="B132" s="167" t="s">
        <v>184</v>
      </c>
      <c r="C132" s="147" t="s">
        <v>82</v>
      </c>
      <c r="D132" s="38">
        <v>155027722518.84457</v>
      </c>
      <c r="E132" s="34">
        <f t="shared" si="89"/>
        <v>8.4399160727228278E-2</v>
      </c>
      <c r="F132" s="38">
        <v>175181.36477400002</v>
      </c>
      <c r="G132" s="38">
        <v>175264.19937000002</v>
      </c>
      <c r="H132" s="35">
        <v>977</v>
      </c>
      <c r="I132" s="56">
        <v>1.5E-3</v>
      </c>
      <c r="J132" s="56">
        <v>1.77E-2</v>
      </c>
      <c r="K132" s="38">
        <f>113206216.7*1380.72</f>
        <v>156306087522.02402</v>
      </c>
      <c r="L132" s="34">
        <f t="shared" si="78"/>
        <v>8.4653833325371908E-2</v>
      </c>
      <c r="M132" s="38">
        <f>127.14*1380.72</f>
        <v>175544.7408</v>
      </c>
      <c r="N132" s="38">
        <f>127.2*1380.72</f>
        <v>175627.584</v>
      </c>
      <c r="O132" s="35">
        <v>1038</v>
      </c>
      <c r="P132" s="56">
        <v>2E-3</v>
      </c>
      <c r="Q132" s="56">
        <v>1.9699999999999999E-2</v>
      </c>
      <c r="R132" s="62">
        <f t="shared" si="79"/>
        <v>8.2460413041548115E-3</v>
      </c>
      <c r="S132" s="62">
        <f t="shared" si="80"/>
        <v>2.073353436162083E-3</v>
      </c>
      <c r="T132" s="62">
        <f t="shared" si="81"/>
        <v>6.2436028659160696E-2</v>
      </c>
      <c r="U132" s="62">
        <f t="shared" si="82"/>
        <v>5.0000000000000001E-4</v>
      </c>
      <c r="V132" s="63">
        <f t="shared" si="83"/>
        <v>1.9999999999999983E-3</v>
      </c>
      <c r="X132" s="71"/>
    </row>
    <row r="133" spans="1:25">
      <c r="A133" s="161">
        <v>118</v>
      </c>
      <c r="B133" s="148" t="s">
        <v>185</v>
      </c>
      <c r="C133" s="147" t="s">
        <v>86</v>
      </c>
      <c r="D133" s="38">
        <v>1876398688.6793463</v>
      </c>
      <c r="E133" s="34">
        <f t="shared" si="89"/>
        <v>1.0215364835470515E-3</v>
      </c>
      <c r="F133" s="38">
        <v>1380.5766000000001</v>
      </c>
      <c r="G133" s="38">
        <v>1380.5766000000001</v>
      </c>
      <c r="H133" s="35">
        <v>15</v>
      </c>
      <c r="I133" s="56">
        <v>8.77E-2</v>
      </c>
      <c r="J133" s="56">
        <v>8.2199999999999995E-2</v>
      </c>
      <c r="K133" s="38">
        <f>1424250.45*W141</f>
        <v>1966596760.7073901</v>
      </c>
      <c r="L133" s="34">
        <f>(K133/$K$161)</f>
        <v>1.0650893835192576E-3</v>
      </c>
      <c r="M133" s="38">
        <f>1*W141</f>
        <v>1380.7942</v>
      </c>
      <c r="N133" s="38">
        <f>1*W141</f>
        <v>1380.7942</v>
      </c>
      <c r="O133" s="35">
        <v>15</v>
      </c>
      <c r="P133" s="56">
        <v>8.4000000000000005E-2</v>
      </c>
      <c r="Q133" s="56">
        <v>8.3599999999999994E-2</v>
      </c>
      <c r="R133" s="62">
        <f t="shared" ref="R133" si="90">((K133-D133)/D133)</f>
        <v>4.8069779931218817E-2</v>
      </c>
      <c r="S133" s="62">
        <f t="shared" ref="S133" si="91">((N133-G133)/G133)</f>
        <v>1.5761530363468974E-4</v>
      </c>
      <c r="T133" s="62">
        <f t="shared" si="81"/>
        <v>0</v>
      </c>
      <c r="U133" s="62">
        <f t="shared" si="82"/>
        <v>-3.699999999999995E-3</v>
      </c>
      <c r="V133" s="63">
        <f t="shared" si="83"/>
        <v>1.3999999999999985E-3</v>
      </c>
    </row>
    <row r="134" spans="1:25">
      <c r="A134" s="161">
        <v>119</v>
      </c>
      <c r="B134" s="148" t="s">
        <v>186</v>
      </c>
      <c r="C134" s="147" t="s">
        <v>34</v>
      </c>
      <c r="D134" s="38">
        <v>262551734.19494137</v>
      </c>
      <c r="E134" s="34">
        <f t="shared" si="89"/>
        <v>1.4293666741338986E-4</v>
      </c>
      <c r="F134" s="38">
        <v>190635.67729206002</v>
      </c>
      <c r="G134" s="38">
        <v>190635.67729206002</v>
      </c>
      <c r="H134" s="35">
        <v>11</v>
      </c>
      <c r="I134" s="56">
        <v>-1.1999999999999999E-3</v>
      </c>
      <c r="J134" s="56">
        <v>2.07E-2</v>
      </c>
      <c r="K134" s="38">
        <f xml:space="preserve"> 190417.7999 *W141</f>
        <v>262927793.6786806</v>
      </c>
      <c r="L134" s="34">
        <f t="shared" si="78"/>
        <v>1.423990963854597E-4</v>
      </c>
      <c r="M134" s="38">
        <f>138.2601*W141</f>
        <v>190908.74417142</v>
      </c>
      <c r="N134" s="38">
        <f>138.2601*W141</f>
        <v>190908.74417142</v>
      </c>
      <c r="O134" s="35">
        <v>11</v>
      </c>
      <c r="P134" s="56">
        <v>1.2999999999999999E-3</v>
      </c>
      <c r="Q134" s="56">
        <v>2.1999999999999999E-2</v>
      </c>
      <c r="R134" s="62">
        <f t="shared" si="79"/>
        <v>1.4323252706455467E-3</v>
      </c>
      <c r="S134" s="62">
        <f t="shared" si="80"/>
        <v>1.4324017583635662E-3</v>
      </c>
      <c r="T134" s="62">
        <f t="shared" si="81"/>
        <v>0</v>
      </c>
      <c r="U134" s="62">
        <f t="shared" si="82"/>
        <v>2.4999999999999996E-3</v>
      </c>
      <c r="V134" s="63">
        <f t="shared" si="83"/>
        <v>1.2999999999999991E-3</v>
      </c>
    </row>
    <row r="135" spans="1:25">
      <c r="A135" s="161">
        <v>120</v>
      </c>
      <c r="B135" s="148" t="s">
        <v>187</v>
      </c>
      <c r="C135" s="147" t="s">
        <v>40</v>
      </c>
      <c r="D135" s="38">
        <v>14748922698.086304</v>
      </c>
      <c r="E135" s="34">
        <f t="shared" si="89"/>
        <v>8.0295103167624653E-3</v>
      </c>
      <c r="F135" s="38">
        <v>2057.0591340000001</v>
      </c>
      <c r="G135" s="38">
        <v>2057.0591340000001</v>
      </c>
      <c r="H135" s="52">
        <v>118</v>
      </c>
      <c r="I135" s="59">
        <v>8.0000000000000004E-4</v>
      </c>
      <c r="J135" s="59">
        <v>2.8400000000000002E-2</v>
      </c>
      <c r="K135" s="38">
        <f>10735787.23*W141</f>
        <v>14823912739.618067</v>
      </c>
      <c r="L135" s="34">
        <f t="shared" si="78"/>
        <v>8.0284847390391344E-3</v>
      </c>
      <c r="M135" s="38">
        <f>1.49*W141</f>
        <v>2057.383358</v>
      </c>
      <c r="N135" s="38">
        <f>1.5*W141</f>
        <v>2071.1913</v>
      </c>
      <c r="O135" s="52">
        <v>118</v>
      </c>
      <c r="P135" s="59">
        <v>2.8E-3</v>
      </c>
      <c r="Q135" s="59">
        <v>3.4099999999999998E-2</v>
      </c>
      <c r="R135" s="62">
        <f t="shared" si="79"/>
        <v>5.0844419668355269E-3</v>
      </c>
      <c r="S135" s="62">
        <f t="shared" si="80"/>
        <v>6.8700825204375815E-3</v>
      </c>
      <c r="T135" s="62">
        <f t="shared" si="81"/>
        <v>0</v>
      </c>
      <c r="U135" s="62">
        <f t="shared" si="82"/>
        <v>2E-3</v>
      </c>
      <c r="V135" s="63">
        <f t="shared" si="83"/>
        <v>5.6999999999999967E-3</v>
      </c>
    </row>
    <row r="136" spans="1:25">
      <c r="A136" s="161">
        <v>121</v>
      </c>
      <c r="B136" s="148" t="s">
        <v>188</v>
      </c>
      <c r="C136" s="147" t="s">
        <v>102</v>
      </c>
      <c r="D136" s="38">
        <v>39167100341.389801</v>
      </c>
      <c r="E136" s="34">
        <f t="shared" si="89"/>
        <v>2.1323092045879802E-2</v>
      </c>
      <c r="F136" s="38">
        <v>144988.15453200002</v>
      </c>
      <c r="G136" s="38">
        <v>144988.15453200002</v>
      </c>
      <c r="H136" s="35">
        <v>893</v>
      </c>
      <c r="I136" s="59">
        <v>-7.3000000000000001E-3</v>
      </c>
      <c r="J136" s="56">
        <v>4.0500000000000001E-2</v>
      </c>
      <c r="K136" s="38">
        <f>28643302*W141</f>
        <v>39550505270.448402</v>
      </c>
      <c r="L136" s="34">
        <f t="shared" si="78"/>
        <v>2.1420163054282987E-2</v>
      </c>
      <c r="M136" s="38">
        <f>104.42*W141</f>
        <v>144182.53036400001</v>
      </c>
      <c r="N136" s="38">
        <f>104.42*W141</f>
        <v>144182.53036400001</v>
      </c>
      <c r="O136" s="35">
        <v>898</v>
      </c>
      <c r="P136" s="59">
        <v>-5.7999999999999996E-3</v>
      </c>
      <c r="Q136" s="56">
        <v>7.6499999999999999E-2</v>
      </c>
      <c r="R136" s="62">
        <f t="shared" si="79"/>
        <v>9.7889536298769227E-3</v>
      </c>
      <c r="S136" s="62">
        <f t="shared" si="80"/>
        <v>-5.556482669914954E-3</v>
      </c>
      <c r="T136" s="62">
        <f t="shared" si="81"/>
        <v>5.5991041433370659E-3</v>
      </c>
      <c r="U136" s="62">
        <f t="shared" si="82"/>
        <v>1.5000000000000005E-3</v>
      </c>
      <c r="V136" s="63">
        <f t="shared" si="83"/>
        <v>3.5999999999999997E-2</v>
      </c>
    </row>
    <row r="137" spans="1:25">
      <c r="A137" s="161">
        <v>122</v>
      </c>
      <c r="B137" s="148" t="s">
        <v>189</v>
      </c>
      <c r="C137" s="147" t="s">
        <v>44</v>
      </c>
      <c r="D137" s="38">
        <v>2908841458.634748</v>
      </c>
      <c r="E137" s="34">
        <f t="shared" si="89"/>
        <v>1.5836121037480684E-3</v>
      </c>
      <c r="F137" s="38">
        <v>222852.674772</v>
      </c>
      <c r="G137" s="38">
        <v>231633.141948</v>
      </c>
      <c r="H137" s="35">
        <v>48</v>
      </c>
      <c r="I137" s="56">
        <v>-4.8999999999999998E-3</v>
      </c>
      <c r="J137" s="56">
        <v>-2.92E-2</v>
      </c>
      <c r="K137" s="38">
        <f>2028067.68*W141</f>
        <v>2800344089.7514558</v>
      </c>
      <c r="L137" s="34">
        <f t="shared" si="78"/>
        <v>1.516638702853512E-3</v>
      </c>
      <c r="M137" s="38">
        <f>161.42*W141</f>
        <v>222887.799764</v>
      </c>
      <c r="N137" s="38">
        <f>167.78*W141</f>
        <v>231669.650876</v>
      </c>
      <c r="O137" s="35">
        <v>48</v>
      </c>
      <c r="P137" s="56">
        <v>-1.6000000000000001E-3</v>
      </c>
      <c r="Q137" s="56">
        <v>-2.86E-2</v>
      </c>
      <c r="R137" s="62">
        <f t="shared" ref="R137:R138" si="92">((K137-D137)/D137)</f>
        <v>-3.7299168904934052E-2</v>
      </c>
      <c r="S137" s="62">
        <f t="shared" ref="S137:S138" si="93">((N137-G137)/G137)</f>
        <v>1.576153036347089E-4</v>
      </c>
      <c r="T137" s="62">
        <f t="shared" ref="T137:T138" si="94">((O137-H137)/H137)</f>
        <v>0</v>
      </c>
      <c r="U137" s="62">
        <f t="shared" ref="U137:U138" si="95">P137-I137</f>
        <v>3.3E-3</v>
      </c>
      <c r="V137" s="63">
        <f t="shared" ref="V137:V138" si="96">Q137-J137</f>
        <v>5.9999999999999984E-4</v>
      </c>
    </row>
    <row r="138" spans="1:25">
      <c r="A138" s="161">
        <v>123</v>
      </c>
      <c r="B138" s="148" t="s">
        <v>190</v>
      </c>
      <c r="C138" s="147" t="s">
        <v>51</v>
      </c>
      <c r="D138" s="33">
        <v>156570780265.17691</v>
      </c>
      <c r="E138" s="34">
        <f t="shared" si="89"/>
        <v>8.5239221953879327E-2</v>
      </c>
      <c r="F138" s="38">
        <v>174816.0936237936</v>
      </c>
      <c r="G138" s="38">
        <v>174816.0936237936</v>
      </c>
      <c r="H138" s="35">
        <v>4330</v>
      </c>
      <c r="I138" s="56">
        <v>1.4E-3</v>
      </c>
      <c r="J138" s="56">
        <v>5.9299999999999999E-2</v>
      </c>
      <c r="K138" s="33">
        <f>113892419.25*1380.72</f>
        <v>157253541106.86002</v>
      </c>
      <c r="L138" s="34">
        <f t="shared" si="78"/>
        <v>8.51669648298818E-2</v>
      </c>
      <c r="M138" s="38">
        <f>126.56863046*1380.72</f>
        <v>174755.83944873119</v>
      </c>
      <c r="N138" s="38">
        <f>126.56863046*1380.72</f>
        <v>174755.83944873119</v>
      </c>
      <c r="O138" s="35">
        <v>4348</v>
      </c>
      <c r="P138" s="56">
        <v>6.9999999999999999E-4</v>
      </c>
      <c r="Q138" s="56">
        <v>5.8400000000000001E-2</v>
      </c>
      <c r="R138" s="62">
        <f t="shared" si="92"/>
        <v>4.3607168625381058E-3</v>
      </c>
      <c r="S138" s="62">
        <f t="shared" si="93"/>
        <v>-3.4467178515083097E-4</v>
      </c>
      <c r="T138" s="62">
        <f t="shared" si="94"/>
        <v>4.1570438799076216E-3</v>
      </c>
      <c r="U138" s="62">
        <f t="shared" si="95"/>
        <v>-6.9999999999999999E-4</v>
      </c>
      <c r="V138" s="63">
        <f t="shared" si="96"/>
        <v>-8.9999999999999802E-4</v>
      </c>
    </row>
    <row r="139" spans="1:25" ht="6" customHeight="1">
      <c r="A139" s="76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</row>
    <row r="140" spans="1:25">
      <c r="A140" s="176" t="s">
        <v>191</v>
      </c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</row>
    <row r="141" spans="1:25">
      <c r="A141" s="161">
        <v>124</v>
      </c>
      <c r="B141" s="148" t="s">
        <v>333</v>
      </c>
      <c r="C141" s="147" t="s">
        <v>334</v>
      </c>
      <c r="D141" s="33">
        <v>402462528.91158605</v>
      </c>
      <c r="E141" s="34">
        <f>(D141/$D$161)</f>
        <v>2.1910597093475814E-4</v>
      </c>
      <c r="F141" s="38">
        <v>1394.382366</v>
      </c>
      <c r="G141" s="38">
        <v>1394.382366</v>
      </c>
      <c r="H141" s="35">
        <v>35</v>
      </c>
      <c r="I141" s="56">
        <v>7.2900000000000006E-2</v>
      </c>
      <c r="J141" s="56">
        <v>7.0800000000000002E-2</v>
      </c>
      <c r="K141" s="33">
        <f>293249.6*W141</f>
        <v>404917346.83231997</v>
      </c>
      <c r="L141" s="34">
        <f t="shared" ref="L141:L159" si="97">(K141/$K$161)</f>
        <v>2.1929923608679139E-4</v>
      </c>
      <c r="M141" s="38">
        <f>1.01*W141</f>
        <v>1394.602142</v>
      </c>
      <c r="N141" s="38">
        <f>1.01*W141</f>
        <v>1394.602142</v>
      </c>
      <c r="O141" s="35">
        <v>35</v>
      </c>
      <c r="P141" s="56">
        <v>7.5499999999999998E-2</v>
      </c>
      <c r="Q141" s="56">
        <v>7.1199999999999999E-2</v>
      </c>
      <c r="R141" s="62">
        <f>((K141-D141)/D141)</f>
        <v>6.0994943488843628E-3</v>
      </c>
      <c r="S141" s="62">
        <f>((N141-G141)/G141)</f>
        <v>1.5761530363466366E-4</v>
      </c>
      <c r="T141" s="62">
        <f>((O141-H141)/H141)</f>
        <v>0</v>
      </c>
      <c r="U141" s="62">
        <f>P141-I141</f>
        <v>2.5999999999999912E-3</v>
      </c>
      <c r="V141" s="63">
        <f>Q141-J141</f>
        <v>3.9999999999999758E-4</v>
      </c>
      <c r="W141" s="83">
        <v>1380.7942</v>
      </c>
      <c r="Y141" s="123"/>
    </row>
    <row r="142" spans="1:25">
      <c r="A142" s="161">
        <v>125</v>
      </c>
      <c r="B142" s="148" t="s">
        <v>192</v>
      </c>
      <c r="C142" s="147" t="s">
        <v>62</v>
      </c>
      <c r="D142" s="33">
        <v>1626845082.6211739</v>
      </c>
      <c r="E142" s="34">
        <f>(D142/$D$161)</f>
        <v>8.8567617052979174E-4</v>
      </c>
      <c r="F142" s="38">
        <v>169686.669906</v>
      </c>
      <c r="G142" s="38">
        <v>169686.669906</v>
      </c>
      <c r="H142" s="35">
        <v>23</v>
      </c>
      <c r="I142" s="56">
        <v>-8.6999999999999994E-3</v>
      </c>
      <c r="J142" s="56">
        <v>3.9600000000000003E-2</v>
      </c>
      <c r="K142" s="33">
        <f>1182954.04*W141</f>
        <v>1633416077.298568</v>
      </c>
      <c r="L142" s="34">
        <f t="shared" ref="L142" si="98">(K142/$K$161)</f>
        <v>8.8464201587242972E-4</v>
      </c>
      <c r="M142" s="38">
        <f>123.73*W141</f>
        <v>170845.66636600002</v>
      </c>
      <c r="N142" s="38">
        <f>123.73*W141</f>
        <v>170845.66636600002</v>
      </c>
      <c r="O142" s="35">
        <v>23</v>
      </c>
      <c r="P142" s="56">
        <v>3.5999999999999999E-3</v>
      </c>
      <c r="Q142" s="56">
        <v>6.4000000000000001E-2</v>
      </c>
      <c r="R142" s="62">
        <f>((K142-D142)/D142)</f>
        <v>4.0391028915961443E-3</v>
      </c>
      <c r="S142" s="62">
        <f>((N142-G142)/G142)</f>
        <v>6.8302151291086341E-3</v>
      </c>
      <c r="T142" s="62">
        <f>((O142-H142)/H142)</f>
        <v>0</v>
      </c>
      <c r="U142" s="62">
        <f>P142-I142</f>
        <v>1.2299999999999998E-2</v>
      </c>
      <c r="V142" s="63">
        <f>Q142-J142</f>
        <v>2.4399999999999998E-2</v>
      </c>
      <c r="W142" s="83"/>
      <c r="Y142" s="123"/>
    </row>
    <row r="143" spans="1:25">
      <c r="A143" s="161">
        <v>126</v>
      </c>
      <c r="B143" s="147" t="s">
        <v>193</v>
      </c>
      <c r="C143" s="147" t="s">
        <v>25</v>
      </c>
      <c r="D143" s="38">
        <v>28536557861.713825</v>
      </c>
      <c r="E143" s="34">
        <f t="shared" ref="E143:E160" si="99">(D143/$D$161)</f>
        <v>1.5535682872976939E-2</v>
      </c>
      <c r="F143" s="33">
        <v>189442.72105200001</v>
      </c>
      <c r="G143" s="33">
        <v>189442.72105200001</v>
      </c>
      <c r="H143" s="35">
        <v>675</v>
      </c>
      <c r="I143" s="56">
        <v>5.0000000000000001E-4</v>
      </c>
      <c r="J143" s="56">
        <v>1.18E-2</v>
      </c>
      <c r="K143" s="38">
        <f>21362676.31*W141</f>
        <v>29497459545.325401</v>
      </c>
      <c r="L143" s="34">
        <f t="shared" si="97"/>
        <v>1.5975532773283903E-2</v>
      </c>
      <c r="M143" s="33">
        <f>137.35*W141</f>
        <v>189652.08337000001</v>
      </c>
      <c r="N143" s="33">
        <f>137.35*W141</f>
        <v>189652.08337000001</v>
      </c>
      <c r="O143" s="35">
        <v>677</v>
      </c>
      <c r="P143" s="56">
        <v>5.0000000000000001E-4</v>
      </c>
      <c r="Q143" s="56">
        <v>1.2800000000000001E-2</v>
      </c>
      <c r="R143" s="62">
        <f t="shared" ref="R143:R161" si="100">((K143-D143)/D143)</f>
        <v>3.3672655555306942E-2</v>
      </c>
      <c r="S143" s="62">
        <f t="shared" ref="S143:S161" si="101">((N143-G143)/G143)</f>
        <v>1.1051483891140466E-3</v>
      </c>
      <c r="T143" s="62">
        <f t="shared" ref="T143:T161" si="102">((O143-H143)/H143)</f>
        <v>2.9629629629629628E-3</v>
      </c>
      <c r="U143" s="62">
        <f t="shared" ref="U143:U161" si="103">P143-I143</f>
        <v>0</v>
      </c>
      <c r="V143" s="63">
        <f t="shared" ref="V143:V161" si="104">Q143-J143</f>
        <v>1.0000000000000009E-3</v>
      </c>
    </row>
    <row r="144" spans="1:25">
      <c r="A144" s="161">
        <v>127</v>
      </c>
      <c r="B144" s="147" t="s">
        <v>194</v>
      </c>
      <c r="C144" s="147" t="s">
        <v>135</v>
      </c>
      <c r="D144" s="38">
        <v>567276812.45245647</v>
      </c>
      <c r="E144" s="34">
        <f t="shared" si="99"/>
        <v>3.0883306606781106E-4</v>
      </c>
      <c r="F144" s="33">
        <v>138057.66</v>
      </c>
      <c r="G144" s="33">
        <v>138057.66</v>
      </c>
      <c r="H144" s="35">
        <v>22</v>
      </c>
      <c r="I144" s="56">
        <v>3.4099999999999998E-3</v>
      </c>
      <c r="J144" s="56">
        <v>2.47E-2</v>
      </c>
      <c r="K144" s="38">
        <f>411420.495106771*W141</f>
        <v>568087033.40455782</v>
      </c>
      <c r="L144" s="34">
        <f t="shared" si="97"/>
        <v>3.0767032687295867E-4</v>
      </c>
      <c r="M144" s="33">
        <f>100*W141</f>
        <v>138079.42000000001</v>
      </c>
      <c r="N144" s="33">
        <f>100*W141</f>
        <v>138079.42000000001</v>
      </c>
      <c r="O144" s="35">
        <v>21</v>
      </c>
      <c r="P144" s="56">
        <v>3.4099999999999998E-3</v>
      </c>
      <c r="Q144" s="56">
        <v>2.47E-2</v>
      </c>
      <c r="R144" s="62">
        <v>0</v>
      </c>
      <c r="S144" s="62">
        <f t="shared" ref="S144" si="105">((N144-G144)/G144)</f>
        <v>1.5761530363479515E-4</v>
      </c>
      <c r="T144" s="62">
        <f t="shared" ref="T144" si="106">((O144-H144)/H144)</f>
        <v>-4.5454545454545456E-2</v>
      </c>
      <c r="U144" s="62">
        <f t="shared" ref="U144" si="107">P144-I144</f>
        <v>0</v>
      </c>
      <c r="V144" s="63">
        <f t="shared" ref="V144" si="108">Q144-J144</f>
        <v>0</v>
      </c>
    </row>
    <row r="145" spans="1:24">
      <c r="A145" s="161">
        <v>128</v>
      </c>
      <c r="B145" s="148" t="s">
        <v>195</v>
      </c>
      <c r="C145" s="147" t="s">
        <v>71</v>
      </c>
      <c r="D145" s="33">
        <v>17450996951.110001</v>
      </c>
      <c r="E145" s="34">
        <f t="shared" si="99"/>
        <v>9.5005555948102748E-3</v>
      </c>
      <c r="F145" s="33">
        <v>163708.47</v>
      </c>
      <c r="G145" s="33">
        <v>163708.47</v>
      </c>
      <c r="H145" s="35">
        <v>473</v>
      </c>
      <c r="I145" s="56">
        <v>1.6000000000000001E-3</v>
      </c>
      <c r="J145" s="56">
        <v>6.4699999999999994E-2</v>
      </c>
      <c r="K145" s="33">
        <v>17812345531.75</v>
      </c>
      <c r="L145" s="34">
        <f t="shared" ref="L145:L146" si="109">(K145/$K$118)</f>
        <v>7.4147616348845938E-2</v>
      </c>
      <c r="M145" s="33">
        <v>166840.1</v>
      </c>
      <c r="N145" s="33">
        <v>166840.1</v>
      </c>
      <c r="O145" s="35">
        <v>472</v>
      </c>
      <c r="P145" s="56">
        <v>6.9999999999999999E-4</v>
      </c>
      <c r="Q145" s="56">
        <v>6.4699999999999994E-2</v>
      </c>
      <c r="R145" s="62">
        <f t="shared" si="100"/>
        <v>2.0706472051558934E-2</v>
      </c>
      <c r="S145" s="62">
        <f t="shared" si="101"/>
        <v>1.9129309558631905E-2</v>
      </c>
      <c r="T145" s="62">
        <f t="shared" si="102"/>
        <v>-2.1141649048625794E-3</v>
      </c>
      <c r="U145" s="62">
        <f t="shared" si="103"/>
        <v>-9.0000000000000008E-4</v>
      </c>
      <c r="V145" s="63">
        <f t="shared" si="104"/>
        <v>0</v>
      </c>
    </row>
    <row r="146" spans="1:24">
      <c r="A146" s="161">
        <v>129</v>
      </c>
      <c r="B146" s="148" t="s">
        <v>196</v>
      </c>
      <c r="C146" s="147" t="s">
        <v>73</v>
      </c>
      <c r="D146" s="38">
        <v>150366176.87153402</v>
      </c>
      <c r="E146" s="34">
        <f t="shared" ref="E146" si="110">(D146/$D$118)</f>
        <v>6.2348927994402908E-4</v>
      </c>
      <c r="F146" s="37">
        <v>1473.9035781600003</v>
      </c>
      <c r="G146" s="37">
        <v>1473.9035781600003</v>
      </c>
      <c r="H146" s="35">
        <v>6</v>
      </c>
      <c r="I146" s="56">
        <v>-2.5000000000000001E-3</v>
      </c>
      <c r="J146" s="56">
        <v>-0.1762</v>
      </c>
      <c r="K146" s="38">
        <f>110989.44*W141</f>
        <v>153253575.013248</v>
      </c>
      <c r="L146" s="34">
        <f t="shared" si="109"/>
        <v>6.3795008152724641E-4</v>
      </c>
      <c r="M146" s="37">
        <f>1.053*W141</f>
        <v>1453.9762925999999</v>
      </c>
      <c r="N146" s="37">
        <f>1.053*W141</f>
        <v>1453.9762925999999</v>
      </c>
      <c r="O146" s="35">
        <v>7</v>
      </c>
      <c r="P146" s="56">
        <v>-1.37E-2</v>
      </c>
      <c r="Q146" s="56">
        <v>-0.18679999999999999</v>
      </c>
      <c r="R146" s="61">
        <f t="shared" si="100"/>
        <v>1.9202444338136213E-2</v>
      </c>
      <c r="S146" s="61">
        <f t="shared" si="101"/>
        <v>-1.3520074077625458E-2</v>
      </c>
      <c r="T146" s="61">
        <f t="shared" si="102"/>
        <v>0.16666666666666666</v>
      </c>
      <c r="U146" s="62">
        <f t="shared" si="103"/>
        <v>-1.12E-2</v>
      </c>
      <c r="V146" s="63">
        <f t="shared" si="104"/>
        <v>-1.0599999999999998E-2</v>
      </c>
    </row>
    <row r="147" spans="1:24">
      <c r="A147" s="161">
        <v>130</v>
      </c>
      <c r="B147" s="148" t="s">
        <v>197</v>
      </c>
      <c r="C147" s="147" t="s">
        <v>69</v>
      </c>
      <c r="D147" s="33">
        <v>12054585299.8062</v>
      </c>
      <c r="E147" s="34">
        <f t="shared" si="99"/>
        <v>6.56267708567257E-3</v>
      </c>
      <c r="F147" s="33">
        <v>1881.83983033494</v>
      </c>
      <c r="G147" s="33">
        <v>1881.83983033494</v>
      </c>
      <c r="H147" s="35">
        <v>344</v>
      </c>
      <c r="I147" s="56">
        <v>6.4100000000000004E-2</v>
      </c>
      <c r="J147" s="56">
        <v>7.1199999999999999E-2</v>
      </c>
      <c r="K147" s="33">
        <v>12765399122.611799</v>
      </c>
      <c r="L147" s="34">
        <f t="shared" si="97"/>
        <v>6.9136140939178867E-3</v>
      </c>
      <c r="M147" s="33">
        <v>1881.6258695347899</v>
      </c>
      <c r="N147" s="33">
        <v>1881.6258695347899</v>
      </c>
      <c r="O147" s="35">
        <v>349</v>
      </c>
      <c r="P147" s="56">
        <v>5.0299999999999997E-2</v>
      </c>
      <c r="Q147" s="56">
        <v>6.9699999999999998E-2</v>
      </c>
      <c r="R147" s="62">
        <f t="shared" si="100"/>
        <v>5.8966260980958578E-2</v>
      </c>
      <c r="S147" s="62">
        <f t="shared" si="101"/>
        <v>-1.136976679423243E-4</v>
      </c>
      <c r="T147" s="61">
        <f t="shared" si="102"/>
        <v>1.4534883720930232E-2</v>
      </c>
      <c r="U147" s="62">
        <f t="shared" si="103"/>
        <v>-1.3800000000000007E-2</v>
      </c>
      <c r="V147" s="63">
        <f t="shared" si="104"/>
        <v>-1.5000000000000013E-3</v>
      </c>
    </row>
    <row r="148" spans="1:24">
      <c r="A148" s="161">
        <v>131</v>
      </c>
      <c r="B148" s="148" t="s">
        <v>198</v>
      </c>
      <c r="C148" s="147" t="s">
        <v>92</v>
      </c>
      <c r="D148" s="33">
        <v>275965334.158176</v>
      </c>
      <c r="E148" s="34">
        <f t="shared" si="99"/>
        <v>1.5023921021563072E-4</v>
      </c>
      <c r="F148" s="33">
        <v>1449.6054300000001</v>
      </c>
      <c r="G148" s="33">
        <v>1449.6054300000001</v>
      </c>
      <c r="H148" s="35">
        <v>11</v>
      </c>
      <c r="I148" s="56">
        <v>6.7000000000000004E-2</v>
      </c>
      <c r="J148" s="56">
        <v>6.7000000000000004E-2</v>
      </c>
      <c r="K148" s="33">
        <f>200090.56*W141</f>
        <v>276283884.72275203</v>
      </c>
      <c r="L148" s="34">
        <f t="shared" si="97"/>
        <v>1.4963262339037566E-4</v>
      </c>
      <c r="M148" s="33">
        <f>1.05*W141</f>
        <v>1449.8339100000001</v>
      </c>
      <c r="N148" s="33">
        <f>1.05*W141</f>
        <v>1449.8339100000001</v>
      </c>
      <c r="O148" s="35">
        <v>11</v>
      </c>
      <c r="P148" s="56">
        <v>6.7299999999999999E-2</v>
      </c>
      <c r="Q148" s="56">
        <v>6.7299999999999999E-2</v>
      </c>
      <c r="R148" s="62">
        <f t="shared" si="100"/>
        <v>1.1543136950434689E-3</v>
      </c>
      <c r="S148" s="62">
        <f t="shared" si="101"/>
        <v>1.576153036347211E-4</v>
      </c>
      <c r="T148" s="61">
        <f t="shared" si="102"/>
        <v>0</v>
      </c>
      <c r="U148" s="62">
        <f t="shared" si="103"/>
        <v>2.9999999999999472E-4</v>
      </c>
      <c r="V148" s="63">
        <f t="shared" si="104"/>
        <v>2.9999999999999472E-4</v>
      </c>
    </row>
    <row r="149" spans="1:24">
      <c r="A149" s="161">
        <v>132</v>
      </c>
      <c r="B149" s="148" t="s">
        <v>199</v>
      </c>
      <c r="C149" s="147" t="s">
        <v>36</v>
      </c>
      <c r="D149" s="33">
        <v>128886373226.862</v>
      </c>
      <c r="E149" s="34">
        <f t="shared" si="99"/>
        <v>7.0167461359700894E-2</v>
      </c>
      <c r="F149" s="33">
        <v>136340</v>
      </c>
      <c r="G149" s="33">
        <v>136340</v>
      </c>
      <c r="H149" s="35">
        <v>3007</v>
      </c>
      <c r="I149" s="56">
        <v>4.6899999999999997E-2</v>
      </c>
      <c r="J149" s="56">
        <v>5.1700000000000003E-2</v>
      </c>
      <c r="K149" s="33">
        <v>132272613689.35699</v>
      </c>
      <c r="L149" s="34">
        <f t="shared" si="97"/>
        <v>7.1637541251823519E-2</v>
      </c>
      <c r="M149" s="33">
        <v>138672</v>
      </c>
      <c r="N149" s="33">
        <v>138672</v>
      </c>
      <c r="O149" s="35">
        <v>3046</v>
      </c>
      <c r="P149" s="56">
        <v>4.3200000000000002E-2</v>
      </c>
      <c r="Q149" s="56">
        <v>5.0999999999999997E-2</v>
      </c>
      <c r="R149" s="62">
        <f t="shared" si="100"/>
        <v>2.6273068111976695E-2</v>
      </c>
      <c r="S149" s="62">
        <f t="shared" si="101"/>
        <v>1.7104298078333576E-2</v>
      </c>
      <c r="T149" s="62">
        <f t="shared" si="102"/>
        <v>1.2969737279680744E-2</v>
      </c>
      <c r="U149" s="62">
        <f t="shared" si="103"/>
        <v>-3.699999999999995E-3</v>
      </c>
      <c r="V149" s="63">
        <f t="shared" si="104"/>
        <v>-7.0000000000000617E-4</v>
      </c>
    </row>
    <row r="150" spans="1:24" ht="15.6">
      <c r="A150" s="161">
        <v>133</v>
      </c>
      <c r="B150" s="148" t="s">
        <v>200</v>
      </c>
      <c r="C150" s="147" t="s">
        <v>149</v>
      </c>
      <c r="D150" s="33">
        <v>1496856492.4809601</v>
      </c>
      <c r="E150" s="34">
        <f t="shared" si="99"/>
        <v>8.1490864757520465E-4</v>
      </c>
      <c r="F150" s="33">
        <v>1573.8573240000001</v>
      </c>
      <c r="G150" s="33">
        <v>1573.8573240000001</v>
      </c>
      <c r="H150" s="35">
        <v>53</v>
      </c>
      <c r="I150" s="56">
        <v>1.9E-3</v>
      </c>
      <c r="J150" s="56">
        <v>0.1205</v>
      </c>
      <c r="K150" s="33">
        <f>1101916.45*W141</f>
        <v>1521519843.04459</v>
      </c>
      <c r="L150" s="34">
        <f t="shared" si="97"/>
        <v>8.2404012048599234E-4</v>
      </c>
      <c r="M150" s="33">
        <f>1.15*W141</f>
        <v>1587.9133299999999</v>
      </c>
      <c r="N150" s="33">
        <f>1.15*W141</f>
        <v>1587.9133299999999</v>
      </c>
      <c r="O150" s="35">
        <v>53</v>
      </c>
      <c r="P150" s="56">
        <v>1.9E-3</v>
      </c>
      <c r="Q150" s="56">
        <v>0.1205</v>
      </c>
      <c r="R150" s="62">
        <f t="shared" si="100"/>
        <v>1.647676359592206E-2</v>
      </c>
      <c r="S150" s="62">
        <f t="shared" si="101"/>
        <v>8.9309277185787624E-3</v>
      </c>
      <c r="T150" s="62">
        <f t="shared" si="102"/>
        <v>0</v>
      </c>
      <c r="U150" s="62">
        <f t="shared" si="103"/>
        <v>0</v>
      </c>
      <c r="V150" s="63">
        <f t="shared" si="104"/>
        <v>0</v>
      </c>
      <c r="X150" s="84"/>
    </row>
    <row r="151" spans="1:24" ht="15.6">
      <c r="A151" s="161">
        <v>134</v>
      </c>
      <c r="B151" s="148" t="s">
        <v>327</v>
      </c>
      <c r="C151" s="147" t="s">
        <v>42</v>
      </c>
      <c r="D151" s="38">
        <v>10609630237.044775</v>
      </c>
      <c r="E151" s="34">
        <f t="shared" si="99"/>
        <v>5.7760242689752234E-3</v>
      </c>
      <c r="F151" s="33">
        <v>14716.946556000001</v>
      </c>
      <c r="G151" s="33">
        <v>14716.946556000001</v>
      </c>
      <c r="H151" s="35">
        <v>188</v>
      </c>
      <c r="I151" s="56">
        <v>5.5399999999999998E-2</v>
      </c>
      <c r="J151" s="56">
        <v>7.5300000000000006E-2</v>
      </c>
      <c r="K151" s="38">
        <f>7709249.75*W141</f>
        <v>10644887341.151451</v>
      </c>
      <c r="L151" s="34">
        <f t="shared" si="97"/>
        <v>5.7651658552212437E-3</v>
      </c>
      <c r="M151" s="33">
        <f>10.67*W141</f>
        <v>14733.074114000001</v>
      </c>
      <c r="N151" s="33">
        <f>10.67*W141</f>
        <v>14733.074114000001</v>
      </c>
      <c r="O151" s="35">
        <v>189</v>
      </c>
      <c r="P151" s="56">
        <v>5.6399999999999999E-2</v>
      </c>
      <c r="Q151" s="56">
        <v>7.4700000000000003E-2</v>
      </c>
      <c r="R151" s="62">
        <f t="shared" si="100"/>
        <v>3.3231227968314827E-3</v>
      </c>
      <c r="S151" s="62">
        <f t="shared" si="101"/>
        <v>1.0958494643323305E-3</v>
      </c>
      <c r="T151" s="62">
        <f t="shared" si="102"/>
        <v>5.3191489361702126E-3</v>
      </c>
      <c r="U151" s="62">
        <f t="shared" si="103"/>
        <v>1.0000000000000009E-3</v>
      </c>
      <c r="V151" s="63">
        <f t="shared" si="104"/>
        <v>-6.0000000000000331E-4</v>
      </c>
      <c r="X151" s="84"/>
    </row>
    <row r="152" spans="1:24" ht="15.6">
      <c r="A152" s="161">
        <v>135</v>
      </c>
      <c r="B152" s="147" t="s">
        <v>201</v>
      </c>
      <c r="C152" s="149" t="s">
        <v>46</v>
      </c>
      <c r="D152" s="33">
        <v>30891796152.509998</v>
      </c>
      <c r="E152" s="34">
        <f t="shared" si="99"/>
        <v>1.6817906025237115E-2</v>
      </c>
      <c r="F152" s="33">
        <v>1504.8284940000003</v>
      </c>
      <c r="G152" s="33">
        <v>1518.6342600000003</v>
      </c>
      <c r="H152" s="35">
        <v>596</v>
      </c>
      <c r="I152" s="56">
        <v>-4.1999999999999997E-3</v>
      </c>
      <c r="J152" s="56">
        <v>4.9500000000000002E-2</v>
      </c>
      <c r="K152" s="33">
        <v>30997121991.650002</v>
      </c>
      <c r="L152" s="34">
        <f t="shared" si="97"/>
        <v>1.6787735143569668E-2</v>
      </c>
      <c r="M152" s="33">
        <f>1.09*W141</f>
        <v>1505.0656780000002</v>
      </c>
      <c r="N152" s="33">
        <f>1.09*W141</f>
        <v>1505.0656780000002</v>
      </c>
      <c r="O152" s="35">
        <v>598</v>
      </c>
      <c r="P152" s="56">
        <v>5.4999999999999997E-3</v>
      </c>
      <c r="Q152" s="56">
        <v>5.0599999999999999E-2</v>
      </c>
      <c r="R152" s="62">
        <f t="shared" si="100"/>
        <v>3.4095084215893137E-3</v>
      </c>
      <c r="S152" s="62">
        <f t="shared" si="101"/>
        <v>-8.9347266536711108E-3</v>
      </c>
      <c r="T152" s="62">
        <f t="shared" si="102"/>
        <v>3.3557046979865771E-3</v>
      </c>
      <c r="U152" s="62">
        <f t="shared" si="103"/>
        <v>9.7000000000000003E-3</v>
      </c>
      <c r="V152" s="63">
        <f t="shared" si="104"/>
        <v>1.0999999999999968E-3</v>
      </c>
      <c r="X152" s="84"/>
    </row>
    <row r="153" spans="1:24">
      <c r="A153" s="161">
        <v>136</v>
      </c>
      <c r="B153" s="148" t="s">
        <v>202</v>
      </c>
      <c r="C153" s="147" t="s">
        <v>104</v>
      </c>
      <c r="D153" s="38">
        <v>431985569.10249996</v>
      </c>
      <c r="E153" s="34">
        <f t="shared" si="99"/>
        <v>2.35178707950723E-4</v>
      </c>
      <c r="F153" s="33">
        <v>1730.3125</v>
      </c>
      <c r="G153" s="33">
        <v>1730.3125</v>
      </c>
      <c r="H153" s="35">
        <v>2</v>
      </c>
      <c r="I153" s="56">
        <v>4.0999999999999999E-4</v>
      </c>
      <c r="J153" s="56">
        <v>-5.8599999999999999E-2</v>
      </c>
      <c r="K153" s="38">
        <f>277968.21*1378.7</f>
        <v>383234771.12700003</v>
      </c>
      <c r="L153" s="34">
        <f t="shared" si="97"/>
        <v>2.0755616722157983E-4</v>
      </c>
      <c r="M153" s="33">
        <f>1.11*1378.7</f>
        <v>1530.3570000000002</v>
      </c>
      <c r="N153" s="33">
        <f>1.11*1378.7</f>
        <v>1530.3570000000002</v>
      </c>
      <c r="O153" s="35">
        <v>2</v>
      </c>
      <c r="P153" s="56">
        <v>-0.11459999999999999</v>
      </c>
      <c r="Q153" s="56">
        <v>-0.16569999999999999</v>
      </c>
      <c r="R153" s="62">
        <f t="shared" si="100"/>
        <v>-0.11285283922049839</v>
      </c>
      <c r="S153" s="62">
        <f t="shared" si="101"/>
        <v>-0.11556033953404359</v>
      </c>
      <c r="T153" s="62">
        <f t="shared" si="102"/>
        <v>0</v>
      </c>
      <c r="U153" s="62">
        <f t="shared" ref="U153" si="111">P153-I153</f>
        <v>-0.11500999999999999</v>
      </c>
      <c r="V153" s="63">
        <f t="shared" ref="V153" si="112">Q153-J153</f>
        <v>-0.10709999999999999</v>
      </c>
    </row>
    <row r="154" spans="1:24">
      <c r="A154" s="161">
        <v>137</v>
      </c>
      <c r="B154" s="148" t="s">
        <v>203</v>
      </c>
      <c r="C154" s="147" t="s">
        <v>109</v>
      </c>
      <c r="D154" s="38">
        <v>761335795.29875398</v>
      </c>
      <c r="E154" s="34">
        <f t="shared" si="99"/>
        <v>4.144813657247721E-4</v>
      </c>
      <c r="F154" s="33">
        <v>1483.98178734</v>
      </c>
      <c r="G154" s="33">
        <v>1483.98178734</v>
      </c>
      <c r="H154" s="35">
        <v>11</v>
      </c>
      <c r="I154" s="56">
        <v>-3.3999999999999998E-3</v>
      </c>
      <c r="J154" s="56">
        <v>2.5899999999999999E-2</v>
      </c>
      <c r="K154" s="38">
        <f>551419.36*W141</f>
        <v>761396654.05571198</v>
      </c>
      <c r="L154" s="34">
        <f t="shared" si="97"/>
        <v>4.1236490829473394E-4</v>
      </c>
      <c r="M154" s="33">
        <f>1.0732*W141</f>
        <v>1481.86833544</v>
      </c>
      <c r="N154" s="33">
        <f>1.0732*W141</f>
        <v>1481.86833544</v>
      </c>
      <c r="O154" s="35">
        <v>11</v>
      </c>
      <c r="P154" s="56">
        <v>-1.2999999999999999E-3</v>
      </c>
      <c r="Q154" s="56">
        <v>1.78E-2</v>
      </c>
      <c r="R154" s="62">
        <f t="shared" ref="R154" si="113">((K154-D154)/D154)</f>
        <v>7.993681281480582E-5</v>
      </c>
      <c r="S154" s="62">
        <f t="shared" ref="S154" si="114">((N154-G154)/G154)</f>
        <v>-1.4241764407286171E-3</v>
      </c>
      <c r="T154" s="62">
        <f t="shared" si="102"/>
        <v>0</v>
      </c>
      <c r="U154" s="62">
        <f t="shared" si="103"/>
        <v>2.0999999999999999E-3</v>
      </c>
      <c r="V154" s="63">
        <f t="shared" si="104"/>
        <v>-8.0999999999999996E-3</v>
      </c>
    </row>
    <row r="155" spans="1:24">
      <c r="A155" s="161">
        <v>138</v>
      </c>
      <c r="B155" s="148" t="s">
        <v>204</v>
      </c>
      <c r="C155" s="147" t="s">
        <v>48</v>
      </c>
      <c r="D155" s="38">
        <v>892322327749.45996</v>
      </c>
      <c r="E155" s="34">
        <f t="shared" si="99"/>
        <v>0.48579218178907707</v>
      </c>
      <c r="F155" s="33">
        <v>2331.65</v>
      </c>
      <c r="G155" s="33">
        <v>2331.65</v>
      </c>
      <c r="H155" s="35">
        <v>13389</v>
      </c>
      <c r="I155" s="56">
        <v>6.9999999999999999E-4</v>
      </c>
      <c r="J155" s="56">
        <v>8.3999999999999995E-3</v>
      </c>
      <c r="K155" s="38">
        <v>893335637354.40002</v>
      </c>
      <c r="L155" s="34">
        <f t="shared" si="97"/>
        <v>0.48382175862189986</v>
      </c>
      <c r="M155" s="33">
        <v>2330.2399999999998</v>
      </c>
      <c r="N155" s="33">
        <v>2330.2399999999998</v>
      </c>
      <c r="O155" s="35">
        <v>13413</v>
      </c>
      <c r="P155" s="56">
        <v>5.9999999999999995E-4</v>
      </c>
      <c r="Q155" s="56">
        <v>8.9999999999999993E-3</v>
      </c>
      <c r="R155" s="62">
        <f t="shared" si="100"/>
        <v>1.1355869660862879E-3</v>
      </c>
      <c r="S155" s="62">
        <f t="shared" si="101"/>
        <v>-6.0472197799854577E-4</v>
      </c>
      <c r="T155" s="62">
        <f t="shared" si="102"/>
        <v>1.7925162446784674E-3</v>
      </c>
      <c r="U155" s="62">
        <f t="shared" si="103"/>
        <v>-1.0000000000000005E-4</v>
      </c>
      <c r="V155" s="63">
        <f t="shared" si="104"/>
        <v>5.9999999999999984E-4</v>
      </c>
    </row>
    <row r="156" spans="1:24">
      <c r="A156" s="161">
        <v>139</v>
      </c>
      <c r="B156" s="148" t="s">
        <v>205</v>
      </c>
      <c r="C156" s="148" t="s">
        <v>114</v>
      </c>
      <c r="D156" s="38">
        <v>563389757.82320404</v>
      </c>
      <c r="E156" s="34">
        <f t="shared" si="99"/>
        <v>3.0671690166134553E-4</v>
      </c>
      <c r="F156" s="33">
        <v>159776.61495588001</v>
      </c>
      <c r="G156" s="33">
        <v>159776.61495588001</v>
      </c>
      <c r="H156" s="35">
        <v>32</v>
      </c>
      <c r="I156" s="56">
        <v>-1.9E-3</v>
      </c>
      <c r="J156" s="56">
        <v>1.7899999999999999E-2</v>
      </c>
      <c r="K156" s="38">
        <f>407486.71*W141</f>
        <v>562655285.74508202</v>
      </c>
      <c r="L156" s="34">
        <f t="shared" si="97"/>
        <v>3.0472854598444433E-4</v>
      </c>
      <c r="M156" s="33">
        <f>115.56*W141</f>
        <v>159564.57775200001</v>
      </c>
      <c r="N156" s="33">
        <f>115.56*W141</f>
        <v>159564.57775200001</v>
      </c>
      <c r="O156" s="35">
        <v>32</v>
      </c>
      <c r="P156" s="56">
        <v>-1.5E-3</v>
      </c>
      <c r="Q156" s="56">
        <v>1.6199999999999999E-2</v>
      </c>
      <c r="R156" s="62">
        <f t="shared" ref="R156" si="115">((K156-D156)/D156)</f>
        <v>-1.3036660108267403E-3</v>
      </c>
      <c r="S156" s="62">
        <f t="shared" ref="S156" si="116">((N156-G156)/G156)</f>
        <v>-1.3270853431119993E-3</v>
      </c>
      <c r="T156" s="62">
        <f t="shared" ref="T156" si="117">((O156-H156)/H156)</f>
        <v>0</v>
      </c>
      <c r="U156" s="62">
        <f t="shared" ref="U156" si="118">P156-I156</f>
        <v>3.9999999999999996E-4</v>
      </c>
      <c r="V156" s="63">
        <f t="shared" ref="V156" si="119">Q156-J156</f>
        <v>-1.7000000000000001E-3</v>
      </c>
    </row>
    <row r="157" spans="1:24" ht="16.5" customHeight="1">
      <c r="A157" s="161">
        <v>140</v>
      </c>
      <c r="B157" s="148" t="s">
        <v>206</v>
      </c>
      <c r="C157" s="147" t="s">
        <v>51</v>
      </c>
      <c r="D157" s="38">
        <v>187862773634.10629</v>
      </c>
      <c r="E157" s="34">
        <f t="shared" si="99"/>
        <v>0.1022750006837036</v>
      </c>
      <c r="F157" s="33">
        <v>1746.6399224981999</v>
      </c>
      <c r="G157" s="33">
        <v>1746.6399224981999</v>
      </c>
      <c r="H157" s="35">
        <v>1004</v>
      </c>
      <c r="I157" s="56">
        <v>1.2999999999999999E-3</v>
      </c>
      <c r="J157" s="56">
        <v>5.4300000000000001E-2</v>
      </c>
      <c r="K157" s="38">
        <f>136067463.68*1380.72</f>
        <v>187871068452.2496</v>
      </c>
      <c r="L157" s="34">
        <f t="shared" si="97"/>
        <v>0.10174911526190782</v>
      </c>
      <c r="M157" s="33">
        <f>1.26670395*1380.72</f>
        <v>1748.963477844</v>
      </c>
      <c r="N157" s="33">
        <f>1.26670395*1380.72</f>
        <v>1748.963477844</v>
      </c>
      <c r="O157" s="35">
        <v>1009</v>
      </c>
      <c r="P157" s="56">
        <v>2.3999999999999998E-3</v>
      </c>
      <c r="Q157" s="56">
        <v>6.08E-2</v>
      </c>
      <c r="R157" s="62">
        <f t="shared" si="100"/>
        <v>4.4153602030097096E-5</v>
      </c>
      <c r="S157" s="62">
        <f t="shared" si="101"/>
        <v>1.3303001470828079E-3</v>
      </c>
      <c r="T157" s="62">
        <f t="shared" si="102"/>
        <v>4.9800796812749003E-3</v>
      </c>
      <c r="U157" s="62">
        <f t="shared" si="103"/>
        <v>1.0999999999999998E-3</v>
      </c>
      <c r="V157" s="63">
        <f t="shared" si="104"/>
        <v>6.4999999999999988E-3</v>
      </c>
    </row>
    <row r="158" spans="1:24" ht="16.5" customHeight="1">
      <c r="A158" s="161">
        <v>141</v>
      </c>
      <c r="B158" s="148" t="s">
        <v>207</v>
      </c>
      <c r="C158" s="147" t="s">
        <v>111</v>
      </c>
      <c r="D158" s="33">
        <v>2457951531.7882104</v>
      </c>
      <c r="E158" s="34">
        <f t="shared" si="99"/>
        <v>1.3381416111941746E-3</v>
      </c>
      <c r="F158" s="33">
        <v>156916.33635600001</v>
      </c>
      <c r="G158" s="33">
        <v>156916.33635600001</v>
      </c>
      <c r="H158" s="35">
        <v>33</v>
      </c>
      <c r="I158" s="56">
        <v>-6.3E-3</v>
      </c>
      <c r="J158" s="56">
        <v>1.66E-2</v>
      </c>
      <c r="K158" s="33">
        <f>1785220.0539116*W141</f>
        <v>2465021496.1648245</v>
      </c>
      <c r="L158" s="34">
        <f t="shared" si="97"/>
        <v>1.3350312978078552E-3</v>
      </c>
      <c r="M158" s="33">
        <f>113.97*W141</f>
        <v>157369.114974</v>
      </c>
      <c r="N158" s="33">
        <f>113.97*W141</f>
        <v>157369.114974</v>
      </c>
      <c r="O158" s="35">
        <v>33</v>
      </c>
      <c r="P158" s="56">
        <v>2.5999999999999999E-3</v>
      </c>
      <c r="Q158" s="56">
        <v>1.9199999999999998E-2</v>
      </c>
      <c r="R158" s="62">
        <f t="shared" si="100"/>
        <v>2.87636443810206E-3</v>
      </c>
      <c r="S158" s="62">
        <f t="shared" si="101"/>
        <v>2.8854778827664693E-3</v>
      </c>
      <c r="T158" s="62">
        <f t="shared" si="102"/>
        <v>0</v>
      </c>
      <c r="U158" s="62">
        <f t="shared" si="103"/>
        <v>8.8999999999999999E-3</v>
      </c>
      <c r="V158" s="63">
        <f t="shared" si="104"/>
        <v>2.5999999999999981E-3</v>
      </c>
    </row>
    <row r="159" spans="1:24" ht="16.5" customHeight="1">
      <c r="A159" s="161">
        <v>142</v>
      </c>
      <c r="B159" s="148" t="s">
        <v>208</v>
      </c>
      <c r="C159" s="147" t="s">
        <v>121</v>
      </c>
      <c r="D159" s="33">
        <v>5945100749.528616</v>
      </c>
      <c r="E159" s="34">
        <f t="shared" si="99"/>
        <v>3.236592175557754E-3</v>
      </c>
      <c r="F159" s="33">
        <v>1601.468856</v>
      </c>
      <c r="G159" s="33">
        <v>1601.468856</v>
      </c>
      <c r="H159" s="35">
        <v>58</v>
      </c>
      <c r="I159" s="56">
        <v>2.3E-3</v>
      </c>
      <c r="J159" s="56">
        <v>-2.3E-3</v>
      </c>
      <c r="K159" s="33">
        <f>4301934.26*W141</f>
        <v>5940085874.9892921</v>
      </c>
      <c r="L159" s="34">
        <f t="shared" si="97"/>
        <v>3.2170918456959404E-3</v>
      </c>
      <c r="M159" s="33">
        <f>1.15*W141</f>
        <v>1587.9133299999999</v>
      </c>
      <c r="N159" s="33">
        <f>1.15*W141</f>
        <v>1587.9133299999999</v>
      </c>
      <c r="O159" s="35">
        <v>57</v>
      </c>
      <c r="P159" s="56">
        <v>-2.7000000000000001E-3</v>
      </c>
      <c r="Q159" s="56">
        <v>-3.5000000000000001E-3</v>
      </c>
      <c r="R159" s="62">
        <f t="shared" ref="R159" si="120">((K159-D159)/D159)</f>
        <v>-8.4353062304645275E-4</v>
      </c>
      <c r="S159" s="62">
        <f t="shared" ref="S159" si="121">((N159-G159)/G159)</f>
        <v>-8.4644331041552889E-3</v>
      </c>
      <c r="T159" s="62">
        <f t="shared" si="102"/>
        <v>-1.7241379310344827E-2</v>
      </c>
      <c r="U159" s="62">
        <f t="shared" si="103"/>
        <v>-5.0000000000000001E-3</v>
      </c>
      <c r="V159" s="63">
        <f t="shared" si="104"/>
        <v>-1.2000000000000001E-3</v>
      </c>
    </row>
    <row r="160" spans="1:24">
      <c r="A160" s="161">
        <v>143</v>
      </c>
      <c r="B160" s="148" t="s">
        <v>209</v>
      </c>
      <c r="C160" s="147" t="s">
        <v>123</v>
      </c>
      <c r="D160" s="33">
        <v>1914134665.3696802</v>
      </c>
      <c r="E160" s="34">
        <f t="shared" si="99"/>
        <v>1.0420804527813236E-3</v>
      </c>
      <c r="F160" s="33">
        <v>2084.670666</v>
      </c>
      <c r="G160" s="33">
        <v>2084.670666</v>
      </c>
      <c r="H160" s="35">
        <v>142</v>
      </c>
      <c r="I160" s="56">
        <v>4.3E-3</v>
      </c>
      <c r="J160" s="56">
        <v>1.6299999999999999E-2</v>
      </c>
      <c r="K160" s="33">
        <f>1376216.02*W141</f>
        <v>1900271098.3630841</v>
      </c>
      <c r="L160" s="34">
        <f>(K160/$K$161)</f>
        <v>1.0291680598248196E-3</v>
      </c>
      <c r="M160" s="33">
        <f>1.5*W141</f>
        <v>2071.1913</v>
      </c>
      <c r="N160" s="33">
        <f>1.5*W141</f>
        <v>2071.1913</v>
      </c>
      <c r="O160" s="35">
        <v>142</v>
      </c>
      <c r="P160" s="56">
        <v>-4.3E-3</v>
      </c>
      <c r="Q160" s="56">
        <v>8.2000000000000007E-3</v>
      </c>
      <c r="R160" s="62">
        <f t="shared" si="100"/>
        <v>-7.2427333653239043E-3</v>
      </c>
      <c r="S160" s="62">
        <f t="shared" si="101"/>
        <v>-6.4659450626145219E-3</v>
      </c>
      <c r="T160" s="62">
        <f t="shared" si="102"/>
        <v>0</v>
      </c>
      <c r="U160" s="62">
        <f t="shared" si="103"/>
        <v>-8.6E-3</v>
      </c>
      <c r="V160" s="63">
        <f t="shared" si="104"/>
        <v>-8.0999999999999978E-3</v>
      </c>
    </row>
    <row r="161" spans="1:24">
      <c r="A161" s="41"/>
      <c r="B161" s="42"/>
      <c r="C161" s="77" t="s">
        <v>54</v>
      </c>
      <c r="D161" s="65">
        <f>SUM(D122:D160)</f>
        <v>1836839622373.5266</v>
      </c>
      <c r="E161" s="45">
        <f>(D161/$D$237)</f>
        <v>0.21762084482298152</v>
      </c>
      <c r="F161" s="46"/>
      <c r="G161" s="51"/>
      <c r="H161" s="48">
        <f>SUM(H122:H160)</f>
        <v>30766</v>
      </c>
      <c r="I161" s="81"/>
      <c r="J161" s="81"/>
      <c r="K161" s="65">
        <f>SUM(K122:K160)</f>
        <v>1846414762120.1338</v>
      </c>
      <c r="L161" s="45">
        <f>(K161/$K$237)</f>
        <v>0.21485486303041715</v>
      </c>
      <c r="M161" s="46"/>
      <c r="N161" s="51"/>
      <c r="O161" s="48">
        <f>SUM(O122:O160)</f>
        <v>30922</v>
      </c>
      <c r="P161" s="81"/>
      <c r="Q161" s="81"/>
      <c r="R161" s="62">
        <f t="shared" si="100"/>
        <v>5.2128338424202638E-3</v>
      </c>
      <c r="S161" s="62" t="e">
        <f t="shared" si="101"/>
        <v>#DIV/0!</v>
      </c>
      <c r="T161" s="62">
        <f t="shared" si="102"/>
        <v>5.0705324059026197E-3</v>
      </c>
      <c r="U161" s="62">
        <f t="shared" si="103"/>
        <v>0</v>
      </c>
      <c r="V161" s="63">
        <f t="shared" si="104"/>
        <v>0</v>
      </c>
    </row>
    <row r="162" spans="1:24" ht="6" customHeight="1">
      <c r="A162" s="41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</row>
    <row r="163" spans="1:24">
      <c r="A163" s="175" t="s">
        <v>210</v>
      </c>
      <c r="B163" s="175"/>
      <c r="C163" s="175"/>
      <c r="D163" s="175"/>
      <c r="E163" s="175"/>
      <c r="F163" s="175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</row>
    <row r="164" spans="1:24">
      <c r="A164" s="161">
        <v>144</v>
      </c>
      <c r="B164" s="148" t="s">
        <v>211</v>
      </c>
      <c r="C164" s="147" t="s">
        <v>212</v>
      </c>
      <c r="D164" s="78">
        <v>2380785080.0934</v>
      </c>
      <c r="E164" s="34">
        <f>(D164/$D$170)</f>
        <v>4.8234599720051513E-3</v>
      </c>
      <c r="F164" s="66">
        <v>112.195338364439</v>
      </c>
      <c r="G164" s="66">
        <v>112.195338364439</v>
      </c>
      <c r="H164" s="35">
        <v>8</v>
      </c>
      <c r="I164" s="56">
        <v>4.1000000000000003E-3</v>
      </c>
      <c r="J164" s="56">
        <v>6.7199999999999996E-2</v>
      </c>
      <c r="K164" s="78">
        <v>2382213551.1414599</v>
      </c>
      <c r="L164" s="34">
        <f>(K164/$K$170)</f>
        <v>4.7448837935711585E-3</v>
      </c>
      <c r="M164" s="66">
        <v>112.262655567458</v>
      </c>
      <c r="N164" s="66">
        <v>112.262655567458</v>
      </c>
      <c r="O164" s="35">
        <v>8</v>
      </c>
      <c r="P164" s="56">
        <v>5.9999999999999995E-4</v>
      </c>
      <c r="Q164" s="56">
        <v>6.7900000000000002E-2</v>
      </c>
      <c r="R164" s="62">
        <f t="shared" ref="R164:R170" si="122">((K164-D164)/D164)</f>
        <v>6.0000000000163829E-4</v>
      </c>
      <c r="S164" s="62">
        <f t="shared" ref="S164:T170" si="123">((N164-G164)/G164)</f>
        <v>6.0000000000301511E-4</v>
      </c>
      <c r="T164" s="62">
        <f t="shared" si="123"/>
        <v>0</v>
      </c>
      <c r="U164" s="62">
        <f t="shared" ref="U164:V170" si="124">P164-I164</f>
        <v>-3.5000000000000005E-3</v>
      </c>
      <c r="V164" s="63">
        <f t="shared" si="124"/>
        <v>7.0000000000000617E-4</v>
      </c>
    </row>
    <row r="165" spans="1:24">
      <c r="A165" s="161">
        <v>145</v>
      </c>
      <c r="B165" s="148" t="s">
        <v>213</v>
      </c>
      <c r="C165" s="147" t="s">
        <v>23</v>
      </c>
      <c r="D165" s="78">
        <v>259155233945.53</v>
      </c>
      <c r="E165" s="34">
        <v>0</v>
      </c>
      <c r="F165" s="66">
        <v>103.6621</v>
      </c>
      <c r="G165" s="66">
        <v>103.6621</v>
      </c>
      <c r="H165" s="35">
        <v>45</v>
      </c>
      <c r="I165" s="56">
        <v>8.2900000000000001E-2</v>
      </c>
      <c r="J165" s="56">
        <v>0.1101</v>
      </c>
      <c r="K165" s="78">
        <v>260057097726.06</v>
      </c>
      <c r="L165" s="34">
        <f t="shared" ref="L165:L169" si="125">(K165/$K$170)</f>
        <v>0.51798072755159963</v>
      </c>
      <c r="M165" s="66">
        <v>104.0228</v>
      </c>
      <c r="N165" s="66">
        <v>104.0228</v>
      </c>
      <c r="O165" s="35">
        <v>45</v>
      </c>
      <c r="P165" s="56">
        <v>0.18140000000000001</v>
      </c>
      <c r="Q165" s="56">
        <v>0.1158</v>
      </c>
      <c r="R165" s="62">
        <f t="shared" ref="R165" si="126">((K165-D165)/D165)</f>
        <v>3.4800137616342918E-3</v>
      </c>
      <c r="S165" s="62">
        <f t="shared" ref="S165" si="127">((N165-G165)/G165)</f>
        <v>3.4795745021566076E-3</v>
      </c>
      <c r="T165" s="62">
        <f t="shared" ref="T165" si="128">((O165-H165)/H165)</f>
        <v>0</v>
      </c>
      <c r="U165" s="62">
        <f t="shared" ref="U165" si="129">P165-I165</f>
        <v>9.8500000000000004E-2</v>
      </c>
      <c r="V165" s="63">
        <f t="shared" ref="V165" si="130">Q165-J165</f>
        <v>5.6999999999999967E-3</v>
      </c>
    </row>
    <row r="166" spans="1:24">
      <c r="A166" s="161">
        <v>146</v>
      </c>
      <c r="B166" s="148" t="s">
        <v>214</v>
      </c>
      <c r="C166" s="147" t="s">
        <v>46</v>
      </c>
      <c r="D166" s="38">
        <v>163627573866</v>
      </c>
      <c r="E166" s="34">
        <f>(D166/$D$170)</f>
        <v>0.33150873611321702</v>
      </c>
      <c r="F166" s="66">
        <v>103</v>
      </c>
      <c r="G166" s="66">
        <v>103</v>
      </c>
      <c r="H166" s="35">
        <v>851</v>
      </c>
      <c r="I166" s="56">
        <v>9.4E-2</v>
      </c>
      <c r="J166" s="56">
        <v>9.4E-2</v>
      </c>
      <c r="K166" s="38">
        <v>170647847866</v>
      </c>
      <c r="L166" s="34">
        <f t="shared" si="125"/>
        <v>0.33989572738313184</v>
      </c>
      <c r="M166" s="66">
        <v>103</v>
      </c>
      <c r="N166" s="66">
        <v>103</v>
      </c>
      <c r="O166" s="35">
        <v>851</v>
      </c>
      <c r="P166" s="56">
        <v>9.4E-2</v>
      </c>
      <c r="Q166" s="56">
        <v>9.4E-2</v>
      </c>
      <c r="R166" s="62">
        <f t="shared" si="122"/>
        <v>4.2903979042976784E-2</v>
      </c>
      <c r="S166" s="62">
        <f t="shared" si="123"/>
        <v>0</v>
      </c>
      <c r="T166" s="62">
        <f t="shared" si="123"/>
        <v>0</v>
      </c>
      <c r="U166" s="62">
        <f t="shared" si="124"/>
        <v>0</v>
      </c>
      <c r="V166" s="63">
        <f t="shared" si="124"/>
        <v>0</v>
      </c>
    </row>
    <row r="167" spans="1:24" ht="15.75" customHeight="1">
      <c r="A167" s="161">
        <v>147</v>
      </c>
      <c r="B167" s="148" t="s">
        <v>216</v>
      </c>
      <c r="C167" s="147" t="s">
        <v>159</v>
      </c>
      <c r="D167" s="38">
        <v>6531616887.8473997</v>
      </c>
      <c r="E167" s="34">
        <f>(D167/$D$170)</f>
        <v>1.3233026733252556E-2</v>
      </c>
      <c r="F167" s="66">
        <v>418.75</v>
      </c>
      <c r="G167" s="66">
        <v>418.75</v>
      </c>
      <c r="H167" s="35">
        <v>4897</v>
      </c>
      <c r="I167" s="56">
        <v>2.9399999999999999E-2</v>
      </c>
      <c r="J167" s="56">
        <v>7.7499999999999999E-2</v>
      </c>
      <c r="K167" s="38">
        <v>6578845645.6599998</v>
      </c>
      <c r="L167" s="34">
        <f t="shared" si="125"/>
        <v>1.3103719466939036E-2</v>
      </c>
      <c r="M167" s="66">
        <v>418.75</v>
      </c>
      <c r="N167" s="66">
        <v>418.75</v>
      </c>
      <c r="O167" s="35">
        <v>5533</v>
      </c>
      <c r="P167" s="56">
        <v>0.76190000000000002</v>
      </c>
      <c r="Q167" s="56">
        <v>8.3099999999999993E-2</v>
      </c>
      <c r="R167" s="62">
        <f t="shared" si="122"/>
        <v>7.230791184411482E-3</v>
      </c>
      <c r="S167" s="62">
        <f t="shared" si="123"/>
        <v>0</v>
      </c>
      <c r="T167" s="62">
        <f t="shared" si="123"/>
        <v>0.12987543393914641</v>
      </c>
      <c r="U167" s="62">
        <f t="shared" si="124"/>
        <v>0.73250000000000004</v>
      </c>
      <c r="V167" s="63">
        <f t="shared" si="124"/>
        <v>5.5999999999999939E-3</v>
      </c>
    </row>
    <row r="168" spans="1:24">
      <c r="A168" s="161">
        <v>148</v>
      </c>
      <c r="B168" s="148" t="s">
        <v>215</v>
      </c>
      <c r="C168" s="147" t="s">
        <v>159</v>
      </c>
      <c r="D168" s="38">
        <v>28013514951.700001</v>
      </c>
      <c r="E168" s="34">
        <f>(D168/$D$170)</f>
        <v>5.6755256564104399E-2</v>
      </c>
      <c r="F168" s="66">
        <v>69.25</v>
      </c>
      <c r="G168" s="66">
        <v>69.25</v>
      </c>
      <c r="H168" s="35">
        <v>6424</v>
      </c>
      <c r="I168" s="56">
        <v>2.7099999999999999E-2</v>
      </c>
      <c r="J168" s="56">
        <v>3.2500000000000001E-2</v>
      </c>
      <c r="K168" s="38">
        <v>28271657823.240002</v>
      </c>
      <c r="L168" s="34">
        <f t="shared" si="125"/>
        <v>5.6311379371762685E-2</v>
      </c>
      <c r="M168" s="66">
        <v>69.25</v>
      </c>
      <c r="N168" s="66">
        <v>69.25</v>
      </c>
      <c r="O168" s="35">
        <v>8119</v>
      </c>
      <c r="P168" s="56">
        <v>0.46400000000000002</v>
      </c>
      <c r="Q168" s="56">
        <v>7.9299999999999995E-2</v>
      </c>
      <c r="R168" s="62">
        <f t="shared" si="122"/>
        <v>9.2149404308985335E-3</v>
      </c>
      <c r="S168" s="62">
        <f t="shared" si="123"/>
        <v>0</v>
      </c>
      <c r="T168" s="62">
        <f t="shared" si="123"/>
        <v>0.26385429638854296</v>
      </c>
      <c r="U168" s="62">
        <f t="shared" si="124"/>
        <v>0.43690000000000001</v>
      </c>
      <c r="V168" s="63">
        <f t="shared" si="124"/>
        <v>4.6799999999999994E-2</v>
      </c>
    </row>
    <row r="169" spans="1:24">
      <c r="A169" s="161">
        <v>149</v>
      </c>
      <c r="B169" s="148" t="s">
        <v>323</v>
      </c>
      <c r="C169" s="147" t="s">
        <v>159</v>
      </c>
      <c r="D169" s="38">
        <v>33875775588.355701</v>
      </c>
      <c r="E169" s="34">
        <f>(D169/$D$170)</f>
        <v>6.8632170512700263E-2</v>
      </c>
      <c r="F169" s="66">
        <v>7.1</v>
      </c>
      <c r="G169" s="66">
        <v>7.1</v>
      </c>
      <c r="H169" s="35">
        <v>211092</v>
      </c>
      <c r="I169" s="56">
        <v>0</v>
      </c>
      <c r="J169" s="56">
        <v>0</v>
      </c>
      <c r="K169" s="38">
        <v>34121745959.531101</v>
      </c>
      <c r="L169" s="34">
        <f t="shared" si="125"/>
        <v>6.7963562432995811E-2</v>
      </c>
      <c r="M169" s="66">
        <v>6.75</v>
      </c>
      <c r="N169" s="66">
        <v>6.75</v>
      </c>
      <c r="O169" s="35">
        <v>211092</v>
      </c>
      <c r="P169" s="56">
        <v>0</v>
      </c>
      <c r="Q169" s="56">
        <v>0</v>
      </c>
      <c r="R169" s="62">
        <f t="shared" si="122"/>
        <v>7.2609517244513946E-3</v>
      </c>
      <c r="S169" s="62">
        <f t="shared" si="123"/>
        <v>-4.9295774647887279E-2</v>
      </c>
      <c r="T169" s="62">
        <f t="shared" si="123"/>
        <v>0</v>
      </c>
      <c r="U169" s="62">
        <f t="shared" si="124"/>
        <v>0</v>
      </c>
      <c r="V169" s="63">
        <f t="shared" si="124"/>
        <v>0</v>
      </c>
    </row>
    <row r="170" spans="1:24">
      <c r="A170" s="41"/>
      <c r="B170" s="79"/>
      <c r="C170" s="43" t="s">
        <v>54</v>
      </c>
      <c r="D170" s="44">
        <f>SUM(D164:D169)</f>
        <v>493584500319.52655</v>
      </c>
      <c r="E170" s="45">
        <f>(D170/$D$237)</f>
        <v>5.8477765093212675E-2</v>
      </c>
      <c r="F170" s="46"/>
      <c r="G170" s="80"/>
      <c r="H170" s="48">
        <f>SUM(H164:H169)</f>
        <v>223317</v>
      </c>
      <c r="I170" s="82"/>
      <c r="J170" s="82"/>
      <c r="K170" s="44">
        <f>SUM(K164:K169)</f>
        <v>502059408571.63251</v>
      </c>
      <c r="L170" s="45">
        <f>(K170/$K$237)</f>
        <v>5.8421275476550794E-2</v>
      </c>
      <c r="M170" s="46"/>
      <c r="N170" s="80"/>
      <c r="O170" s="48">
        <f>SUM(O164:O169)</f>
        <v>225648</v>
      </c>
      <c r="P170" s="82"/>
      <c r="Q170" s="82"/>
      <c r="R170" s="62">
        <f t="shared" si="122"/>
        <v>1.7170126384883733E-2</v>
      </c>
      <c r="S170" s="62" t="e">
        <f t="shared" si="123"/>
        <v>#DIV/0!</v>
      </c>
      <c r="T170" s="62">
        <f t="shared" si="123"/>
        <v>1.0438076814573006E-2</v>
      </c>
      <c r="U170" s="62">
        <f t="shared" si="124"/>
        <v>0</v>
      </c>
      <c r="V170" s="63">
        <f t="shared" si="124"/>
        <v>0</v>
      </c>
    </row>
    <row r="171" spans="1:24" ht="5.25" customHeight="1">
      <c r="A171" s="41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</row>
    <row r="172" spans="1:24" ht="15" customHeight="1">
      <c r="A172" s="175" t="s">
        <v>217</v>
      </c>
      <c r="B172" s="175"/>
      <c r="C172" s="175"/>
      <c r="D172" s="175"/>
      <c r="E172" s="175"/>
      <c r="F172" s="175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</row>
    <row r="173" spans="1:24">
      <c r="A173" s="164">
        <v>150</v>
      </c>
      <c r="B173" s="148" t="s">
        <v>218</v>
      </c>
      <c r="C173" s="147" t="s">
        <v>58</v>
      </c>
      <c r="D173" s="33">
        <v>827357487.72000003</v>
      </c>
      <c r="E173" s="34">
        <f t="shared" ref="E173:E201" si="131">(D173/$D$202)</f>
        <v>6.7638281786350837E-3</v>
      </c>
      <c r="F173" s="33">
        <v>9.1199999999999992</v>
      </c>
      <c r="G173" s="33">
        <v>9.27</v>
      </c>
      <c r="H173" s="36">
        <v>11968</v>
      </c>
      <c r="I173" s="57">
        <v>2.8729000000000001E-2</v>
      </c>
      <c r="J173" s="57">
        <v>0.16333700000000001</v>
      </c>
      <c r="K173" s="33">
        <v>821779652.44000006</v>
      </c>
      <c r="L173" s="60">
        <f t="shared" ref="L173:L201" si="132">(K173/$K$202)</f>
        <v>6.7386578396116366E-3</v>
      </c>
      <c r="M173" s="33">
        <v>8.9</v>
      </c>
      <c r="N173" s="33">
        <v>9.0500000000000007</v>
      </c>
      <c r="O173" s="36">
        <v>11970</v>
      </c>
      <c r="P173" s="57">
        <v>-2.8589E-2</v>
      </c>
      <c r="Q173" s="57">
        <v>0.13474900000000001</v>
      </c>
      <c r="R173" s="62">
        <f>((K173-D173)/D173)</f>
        <v>-6.7417475067170244E-3</v>
      </c>
      <c r="S173" s="62">
        <f>((N173-G173)/G173)</f>
        <v>-2.3732470334411962E-2</v>
      </c>
      <c r="T173" s="62">
        <f>((O173-H173)/H173)</f>
        <v>1.6711229946524063E-4</v>
      </c>
      <c r="U173" s="62">
        <f>P173-I173</f>
        <v>-5.7318000000000001E-2</v>
      </c>
      <c r="V173" s="63">
        <f>Q173-J173</f>
        <v>-2.8588000000000002E-2</v>
      </c>
      <c r="X173" s="134"/>
    </row>
    <row r="174" spans="1:24">
      <c r="A174" s="164">
        <v>151</v>
      </c>
      <c r="B174" s="148" t="s">
        <v>219</v>
      </c>
      <c r="C174" s="148" t="s">
        <v>220</v>
      </c>
      <c r="D174" s="33">
        <v>2905647491.6100001</v>
      </c>
      <c r="E174" s="34">
        <f t="shared" si="131"/>
        <v>2.3754302913353544E-2</v>
      </c>
      <c r="F174" s="33">
        <v>2725.63</v>
      </c>
      <c r="G174" s="33">
        <v>2745.56</v>
      </c>
      <c r="H174" s="36">
        <v>214</v>
      </c>
      <c r="I174" s="57">
        <v>7.9000000000000008E-3</v>
      </c>
      <c r="J174" s="57">
        <v>0.25340000000000001</v>
      </c>
      <c r="K174" s="33">
        <v>2940728453.33814</v>
      </c>
      <c r="L174" s="60">
        <f t="shared" si="132"/>
        <v>2.4114204808329581E-2</v>
      </c>
      <c r="M174" s="33">
        <v>2729.5970515608201</v>
      </c>
      <c r="N174" s="33">
        <v>2749.2750213992299</v>
      </c>
      <c r="O174" s="36">
        <v>222</v>
      </c>
      <c r="P174" s="57">
        <v>6.9999999999999999E-4</v>
      </c>
      <c r="Q174" s="57">
        <v>0.24279999999999999</v>
      </c>
      <c r="R174" s="62">
        <f>((K174-D174)/D174)</f>
        <v>1.2073371539195812E-2</v>
      </c>
      <c r="S174" s="62">
        <f>((N174-G174)/G174)</f>
        <v>1.3531015163500176E-3</v>
      </c>
      <c r="T174" s="62">
        <f>((O174-H174)/H174)</f>
        <v>3.7383177570093455E-2</v>
      </c>
      <c r="U174" s="62">
        <f>P174-I174</f>
        <v>-7.2000000000000007E-3</v>
      </c>
      <c r="V174" s="63">
        <f>Q174-J174</f>
        <v>-1.0600000000000026E-2</v>
      </c>
    </row>
    <row r="175" spans="1:24">
      <c r="A175" s="164">
        <v>152</v>
      </c>
      <c r="B175" s="148" t="s">
        <v>221</v>
      </c>
      <c r="C175" s="147" t="s">
        <v>23</v>
      </c>
      <c r="D175" s="33">
        <v>12913146358.66</v>
      </c>
      <c r="E175" s="34">
        <f t="shared" si="131"/>
        <v>0.10556779205109763</v>
      </c>
      <c r="F175" s="33">
        <v>1236.8126</v>
      </c>
      <c r="G175" s="33">
        <v>1274.1034</v>
      </c>
      <c r="H175" s="36">
        <v>22652</v>
      </c>
      <c r="I175" s="57">
        <v>-3.6999999999999998E-2</v>
      </c>
      <c r="J175" s="57">
        <v>0.73099999999999998</v>
      </c>
      <c r="K175" s="33">
        <v>13038293189.33</v>
      </c>
      <c r="L175" s="60">
        <f t="shared" si="132"/>
        <v>0.1069150305128156</v>
      </c>
      <c r="M175" s="33">
        <v>1243.5156999999999</v>
      </c>
      <c r="N175" s="33">
        <v>1281.0085999999999</v>
      </c>
      <c r="O175" s="36">
        <v>22671</v>
      </c>
      <c r="P175" s="57">
        <v>0.28260000000000002</v>
      </c>
      <c r="Q175" s="57">
        <v>0.70089999999999997</v>
      </c>
      <c r="R175" s="62">
        <f t="shared" ref="R175:R201" si="133">((K175-D175)/D175)</f>
        <v>9.6914281921750469E-3</v>
      </c>
      <c r="S175" s="62">
        <f t="shared" ref="S175:T201" si="134">((N175-G175)/G175)</f>
        <v>5.419654323189093E-3</v>
      </c>
      <c r="T175" s="62">
        <f t="shared" si="134"/>
        <v>8.3877803284478189E-4</v>
      </c>
      <c r="U175" s="62">
        <f t="shared" ref="U175:V201" si="135">P175-I175</f>
        <v>0.3196</v>
      </c>
      <c r="V175" s="63">
        <f t="shared" si="135"/>
        <v>-3.0100000000000016E-2</v>
      </c>
    </row>
    <row r="176" spans="1:24">
      <c r="A176" s="164">
        <v>153</v>
      </c>
      <c r="B176" s="148" t="s">
        <v>222</v>
      </c>
      <c r="C176" s="147" t="s">
        <v>125</v>
      </c>
      <c r="D176" s="33">
        <v>7293840789.6300001</v>
      </c>
      <c r="E176" s="34">
        <f t="shared" si="131"/>
        <v>5.9628741620905486E-2</v>
      </c>
      <c r="F176" s="33">
        <v>42.370800000000003</v>
      </c>
      <c r="G176" s="33">
        <v>42.942599999999999</v>
      </c>
      <c r="H176" s="35">
        <v>6271</v>
      </c>
      <c r="I176" s="56">
        <v>4.8999999999999998E-3</v>
      </c>
      <c r="J176" s="56">
        <v>0.24970000000000001</v>
      </c>
      <c r="K176" s="33">
        <v>7296802826.3400002</v>
      </c>
      <c r="L176" s="60">
        <f t="shared" si="132"/>
        <v>5.9834357572398578E-2</v>
      </c>
      <c r="M176" s="33">
        <v>42.386800000000001</v>
      </c>
      <c r="N176" s="33">
        <v>42.943600000000004</v>
      </c>
      <c r="O176" s="35">
        <v>6272</v>
      </c>
      <c r="P176" s="56">
        <v>6.8999999999999999E-3</v>
      </c>
      <c r="Q176" s="56">
        <v>0.24990000000000001</v>
      </c>
      <c r="R176" s="62">
        <f t="shared" si="133"/>
        <v>4.0610109206267657E-4</v>
      </c>
      <c r="S176" s="62">
        <f t="shared" si="134"/>
        <v>2.3286899256327629E-5</v>
      </c>
      <c r="T176" s="62">
        <f t="shared" si="134"/>
        <v>1.5946420028703555E-4</v>
      </c>
      <c r="U176" s="62">
        <f t="shared" si="135"/>
        <v>2E-3</v>
      </c>
      <c r="V176" s="63">
        <f t="shared" si="135"/>
        <v>2.0000000000000573E-4</v>
      </c>
    </row>
    <row r="177" spans="1:24">
      <c r="A177" s="164">
        <v>154</v>
      </c>
      <c r="B177" s="148" t="s">
        <v>223</v>
      </c>
      <c r="C177" s="147" t="s">
        <v>133</v>
      </c>
      <c r="D177" s="38">
        <v>3190421873.3400002</v>
      </c>
      <c r="E177" s="34">
        <f t="shared" si="131"/>
        <v>2.6082395686172717E-2</v>
      </c>
      <c r="F177" s="33">
        <v>7.6238000000000001</v>
      </c>
      <c r="G177" s="33">
        <v>7.8167</v>
      </c>
      <c r="H177" s="35">
        <v>2736</v>
      </c>
      <c r="I177" s="56">
        <v>0.503</v>
      </c>
      <c r="J177" s="56">
        <v>1.1552</v>
      </c>
      <c r="K177" s="38">
        <v>3190421873.3400002</v>
      </c>
      <c r="L177" s="60">
        <f t="shared" si="132"/>
        <v>2.616171050794025E-2</v>
      </c>
      <c r="M177" s="33">
        <v>7.6238000000000001</v>
      </c>
      <c r="N177" s="33">
        <v>7.8167</v>
      </c>
      <c r="O177" s="35">
        <v>2736</v>
      </c>
      <c r="P177" s="56">
        <v>0.503</v>
      </c>
      <c r="Q177" s="56">
        <v>1.0799000000000001</v>
      </c>
      <c r="R177" s="62">
        <f t="shared" si="133"/>
        <v>0</v>
      </c>
      <c r="S177" s="62">
        <f t="shared" si="134"/>
        <v>0</v>
      </c>
      <c r="T177" s="62">
        <f t="shared" si="134"/>
        <v>0</v>
      </c>
      <c r="U177" s="62">
        <f t="shared" si="135"/>
        <v>0</v>
      </c>
      <c r="V177" s="63">
        <f t="shared" si="135"/>
        <v>-7.5299999999999923E-2</v>
      </c>
      <c r="X177" s="134"/>
    </row>
    <row r="178" spans="1:24">
      <c r="A178" s="164">
        <v>155</v>
      </c>
      <c r="B178" s="148" t="s">
        <v>224</v>
      </c>
      <c r="C178" s="147" t="s">
        <v>27</v>
      </c>
      <c r="D178" s="38">
        <v>1708223894.3199999</v>
      </c>
      <c r="E178" s="34">
        <f t="shared" si="131"/>
        <v>1.3965103456862173E-2</v>
      </c>
      <c r="F178" s="33">
        <v>1.5516000000000001</v>
      </c>
      <c r="G178" s="33">
        <v>1.5639000000000001</v>
      </c>
      <c r="H178" s="35">
        <v>341</v>
      </c>
      <c r="I178" s="56">
        <v>6.1000000000000004E-3</v>
      </c>
      <c r="J178" s="56">
        <v>0.24779999999999999</v>
      </c>
      <c r="K178" s="38">
        <v>1900039694.47</v>
      </c>
      <c r="L178" s="60">
        <f t="shared" si="132"/>
        <v>1.558047506371958E-2</v>
      </c>
      <c r="M178" s="33">
        <v>1.5654999999999999</v>
      </c>
      <c r="N178" s="33">
        <v>1.5783</v>
      </c>
      <c r="O178" s="35">
        <v>414</v>
      </c>
      <c r="P178" s="56">
        <v>3.2000000000000002E-3</v>
      </c>
      <c r="Q178" s="56">
        <v>0.2591</v>
      </c>
      <c r="R178" s="62">
        <f t="shared" ref="R178" si="136">((K178-D178)/D178)</f>
        <v>0.11228961308163708</v>
      </c>
      <c r="S178" s="62">
        <f t="shared" ref="S178" si="137">((N178-G178)/G178)</f>
        <v>9.2077498561288877E-3</v>
      </c>
      <c r="T178" s="62">
        <f t="shared" ref="T178" si="138">((O178-H178)/H178)</f>
        <v>0.21407624633431085</v>
      </c>
      <c r="U178" s="62">
        <f t="shared" ref="U178" si="139">P178-I178</f>
        <v>-2.9000000000000002E-3</v>
      </c>
      <c r="V178" s="63">
        <f t="shared" ref="V178" si="140">Q178-J178</f>
        <v>1.1300000000000004E-2</v>
      </c>
    </row>
    <row r="179" spans="1:24">
      <c r="A179" s="164">
        <v>156</v>
      </c>
      <c r="B179" s="148" t="s">
        <v>225</v>
      </c>
      <c r="C179" s="147" t="s">
        <v>69</v>
      </c>
      <c r="D179" s="33">
        <v>9061598659.6126194</v>
      </c>
      <c r="E179" s="34">
        <f t="shared" si="131"/>
        <v>7.4080548332587634E-2</v>
      </c>
      <c r="F179" s="33">
        <v>13367.641706915199</v>
      </c>
      <c r="G179" s="33">
        <v>13464.9867616587</v>
      </c>
      <c r="H179" s="35">
        <v>1574</v>
      </c>
      <c r="I179" s="56">
        <v>0.1507</v>
      </c>
      <c r="J179" s="56">
        <v>0.83589999999999998</v>
      </c>
      <c r="K179" s="33">
        <v>9060658639.0273495</v>
      </c>
      <c r="L179" s="60">
        <f t="shared" si="132"/>
        <v>7.4298114085252845E-2</v>
      </c>
      <c r="M179" s="33">
        <v>13431.5741888509</v>
      </c>
      <c r="N179" s="33">
        <v>13530.1665936808</v>
      </c>
      <c r="O179" s="35">
        <v>1581</v>
      </c>
      <c r="P179" s="56">
        <v>0.24940000000000001</v>
      </c>
      <c r="Q179" s="56">
        <v>0.7954</v>
      </c>
      <c r="R179" s="62">
        <f t="shared" si="133"/>
        <v>-1.0373672688237482E-4</v>
      </c>
      <c r="S179" s="62">
        <f t="shared" si="134"/>
        <v>4.8406903902571139E-3</v>
      </c>
      <c r="T179" s="62">
        <f t="shared" si="134"/>
        <v>4.4472681067344345E-3</v>
      </c>
      <c r="U179" s="62">
        <f t="shared" si="135"/>
        <v>9.870000000000001E-2</v>
      </c>
      <c r="V179" s="63">
        <f t="shared" si="135"/>
        <v>-4.049999999999998E-2</v>
      </c>
    </row>
    <row r="180" spans="1:24">
      <c r="A180" s="164">
        <v>157</v>
      </c>
      <c r="B180" s="148" t="s">
        <v>226</v>
      </c>
      <c r="C180" s="147" t="s">
        <v>71</v>
      </c>
      <c r="D180" s="33">
        <v>1755885245.75</v>
      </c>
      <c r="E180" s="34">
        <f t="shared" si="131"/>
        <v>1.4354745415288689E-2</v>
      </c>
      <c r="F180" s="33">
        <v>278.12</v>
      </c>
      <c r="G180" s="33">
        <v>280.27999999999997</v>
      </c>
      <c r="H180" s="35">
        <v>508</v>
      </c>
      <c r="I180" s="56">
        <v>-7.3000000000000001E-3</v>
      </c>
      <c r="J180" s="56">
        <v>0.20449999999999999</v>
      </c>
      <c r="K180" s="33">
        <v>1788587988.2</v>
      </c>
      <c r="L180" s="60">
        <f t="shared" si="132"/>
        <v>1.4666562298948048E-2</v>
      </c>
      <c r="M180" s="33">
        <v>280.48</v>
      </c>
      <c r="N180" s="33">
        <v>282.64999999999998</v>
      </c>
      <c r="O180" s="35">
        <v>508</v>
      </c>
      <c r="P180" s="56">
        <v>8.5000000000000006E-3</v>
      </c>
      <c r="Q180" s="56">
        <v>0.2147</v>
      </c>
      <c r="R180" s="62">
        <f t="shared" si="133"/>
        <v>1.8624646758183542E-2</v>
      </c>
      <c r="S180" s="62">
        <f t="shared" si="134"/>
        <v>8.4558298844013297E-3</v>
      </c>
      <c r="T180" s="62">
        <f t="shared" si="134"/>
        <v>0</v>
      </c>
      <c r="U180" s="62">
        <f t="shared" si="135"/>
        <v>1.5800000000000002E-2</v>
      </c>
      <c r="V180" s="63">
        <f t="shared" si="135"/>
        <v>1.0200000000000015E-2</v>
      </c>
    </row>
    <row r="181" spans="1:24">
      <c r="A181" s="164">
        <v>158</v>
      </c>
      <c r="B181" s="148" t="s">
        <v>227</v>
      </c>
      <c r="C181" s="147" t="s">
        <v>228</v>
      </c>
      <c r="D181" s="33">
        <v>4546918865.2200003</v>
      </c>
      <c r="E181" s="34">
        <f t="shared" si="131"/>
        <v>3.7172054889229054E-2</v>
      </c>
      <c r="F181" s="33">
        <v>2.4243999999999999</v>
      </c>
      <c r="G181" s="33">
        <v>2.4689999999999999</v>
      </c>
      <c r="H181" s="35">
        <v>4527</v>
      </c>
      <c r="I181" s="56">
        <v>-5.0000000000000001E-4</v>
      </c>
      <c r="J181" s="56">
        <v>0.14130000000000001</v>
      </c>
      <c r="K181" s="33">
        <v>4537929931.5</v>
      </c>
      <c r="L181" s="60">
        <f t="shared" si="132"/>
        <v>3.7211382659226223E-2</v>
      </c>
      <c r="M181" s="33">
        <v>2.4289999999999998</v>
      </c>
      <c r="N181" s="33">
        <v>2.4739</v>
      </c>
      <c r="O181" s="35">
        <v>4567</v>
      </c>
      <c r="P181" s="56">
        <v>1.9E-3</v>
      </c>
      <c r="Q181" s="56">
        <v>0.24229999999999999</v>
      </c>
      <c r="R181" s="62">
        <f t="shared" si="133"/>
        <v>-1.9769285501788567E-3</v>
      </c>
      <c r="S181" s="62">
        <f t="shared" si="134"/>
        <v>1.9846091535034942E-3</v>
      </c>
      <c r="T181" s="62">
        <f t="shared" si="134"/>
        <v>8.8358736470068484E-3</v>
      </c>
      <c r="U181" s="62">
        <f t="shared" si="135"/>
        <v>2.4000000000000002E-3</v>
      </c>
      <c r="V181" s="63">
        <f t="shared" si="135"/>
        <v>0.10099999999999998</v>
      </c>
    </row>
    <row r="182" spans="1:24">
      <c r="A182" s="164">
        <v>159</v>
      </c>
      <c r="B182" s="148" t="s">
        <v>229</v>
      </c>
      <c r="C182" s="147" t="s">
        <v>29</v>
      </c>
      <c r="D182" s="50">
        <v>711447975.13999999</v>
      </c>
      <c r="E182" s="34">
        <f t="shared" si="131"/>
        <v>5.8162425956231291E-3</v>
      </c>
      <c r="F182" s="33">
        <v>254.30449999999999</v>
      </c>
      <c r="G182" s="33">
        <v>255.89169999999999</v>
      </c>
      <c r="H182" s="35">
        <v>187</v>
      </c>
      <c r="I182" s="56">
        <v>1.5820000000000001E-3</v>
      </c>
      <c r="J182" s="56">
        <v>0.2465</v>
      </c>
      <c r="K182" s="50">
        <v>929071817.95000005</v>
      </c>
      <c r="L182" s="60">
        <f t="shared" si="132"/>
        <v>7.6184620427166274E-3</v>
      </c>
      <c r="M182" s="33">
        <v>255.2251</v>
      </c>
      <c r="N182" s="33">
        <v>256.44549999999998</v>
      </c>
      <c r="O182" s="35">
        <v>187</v>
      </c>
      <c r="P182" s="56">
        <v>6.3599999999999996E-4</v>
      </c>
      <c r="Q182" s="56">
        <v>0.25069999999999998</v>
      </c>
      <c r="R182" s="62">
        <f t="shared" si="133"/>
        <v>0.305888624909187</v>
      </c>
      <c r="S182" s="62">
        <f t="shared" si="134"/>
        <v>2.1641968066959398E-3</v>
      </c>
      <c r="T182" s="62">
        <f t="shared" si="134"/>
        <v>0</v>
      </c>
      <c r="U182" s="62">
        <f t="shared" si="135"/>
        <v>-9.4600000000000012E-4</v>
      </c>
      <c r="V182" s="63">
        <f t="shared" si="135"/>
        <v>4.1999999999999815E-3</v>
      </c>
    </row>
    <row r="183" spans="1:24">
      <c r="A183" s="164">
        <v>160</v>
      </c>
      <c r="B183" s="148" t="s">
        <v>230</v>
      </c>
      <c r="C183" s="147" t="s">
        <v>77</v>
      </c>
      <c r="D183" s="50">
        <v>1659527684.78</v>
      </c>
      <c r="E183" s="34">
        <f t="shared" si="131"/>
        <v>1.3567001307346317E-2</v>
      </c>
      <c r="F183" s="33">
        <v>190.61</v>
      </c>
      <c r="G183" s="33">
        <v>191.18</v>
      </c>
      <c r="H183" s="35">
        <v>111</v>
      </c>
      <c r="I183" s="56">
        <v>7.4000000000000003E-3</v>
      </c>
      <c r="J183" s="56">
        <v>0.1237</v>
      </c>
      <c r="K183" s="50">
        <v>1653795129.6900001</v>
      </c>
      <c r="L183" s="60">
        <f t="shared" si="132"/>
        <v>1.3561250248418309E-2</v>
      </c>
      <c r="M183" s="33">
        <v>190.56</v>
      </c>
      <c r="N183" s="33">
        <v>191.18</v>
      </c>
      <c r="O183" s="35">
        <v>111</v>
      </c>
      <c r="P183" s="56">
        <v>-1E-4</v>
      </c>
      <c r="Q183" s="56">
        <v>0.1236</v>
      </c>
      <c r="R183" s="62">
        <f t="shared" si="133"/>
        <v>-3.4543292905414029E-3</v>
      </c>
      <c r="S183" s="62">
        <f t="shared" si="134"/>
        <v>0</v>
      </c>
      <c r="T183" s="62">
        <f t="shared" si="134"/>
        <v>0</v>
      </c>
      <c r="U183" s="62">
        <f t="shared" si="135"/>
        <v>-7.5000000000000006E-3</v>
      </c>
      <c r="V183" s="63">
        <f t="shared" si="135"/>
        <v>-1.0000000000000286E-4</v>
      </c>
    </row>
    <row r="184" spans="1:24" ht="15.75" customHeight="1">
      <c r="A184" s="164">
        <v>161</v>
      </c>
      <c r="B184" s="148" t="s">
        <v>231</v>
      </c>
      <c r="C184" s="147" t="s">
        <v>80</v>
      </c>
      <c r="D184" s="38">
        <v>834933297.88</v>
      </c>
      <c r="E184" s="34">
        <f t="shared" si="131"/>
        <v>6.8257620814482518E-3</v>
      </c>
      <c r="F184" s="33">
        <v>2.35</v>
      </c>
      <c r="G184" s="33">
        <v>2.38</v>
      </c>
      <c r="H184" s="35">
        <v>161</v>
      </c>
      <c r="I184" s="56">
        <v>6.8000000000000005E-2</v>
      </c>
      <c r="J184" s="56">
        <v>0.2888</v>
      </c>
      <c r="K184" s="38">
        <v>830533344.08000004</v>
      </c>
      <c r="L184" s="60">
        <f t="shared" si="132"/>
        <v>6.8104388001407551E-3</v>
      </c>
      <c r="M184" s="33">
        <v>2.34</v>
      </c>
      <c r="N184" s="33">
        <v>2.37</v>
      </c>
      <c r="O184" s="35">
        <v>165</v>
      </c>
      <c r="P184" s="56">
        <v>6.8000000000000005E-2</v>
      </c>
      <c r="Q184" s="56">
        <v>0.29170000000000001</v>
      </c>
      <c r="R184" s="62">
        <f t="shared" si="133"/>
        <v>-5.2698267169029971E-3</v>
      </c>
      <c r="S184" s="62">
        <f t="shared" si="134"/>
        <v>-4.201680672268818E-3</v>
      </c>
      <c r="T184" s="62">
        <f t="shared" si="134"/>
        <v>2.4844720496894408E-2</v>
      </c>
      <c r="U184" s="62">
        <f t="shared" si="135"/>
        <v>0</v>
      </c>
      <c r="V184" s="63">
        <f t="shared" si="135"/>
        <v>2.9000000000000137E-3</v>
      </c>
    </row>
    <row r="185" spans="1:24">
      <c r="A185" s="164">
        <v>162</v>
      </c>
      <c r="B185" s="148" t="s">
        <v>232</v>
      </c>
      <c r="C185" s="147" t="s">
        <v>82</v>
      </c>
      <c r="D185" s="33">
        <v>17899557372</v>
      </c>
      <c r="E185" s="34">
        <f t="shared" si="131"/>
        <v>0.14633279124779267</v>
      </c>
      <c r="F185" s="33">
        <v>532.88</v>
      </c>
      <c r="G185" s="33">
        <v>538.22</v>
      </c>
      <c r="H185" s="35">
        <v>5601</v>
      </c>
      <c r="I185" s="56">
        <v>-3.3999999999999998E-3</v>
      </c>
      <c r="J185" s="56">
        <v>0.24410000000000001</v>
      </c>
      <c r="K185" s="33">
        <v>17967598088.700001</v>
      </c>
      <c r="L185" s="60">
        <f t="shared" si="132"/>
        <v>0.14733571871718915</v>
      </c>
      <c r="M185" s="33">
        <v>534.74</v>
      </c>
      <c r="N185" s="33">
        <v>540.08000000000004</v>
      </c>
      <c r="O185" s="35">
        <v>5605</v>
      </c>
      <c r="P185" s="56">
        <v>3.5000000000000001E-3</v>
      </c>
      <c r="Q185" s="56">
        <v>0.2485</v>
      </c>
      <c r="R185" s="62">
        <f t="shared" si="133"/>
        <v>3.8012513542058754E-3</v>
      </c>
      <c r="S185" s="62">
        <f t="shared" si="134"/>
        <v>3.4558359035338961E-3</v>
      </c>
      <c r="T185" s="62">
        <f t="shared" si="134"/>
        <v>7.1415818603820741E-4</v>
      </c>
      <c r="U185" s="62">
        <f t="shared" si="135"/>
        <v>6.8999999999999999E-3</v>
      </c>
      <c r="V185" s="63">
        <f t="shared" si="135"/>
        <v>4.3999999999999873E-3</v>
      </c>
    </row>
    <row r="186" spans="1:24">
      <c r="A186" s="164">
        <v>163</v>
      </c>
      <c r="B186" s="148" t="s">
        <v>233</v>
      </c>
      <c r="C186" s="147" t="s">
        <v>90</v>
      </c>
      <c r="D186" s="33">
        <v>5162867232.8599997</v>
      </c>
      <c r="E186" s="34">
        <f t="shared" si="131"/>
        <v>4.2207567333926548E-2</v>
      </c>
      <c r="F186" s="33">
        <v>3.5891000000000002</v>
      </c>
      <c r="G186" s="33">
        <v>3.6076999999999999</v>
      </c>
      <c r="H186" s="35">
        <v>10202</v>
      </c>
      <c r="I186" s="56">
        <v>6.4999999999999997E-3</v>
      </c>
      <c r="J186" s="56">
        <v>0.1636</v>
      </c>
      <c r="K186" s="33">
        <v>5259457823.9200001</v>
      </c>
      <c r="L186" s="60">
        <f t="shared" si="132"/>
        <v>4.3127968174963963E-2</v>
      </c>
      <c r="M186" s="33">
        <v>3.6326000000000001</v>
      </c>
      <c r="N186" s="33">
        <v>3.6951000000000001</v>
      </c>
      <c r="O186" s="35">
        <v>10202</v>
      </c>
      <c r="P186" s="56">
        <v>1.8700000000000001E-2</v>
      </c>
      <c r="Q186" s="56">
        <v>0.18540000000000001</v>
      </c>
      <c r="R186" s="62">
        <f t="shared" si="133"/>
        <v>1.8708711013374929E-2</v>
      </c>
      <c r="S186" s="62">
        <f t="shared" si="134"/>
        <v>2.4225961138675652E-2</v>
      </c>
      <c r="T186" s="62">
        <f t="shared" si="134"/>
        <v>0</v>
      </c>
      <c r="U186" s="62">
        <f t="shared" si="135"/>
        <v>1.2200000000000003E-2</v>
      </c>
      <c r="V186" s="63">
        <f t="shared" si="135"/>
        <v>2.1800000000000014E-2</v>
      </c>
    </row>
    <row r="187" spans="1:24">
      <c r="A187" s="164">
        <v>164</v>
      </c>
      <c r="B187" s="148" t="s">
        <v>234</v>
      </c>
      <c r="C187" s="147" t="s">
        <v>92</v>
      </c>
      <c r="D187" s="33">
        <v>333039708.05000001</v>
      </c>
      <c r="E187" s="34">
        <f t="shared" si="131"/>
        <v>2.7226723578953572E-3</v>
      </c>
      <c r="F187" s="33">
        <v>377.94595325</v>
      </c>
      <c r="G187" s="33">
        <v>377.94595325</v>
      </c>
      <c r="H187" s="35">
        <v>32</v>
      </c>
      <c r="I187" s="56">
        <v>-1.7299999999999999E-2</v>
      </c>
      <c r="J187" s="56">
        <v>8.7300000000000003E-2</v>
      </c>
      <c r="K187" s="33">
        <v>332091329.16000003</v>
      </c>
      <c r="L187" s="60">
        <f t="shared" si="132"/>
        <v>2.7231750409815276E-3</v>
      </c>
      <c r="M187" s="33">
        <v>376.53607221999999</v>
      </c>
      <c r="N187" s="33">
        <v>376.53607221999999</v>
      </c>
      <c r="O187" s="35">
        <v>32</v>
      </c>
      <c r="P187" s="56">
        <v>-3.7000000000000002E-3</v>
      </c>
      <c r="Q187" s="56">
        <v>8.3199999999999996E-2</v>
      </c>
      <c r="R187" s="62">
        <f t="shared" si="133"/>
        <v>-2.8476450917906864E-3</v>
      </c>
      <c r="S187" s="62">
        <f t="shared" si="134"/>
        <v>-3.730377367124272E-3</v>
      </c>
      <c r="T187" s="62">
        <f t="shared" si="134"/>
        <v>0</v>
      </c>
      <c r="U187" s="62">
        <f t="shared" si="135"/>
        <v>1.3599999999999999E-2</v>
      </c>
      <c r="V187" s="63">
        <f t="shared" si="135"/>
        <v>-4.1000000000000064E-3</v>
      </c>
    </row>
    <row r="188" spans="1:24">
      <c r="A188" s="164">
        <v>165</v>
      </c>
      <c r="B188" s="148" t="s">
        <v>235</v>
      </c>
      <c r="C188" s="148" t="s">
        <v>94</v>
      </c>
      <c r="D188" s="53">
        <v>83990907.099999994</v>
      </c>
      <c r="E188" s="34">
        <f t="shared" si="131"/>
        <v>6.8664401135432984E-4</v>
      </c>
      <c r="F188" s="33">
        <v>1.6479468500000001</v>
      </c>
      <c r="G188" s="33">
        <v>1.6479468500000001</v>
      </c>
      <c r="H188" s="35">
        <v>34</v>
      </c>
      <c r="I188" s="56">
        <v>1.1000000000000001E-3</v>
      </c>
      <c r="J188" s="56">
        <v>0.15670000000000001</v>
      </c>
      <c r="K188" s="53">
        <v>84023004.129999995</v>
      </c>
      <c r="L188" s="60">
        <f t="shared" si="132"/>
        <v>6.8899524806582512E-4</v>
      </c>
      <c r="M188" s="33">
        <v>1.6475</v>
      </c>
      <c r="N188" s="33">
        <v>1.6475</v>
      </c>
      <c r="O188" s="35">
        <v>34</v>
      </c>
      <c r="P188" s="56">
        <v>4.0000000000000002E-4</v>
      </c>
      <c r="Q188" s="56">
        <v>0.15709999999999999</v>
      </c>
      <c r="R188" s="62">
        <f t="shared" si="133"/>
        <v>3.8214886715994516E-4</v>
      </c>
      <c r="S188" s="62">
        <f t="shared" si="134"/>
        <v>-2.7115558975710267E-4</v>
      </c>
      <c r="T188" s="62">
        <f t="shared" si="134"/>
        <v>0</v>
      </c>
      <c r="U188" s="62">
        <f t="shared" si="135"/>
        <v>-7.000000000000001E-4</v>
      </c>
      <c r="V188" s="63">
        <f t="shared" si="135"/>
        <v>3.999999999999837E-4</v>
      </c>
    </row>
    <row r="189" spans="1:24" ht="13.5" customHeight="1">
      <c r="A189" s="164">
        <v>166</v>
      </c>
      <c r="B189" s="148" t="s">
        <v>236</v>
      </c>
      <c r="C189" s="147" t="s">
        <v>36</v>
      </c>
      <c r="D189" s="38">
        <v>12103731379.48</v>
      </c>
      <c r="E189" s="34">
        <f t="shared" si="131"/>
        <v>9.8950647798890401E-2</v>
      </c>
      <c r="F189" s="33">
        <v>7.3420339999999999</v>
      </c>
      <c r="G189" s="33">
        <v>7.4302239999999999</v>
      </c>
      <c r="H189" s="35">
        <v>7908</v>
      </c>
      <c r="I189" s="56">
        <v>-2.5499999999999998E-2</v>
      </c>
      <c r="J189" s="56">
        <v>0.18229999999999999</v>
      </c>
      <c r="K189" s="38">
        <v>10607458925.059999</v>
      </c>
      <c r="L189" s="60">
        <f t="shared" si="132"/>
        <v>8.6981998193162741E-2</v>
      </c>
      <c r="M189" s="33">
        <v>7.3296159999999997</v>
      </c>
      <c r="N189" s="33">
        <v>7.4347250000000003</v>
      </c>
      <c r="O189" s="35">
        <v>8340</v>
      </c>
      <c r="P189" s="56">
        <v>-1.6999999999999999E-3</v>
      </c>
      <c r="Q189" s="56">
        <v>0.18029999999999999</v>
      </c>
      <c r="R189" s="62">
        <f t="shared" si="133"/>
        <v>-0.12362075855026806</v>
      </c>
      <c r="S189" s="62">
        <f t="shared" si="134"/>
        <v>6.0576908583110148E-4</v>
      </c>
      <c r="T189" s="62">
        <f t="shared" si="134"/>
        <v>5.4628224582701064E-2</v>
      </c>
      <c r="U189" s="62">
        <f t="shared" si="135"/>
        <v>2.3799999999999998E-2</v>
      </c>
      <c r="V189" s="63">
        <f t="shared" si="135"/>
        <v>-2.0000000000000018E-3</v>
      </c>
      <c r="X189" s="134"/>
    </row>
    <row r="190" spans="1:24" ht="13.5" customHeight="1">
      <c r="A190" s="164">
        <v>167</v>
      </c>
      <c r="B190" s="148" t="s">
        <v>237</v>
      </c>
      <c r="C190" s="147" t="s">
        <v>238</v>
      </c>
      <c r="D190" s="38">
        <v>142300920.25999999</v>
      </c>
      <c r="E190" s="34">
        <f t="shared" si="131"/>
        <v>1.1633411053699528E-3</v>
      </c>
      <c r="F190" s="33">
        <v>3.0127999999999999</v>
      </c>
      <c r="G190" s="33">
        <v>3.0291999999999999</v>
      </c>
      <c r="H190" s="35">
        <v>118</v>
      </c>
      <c r="I190" s="56">
        <v>-1.8159999999999999E-5</v>
      </c>
      <c r="J190" s="56">
        <v>8.0679000000000005E-4</v>
      </c>
      <c r="K190" s="38">
        <v>142679306.19</v>
      </c>
      <c r="L190" s="60">
        <f t="shared" si="132"/>
        <v>1.1699815423183546E-3</v>
      </c>
      <c r="M190" s="33">
        <v>3.0188000000000001</v>
      </c>
      <c r="N190" s="33">
        <v>3.0352000000000001</v>
      </c>
      <c r="O190" s="35">
        <v>118</v>
      </c>
      <c r="P190" s="56">
        <v>1.5209E-5</v>
      </c>
      <c r="Q190" s="56">
        <v>8.2824000000000005E-4</v>
      </c>
      <c r="R190" s="62">
        <f t="shared" si="133"/>
        <v>2.659054694155547E-3</v>
      </c>
      <c r="S190" s="62">
        <f t="shared" si="134"/>
        <v>1.9807209824376825E-3</v>
      </c>
      <c r="T190" s="62">
        <f t="shared" si="134"/>
        <v>0</v>
      </c>
      <c r="U190" s="62">
        <f>P190-I190</f>
        <v>3.3368999999999998E-5</v>
      </c>
      <c r="V190" s="63">
        <f>Q190-J190</f>
        <v>2.1450000000000006E-5</v>
      </c>
    </row>
    <row r="191" spans="1:24">
      <c r="A191" s="164">
        <v>168</v>
      </c>
      <c r="B191" s="148" t="s">
        <v>239</v>
      </c>
      <c r="C191" s="147" t="s">
        <v>149</v>
      </c>
      <c r="D191" s="38">
        <v>1455433395.9400001</v>
      </c>
      <c r="E191" s="34">
        <f t="shared" si="131"/>
        <v>1.1898485916546271E-2</v>
      </c>
      <c r="F191" s="33">
        <v>436.37</v>
      </c>
      <c r="G191" s="33">
        <v>441.56</v>
      </c>
      <c r="H191" s="35">
        <v>158</v>
      </c>
      <c r="I191" s="56">
        <v>1.37E-2</v>
      </c>
      <c r="J191" s="56">
        <v>0.2266</v>
      </c>
      <c r="K191" s="38">
        <v>1711983212.5799999</v>
      </c>
      <c r="L191" s="60">
        <f t="shared" si="132"/>
        <v>1.4038397108619132E-2</v>
      </c>
      <c r="M191" s="33">
        <v>439.36</v>
      </c>
      <c r="N191" s="33">
        <v>443.85</v>
      </c>
      <c r="O191" s="35">
        <v>158</v>
      </c>
      <c r="P191" s="56">
        <v>1.37E-2</v>
      </c>
      <c r="Q191" s="56">
        <v>0.2266</v>
      </c>
      <c r="R191" s="62">
        <f t="shared" si="133"/>
        <v>0.17627039296724786</v>
      </c>
      <c r="S191" s="62">
        <f t="shared" si="134"/>
        <v>5.1861581665006351E-3</v>
      </c>
      <c r="T191" s="62">
        <f t="shared" si="134"/>
        <v>0</v>
      </c>
      <c r="U191" s="62">
        <f t="shared" si="135"/>
        <v>0</v>
      </c>
      <c r="V191" s="63">
        <f t="shared" si="135"/>
        <v>0</v>
      </c>
    </row>
    <row r="192" spans="1:24">
      <c r="A192" s="164">
        <v>169</v>
      </c>
      <c r="B192" s="148" t="s">
        <v>240</v>
      </c>
      <c r="C192" s="147" t="s">
        <v>32</v>
      </c>
      <c r="D192" s="38">
        <v>2693466588.8499999</v>
      </c>
      <c r="E192" s="34">
        <f t="shared" si="131"/>
        <v>2.201967768742942E-2</v>
      </c>
      <c r="F192" s="33">
        <v>552.22</v>
      </c>
      <c r="G192" s="33">
        <v>552.22</v>
      </c>
      <c r="H192" s="35">
        <v>823</v>
      </c>
      <c r="I192" s="56">
        <v>-3.5180000000000003E-2</v>
      </c>
      <c r="J192" s="56">
        <v>0.25030000000000002</v>
      </c>
      <c r="K192" s="38">
        <v>2716614003.5999999</v>
      </c>
      <c r="L192" s="60">
        <f t="shared" si="132"/>
        <v>2.2276448678430233E-2</v>
      </c>
      <c r="M192" s="33">
        <v>552.22</v>
      </c>
      <c r="N192" s="33">
        <v>552.22</v>
      </c>
      <c r="O192" s="35">
        <v>823</v>
      </c>
      <c r="P192" s="56">
        <v>8.6E-3</v>
      </c>
      <c r="Q192" s="56">
        <v>0.26090000000000002</v>
      </c>
      <c r="R192" s="62">
        <f t="shared" si="133"/>
        <v>8.5939119667651047E-3</v>
      </c>
      <c r="S192" s="62">
        <f t="shared" si="134"/>
        <v>0</v>
      </c>
      <c r="T192" s="62">
        <f t="shared" si="134"/>
        <v>0</v>
      </c>
      <c r="U192" s="62">
        <f t="shared" si="135"/>
        <v>4.3779999999999999E-2</v>
      </c>
      <c r="V192" s="63">
        <f t="shared" si="135"/>
        <v>1.0599999999999998E-2</v>
      </c>
    </row>
    <row r="193" spans="1:22">
      <c r="A193" s="164">
        <v>170</v>
      </c>
      <c r="B193" s="148" t="s">
        <v>241</v>
      </c>
      <c r="C193" s="147" t="s">
        <v>104</v>
      </c>
      <c r="D193" s="33">
        <v>56308929.280000001</v>
      </c>
      <c r="E193" s="34">
        <f t="shared" si="131"/>
        <v>4.6033779620754299E-4</v>
      </c>
      <c r="F193" s="33">
        <v>3.27</v>
      </c>
      <c r="G193" s="33">
        <v>3.27</v>
      </c>
      <c r="H193" s="35">
        <v>8</v>
      </c>
      <c r="I193" s="56">
        <v>2.12E-2</v>
      </c>
      <c r="J193" s="56">
        <v>0.24740000000000001</v>
      </c>
      <c r="K193" s="33">
        <v>53387740.329999998</v>
      </c>
      <c r="L193" s="60">
        <f t="shared" si="132"/>
        <v>4.3778367333105977E-4</v>
      </c>
      <c r="M193" s="33">
        <v>3.1</v>
      </c>
      <c r="N193" s="33">
        <v>3.1</v>
      </c>
      <c r="O193" s="35">
        <v>8</v>
      </c>
      <c r="P193" s="56">
        <v>1.6E-2</v>
      </c>
      <c r="Q193" s="56">
        <v>0.18060000000000001</v>
      </c>
      <c r="R193" s="62">
        <f t="shared" si="133"/>
        <v>-5.1877899071285677E-2</v>
      </c>
      <c r="S193" s="62">
        <f t="shared" si="134"/>
        <v>-5.1987767584097837E-2</v>
      </c>
      <c r="T193" s="62">
        <f t="shared" si="134"/>
        <v>0</v>
      </c>
      <c r="U193" s="62">
        <f t="shared" si="135"/>
        <v>-5.1999999999999998E-3</v>
      </c>
      <c r="V193" s="63">
        <f t="shared" si="135"/>
        <v>-6.6799999999999998E-2</v>
      </c>
    </row>
    <row r="194" spans="1:22">
      <c r="A194" s="164">
        <v>171</v>
      </c>
      <c r="B194" s="148" t="s">
        <v>242</v>
      </c>
      <c r="C194" s="147" t="s">
        <v>44</v>
      </c>
      <c r="D194" s="33">
        <v>574205850.74000001</v>
      </c>
      <c r="E194" s="34">
        <f t="shared" si="131"/>
        <v>4.6942582513820616E-3</v>
      </c>
      <c r="F194" s="33">
        <v>4.2691330000000001</v>
      </c>
      <c r="G194" s="33">
        <v>4.3346349999999996</v>
      </c>
      <c r="H194" s="35">
        <v>137</v>
      </c>
      <c r="I194" s="56">
        <v>0</v>
      </c>
      <c r="J194" s="56">
        <v>0.21</v>
      </c>
      <c r="K194" s="33">
        <v>563077539.57000005</v>
      </c>
      <c r="L194" s="60">
        <f t="shared" si="132"/>
        <v>4.6172801493276801E-3</v>
      </c>
      <c r="M194" s="33">
        <v>4.2691330000000001</v>
      </c>
      <c r="N194" s="33">
        <v>4.3346349999999996</v>
      </c>
      <c r="O194" s="35">
        <v>137</v>
      </c>
      <c r="P194" s="56">
        <v>2.5999999999999999E-3</v>
      </c>
      <c r="Q194" s="56">
        <v>0.2046</v>
      </c>
      <c r="R194" s="62">
        <f t="shared" si="133"/>
        <v>-1.9380351411708008E-2</v>
      </c>
      <c r="S194" s="62">
        <f t="shared" si="134"/>
        <v>0</v>
      </c>
      <c r="T194" s="62">
        <f t="shared" si="134"/>
        <v>0</v>
      </c>
      <c r="U194" s="62">
        <f t="shared" si="135"/>
        <v>2.5999999999999999E-3</v>
      </c>
      <c r="V194" s="63">
        <f t="shared" si="135"/>
        <v>-5.3999999999999881E-3</v>
      </c>
    </row>
    <row r="195" spans="1:22">
      <c r="A195" s="164">
        <v>172</v>
      </c>
      <c r="B195" s="148" t="s">
        <v>324</v>
      </c>
      <c r="C195" s="147" t="s">
        <v>325</v>
      </c>
      <c r="D195" s="33">
        <v>205031755.844982</v>
      </c>
      <c r="E195" s="34">
        <f t="shared" si="131"/>
        <v>1.6761793883330973E-3</v>
      </c>
      <c r="F195" s="33">
        <v>122.48808901207001</v>
      </c>
      <c r="G195" s="33">
        <v>123.21267833096501</v>
      </c>
      <c r="H195" s="35">
        <v>108</v>
      </c>
      <c r="I195" s="56">
        <v>-3.5000000000000001E-3</v>
      </c>
      <c r="J195" s="56">
        <v>6.2600000000000003E-2</v>
      </c>
      <c r="K195" s="33">
        <v>204172382.688535</v>
      </c>
      <c r="L195" s="34">
        <f t="shared" si="132"/>
        <v>1.6742296102746804E-3</v>
      </c>
      <c r="M195" s="33">
        <v>122.20772785130301</v>
      </c>
      <c r="N195" s="33">
        <v>122.92881715428101</v>
      </c>
      <c r="O195" s="35">
        <v>113</v>
      </c>
      <c r="P195" s="56">
        <v>-2.3E-3</v>
      </c>
      <c r="Q195" s="56">
        <v>6.0199999999999997E-2</v>
      </c>
      <c r="R195" s="62">
        <f t="shared" ref="R195" si="141">((K195-D195)/D195)</f>
        <v>-4.1914149001227793E-3</v>
      </c>
      <c r="S195" s="62">
        <f t="shared" ref="S195" si="142">((N195-G195)/G195)</f>
        <v>-2.3038309087114518E-3</v>
      </c>
      <c r="T195" s="62">
        <f t="shared" ref="T195" si="143">((O195-H195)/H195)</f>
        <v>4.6296296296296294E-2</v>
      </c>
      <c r="U195" s="62">
        <f t="shared" ref="U195" si="144">P195-I195</f>
        <v>1.2000000000000001E-3</v>
      </c>
      <c r="V195" s="63">
        <f t="shared" ref="V195" si="145">Q195-J195</f>
        <v>-2.4000000000000063E-3</v>
      </c>
    </row>
    <row r="196" spans="1:22">
      <c r="A196" s="164">
        <v>173</v>
      </c>
      <c r="B196" s="148" t="s">
        <v>243</v>
      </c>
      <c r="C196" s="147" t="s">
        <v>48</v>
      </c>
      <c r="D196" s="38">
        <v>10620558232.120001</v>
      </c>
      <c r="E196" s="34">
        <f t="shared" si="131"/>
        <v>8.6825383355398092E-2</v>
      </c>
      <c r="F196" s="33">
        <v>11844.86</v>
      </c>
      <c r="G196" s="33">
        <v>11954.03</v>
      </c>
      <c r="H196" s="35">
        <v>6090</v>
      </c>
      <c r="I196" s="56">
        <v>-6.1999999999999998E-3</v>
      </c>
      <c r="J196" s="56">
        <v>0.22839999999999999</v>
      </c>
      <c r="K196" s="38">
        <v>10673409268.379999</v>
      </c>
      <c r="L196" s="34">
        <f t="shared" si="132"/>
        <v>8.7522796199926284E-2</v>
      </c>
      <c r="M196" s="33">
        <v>11828.93</v>
      </c>
      <c r="N196" s="33">
        <v>11937.35</v>
      </c>
      <c r="O196" s="35">
        <v>6186</v>
      </c>
      <c r="P196" s="56">
        <v>-1.1999999999999999E-3</v>
      </c>
      <c r="Q196" s="56">
        <v>0.22689999999999999</v>
      </c>
      <c r="R196" s="62">
        <f t="shared" si="133"/>
        <v>4.976295511488248E-3</v>
      </c>
      <c r="S196" s="62">
        <f t="shared" si="134"/>
        <v>-1.3953453354224718E-3</v>
      </c>
      <c r="T196" s="62">
        <f t="shared" si="134"/>
        <v>1.5763546798029555E-2</v>
      </c>
      <c r="U196" s="62">
        <f t="shared" si="135"/>
        <v>5.0000000000000001E-3</v>
      </c>
      <c r="V196" s="63">
        <f t="shared" si="135"/>
        <v>-1.5000000000000013E-3</v>
      </c>
    </row>
    <row r="197" spans="1:22">
      <c r="A197" s="164">
        <v>174</v>
      </c>
      <c r="B197" s="148" t="s">
        <v>244</v>
      </c>
      <c r="C197" s="148" t="s">
        <v>114</v>
      </c>
      <c r="D197" s="38">
        <v>193765092.55000001</v>
      </c>
      <c r="E197" s="34">
        <f t="shared" si="131"/>
        <v>1.5840719549625507E-3</v>
      </c>
      <c r="F197" s="33">
        <v>1663.2809</v>
      </c>
      <c r="G197" s="33">
        <v>1691.0864999999999</v>
      </c>
      <c r="H197" s="35">
        <v>73</v>
      </c>
      <c r="I197" s="56">
        <v>5.1000000000000004E-3</v>
      </c>
      <c r="J197" s="56">
        <v>0.15179999999999999</v>
      </c>
      <c r="K197" s="38">
        <v>194663365</v>
      </c>
      <c r="L197" s="34">
        <f t="shared" si="132"/>
        <v>1.5962549166891264E-3</v>
      </c>
      <c r="M197" s="33">
        <v>1668.3459</v>
      </c>
      <c r="N197" s="33">
        <v>1696.2665999999999</v>
      </c>
      <c r="O197" s="35">
        <v>76</v>
      </c>
      <c r="P197" s="56">
        <v>3.0000000000000001E-3</v>
      </c>
      <c r="Q197" s="56">
        <v>0.15459999999999999</v>
      </c>
      <c r="R197" s="62">
        <f t="shared" si="133"/>
        <v>4.6358837816372622E-3</v>
      </c>
      <c r="S197" s="62">
        <f t="shared" si="134"/>
        <v>3.0631786132761622E-3</v>
      </c>
      <c r="T197" s="62">
        <f t="shared" si="134"/>
        <v>4.1095890410958902E-2</v>
      </c>
      <c r="U197" s="62">
        <f t="shared" si="135"/>
        <v>-2.1000000000000003E-3</v>
      </c>
      <c r="V197" s="63">
        <f t="shared" si="135"/>
        <v>2.7999999999999969E-3</v>
      </c>
    </row>
    <row r="198" spans="1:22">
      <c r="A198" s="164">
        <v>175</v>
      </c>
      <c r="B198" s="148" t="s">
        <v>245</v>
      </c>
      <c r="C198" s="148" t="s">
        <v>94</v>
      </c>
      <c r="D198" s="38">
        <v>831729494.5</v>
      </c>
      <c r="E198" s="34">
        <f t="shared" si="131"/>
        <v>6.7995702890222623E-3</v>
      </c>
      <c r="F198" s="33">
        <v>1.5821371399999999</v>
      </c>
      <c r="G198" s="33">
        <v>1.5821371399999999</v>
      </c>
      <c r="H198" s="35">
        <v>47</v>
      </c>
      <c r="I198" s="56">
        <v>2.8999999999999998E-3</v>
      </c>
      <c r="J198" s="56">
        <v>3.6499999999999998E-2</v>
      </c>
      <c r="K198" s="38">
        <v>833889440.71000004</v>
      </c>
      <c r="L198" s="34">
        <f t="shared" si="132"/>
        <v>6.8379590566950447E-3</v>
      </c>
      <c r="M198" s="33">
        <v>1.5862000000000001</v>
      </c>
      <c r="N198" s="33">
        <v>1.5862000000000001</v>
      </c>
      <c r="O198" s="35">
        <v>47</v>
      </c>
      <c r="P198" s="56">
        <v>2.5999999999999999E-3</v>
      </c>
      <c r="Q198" s="56">
        <v>3.9199999999999999E-2</v>
      </c>
      <c r="R198" s="62">
        <f t="shared" si="133"/>
        <v>2.596933527406654E-3</v>
      </c>
      <c r="S198" s="62">
        <f t="shared" si="134"/>
        <v>2.5679569092222389E-3</v>
      </c>
      <c r="T198" s="62">
        <f t="shared" si="134"/>
        <v>0</v>
      </c>
      <c r="U198" s="62">
        <f t="shared" si="135"/>
        <v>-2.9999999999999992E-4</v>
      </c>
      <c r="V198" s="63">
        <f t="shared" si="135"/>
        <v>2.700000000000001E-3</v>
      </c>
    </row>
    <row r="199" spans="1:22">
      <c r="A199" s="164">
        <v>176</v>
      </c>
      <c r="B199" s="148" t="s">
        <v>246</v>
      </c>
      <c r="C199" s="147" t="s">
        <v>51</v>
      </c>
      <c r="D199" s="33">
        <v>5855422717.6400003</v>
      </c>
      <c r="E199" s="34">
        <f t="shared" si="131"/>
        <v>4.7869359694242442E-2</v>
      </c>
      <c r="F199" s="33">
        <v>2.73672</v>
      </c>
      <c r="G199" s="33">
        <v>2.7552400000000001</v>
      </c>
      <c r="H199" s="35">
        <v>3279</v>
      </c>
      <c r="I199" s="56">
        <v>2.0000000000000001E-4</v>
      </c>
      <c r="J199" s="56">
        <v>0.2321</v>
      </c>
      <c r="K199" s="33">
        <v>5878281264.5299997</v>
      </c>
      <c r="L199" s="60">
        <f t="shared" si="132"/>
        <v>4.8202369101076552E-2</v>
      </c>
      <c r="M199" s="33">
        <v>2.74254</v>
      </c>
      <c r="N199" s="33">
        <v>2.7610600000000001</v>
      </c>
      <c r="O199" s="35">
        <v>3311</v>
      </c>
      <c r="P199" s="56">
        <v>2.0999999999999999E-3</v>
      </c>
      <c r="Q199" s="56">
        <v>0.23480000000000001</v>
      </c>
      <c r="R199" s="62">
        <f t="shared" si="133"/>
        <v>3.9038252218983119E-3</v>
      </c>
      <c r="S199" s="62">
        <f t="shared" si="134"/>
        <v>2.112338671041338E-3</v>
      </c>
      <c r="T199" s="62">
        <f t="shared" si="134"/>
        <v>9.7590728880756327E-3</v>
      </c>
      <c r="U199" s="62">
        <f t="shared" si="135"/>
        <v>1.8999999999999998E-3</v>
      </c>
      <c r="V199" s="63">
        <f t="shared" si="135"/>
        <v>2.7000000000000079E-3</v>
      </c>
    </row>
    <row r="200" spans="1:22">
      <c r="A200" s="164">
        <v>177</v>
      </c>
      <c r="B200" s="148" t="s">
        <v>247</v>
      </c>
      <c r="C200" s="147" t="s">
        <v>51</v>
      </c>
      <c r="D200" s="33">
        <v>3759566829.4699998</v>
      </c>
      <c r="E200" s="34">
        <f t="shared" si="131"/>
        <v>3.0735280018686216E-2</v>
      </c>
      <c r="F200" s="33">
        <v>2.22824</v>
      </c>
      <c r="G200" s="33">
        <v>2.2444500000000001</v>
      </c>
      <c r="H200" s="35">
        <v>1739</v>
      </c>
      <c r="I200" s="56">
        <v>-2.8999999999999998E-3</v>
      </c>
      <c r="J200" s="56">
        <v>0.2465</v>
      </c>
      <c r="K200" s="33">
        <v>3781984072.0599999</v>
      </c>
      <c r="L200" s="60">
        <f t="shared" si="132"/>
        <v>3.1012567104579426E-2</v>
      </c>
      <c r="M200" s="33">
        <v>2.2365300000000001</v>
      </c>
      <c r="N200" s="33">
        <v>2.2527900000000001</v>
      </c>
      <c r="O200" s="35">
        <v>1768</v>
      </c>
      <c r="P200" s="56">
        <v>3.7000000000000002E-3</v>
      </c>
      <c r="Q200" s="56">
        <v>0.25109999999999999</v>
      </c>
      <c r="R200" s="62">
        <f t="shared" si="133"/>
        <v>5.9627195383996929E-3</v>
      </c>
      <c r="S200" s="62">
        <f t="shared" si="134"/>
        <v>3.715832386553505E-3</v>
      </c>
      <c r="T200" s="62">
        <f t="shared" si="134"/>
        <v>1.6676250718803909E-2</v>
      </c>
      <c r="U200" s="62">
        <f t="shared" si="135"/>
        <v>6.6E-3</v>
      </c>
      <c r="V200" s="63">
        <f t="shared" si="135"/>
        <v>4.599999999999993E-3</v>
      </c>
    </row>
    <row r="201" spans="1:22">
      <c r="A201" s="164">
        <v>178</v>
      </c>
      <c r="B201" s="148" t="s">
        <v>248</v>
      </c>
      <c r="C201" s="147" t="s">
        <v>119</v>
      </c>
      <c r="D201" s="67">
        <v>12940964724</v>
      </c>
      <c r="E201" s="34">
        <f t="shared" si="131"/>
        <v>0.10579521326401102</v>
      </c>
      <c r="F201" s="33">
        <v>818.77</v>
      </c>
      <c r="G201" s="33">
        <v>827.87</v>
      </c>
      <c r="H201" s="35">
        <v>41</v>
      </c>
      <c r="I201" s="56">
        <v>7.6E-3</v>
      </c>
      <c r="J201" s="56">
        <v>0.19070000000000001</v>
      </c>
      <c r="K201" s="67">
        <v>12956635501.530001</v>
      </c>
      <c r="L201" s="60">
        <f t="shared" si="132"/>
        <v>0.10624543104485093</v>
      </c>
      <c r="M201" s="33">
        <v>819.89</v>
      </c>
      <c r="N201" s="33">
        <v>828.81</v>
      </c>
      <c r="O201" s="35">
        <v>41</v>
      </c>
      <c r="P201" s="56">
        <v>1.1999999999999999E-3</v>
      </c>
      <c r="Q201" s="56">
        <v>0.19220000000000001</v>
      </c>
      <c r="R201" s="62">
        <f t="shared" si="133"/>
        <v>1.210943531971619E-3</v>
      </c>
      <c r="S201" s="62">
        <f t="shared" si="134"/>
        <v>1.1354439706716523E-3</v>
      </c>
      <c r="T201" s="62">
        <f t="shared" si="134"/>
        <v>0</v>
      </c>
      <c r="U201" s="62">
        <f t="shared" si="135"/>
        <v>-6.4000000000000003E-3</v>
      </c>
      <c r="V201" s="63">
        <f t="shared" si="135"/>
        <v>1.5000000000000013E-3</v>
      </c>
    </row>
    <row r="202" spans="1:22">
      <c r="A202" s="41"/>
      <c r="B202" s="42"/>
      <c r="C202" s="43" t="s">
        <v>54</v>
      </c>
      <c r="D202" s="85">
        <f>SUM(D173:D201)</f>
        <v>122320890754.34761</v>
      </c>
      <c r="E202" s="45">
        <f>(D202/$D$237)</f>
        <v>1.4492052142834052E-2</v>
      </c>
      <c r="F202" s="46"/>
      <c r="G202" s="86"/>
      <c r="H202" s="48">
        <f>SUM(H173:H201)</f>
        <v>87648</v>
      </c>
      <c r="I202" s="104"/>
      <c r="J202" s="104"/>
      <c r="K202" s="85">
        <f>SUM(K173:K201)</f>
        <v>121950048807.84406</v>
      </c>
      <c r="L202" s="45">
        <f>(K202/$K$237)</f>
        <v>1.4190506689340073E-2</v>
      </c>
      <c r="M202" s="46"/>
      <c r="N202" s="86"/>
      <c r="O202" s="48">
        <f>SUM(O173:O201)</f>
        <v>88403</v>
      </c>
      <c r="P202" s="104"/>
      <c r="Q202" s="104"/>
      <c r="R202" s="62">
        <f t="shared" ref="R202" si="146">((K202-D202)/D202)</f>
        <v>-3.0317139142511892E-3</v>
      </c>
      <c r="S202" s="62" t="e">
        <f t="shared" ref="S202" si="147">((N202-G202)/G202)</f>
        <v>#DIV/0!</v>
      </c>
      <c r="T202" s="62">
        <f t="shared" ref="T202" si="148">((O202-H202)/H202)</f>
        <v>8.6140014603870024E-3</v>
      </c>
      <c r="U202" s="62">
        <f t="shared" ref="U202" si="149">P202-I202</f>
        <v>0</v>
      </c>
      <c r="V202" s="63">
        <f t="shared" ref="V202" si="150">Q202-J202</f>
        <v>0</v>
      </c>
    </row>
    <row r="203" spans="1:22" ht="5.25" customHeight="1">
      <c r="A203" s="41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</row>
    <row r="204" spans="1:22" ht="15" customHeight="1">
      <c r="A204" s="175" t="s">
        <v>249</v>
      </c>
      <c r="B204" s="175"/>
      <c r="C204" s="175"/>
      <c r="D204" s="175"/>
      <c r="E204" s="175"/>
      <c r="F204" s="175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</row>
    <row r="205" spans="1:22" ht="15" customHeight="1">
      <c r="A205" s="161">
        <v>179</v>
      </c>
      <c r="B205" s="148" t="s">
        <v>329</v>
      </c>
      <c r="C205" s="147" t="s">
        <v>135</v>
      </c>
      <c r="D205" s="87">
        <v>593652180.22000003</v>
      </c>
      <c r="E205" s="34">
        <v>0</v>
      </c>
      <c r="F205" s="88">
        <v>1000</v>
      </c>
      <c r="G205" s="88">
        <v>1000</v>
      </c>
      <c r="H205" s="35">
        <v>32</v>
      </c>
      <c r="I205" s="56">
        <v>1.8600000000000001E-3</v>
      </c>
      <c r="J205" s="56">
        <v>2.4879999999999999E-2</v>
      </c>
      <c r="K205" s="87">
        <v>585464664.89963901</v>
      </c>
      <c r="L205" s="60">
        <f>(K205/$K$208)</f>
        <v>3.8933440113511693E-2</v>
      </c>
      <c r="M205" s="88">
        <v>1000</v>
      </c>
      <c r="N205" s="88">
        <v>1000</v>
      </c>
      <c r="O205" s="35">
        <v>33</v>
      </c>
      <c r="P205" s="56">
        <v>1.9599999999999999E-3</v>
      </c>
      <c r="Q205" s="56">
        <v>2.4199999999999999E-2</v>
      </c>
      <c r="R205" s="62">
        <f>((K205-D205)/D205)</f>
        <v>-1.3791771668937235E-2</v>
      </c>
      <c r="S205" s="62">
        <f t="shared" ref="S205" si="151">((N205-G205)/G205)</f>
        <v>0</v>
      </c>
      <c r="T205" s="62">
        <f t="shared" ref="T205" si="152">((O205-H205)/H205)</f>
        <v>3.125E-2</v>
      </c>
      <c r="U205" s="62">
        <f t="shared" ref="U205" si="153">P205-I205</f>
        <v>9.9999999999999829E-5</v>
      </c>
      <c r="V205" s="63">
        <f t="shared" ref="V205" si="154">Q205-J205</f>
        <v>-6.8000000000000005E-4</v>
      </c>
    </row>
    <row r="206" spans="1:22">
      <c r="A206" s="161">
        <v>180</v>
      </c>
      <c r="B206" s="148" t="s">
        <v>250</v>
      </c>
      <c r="C206" s="147" t="s">
        <v>251</v>
      </c>
      <c r="D206" s="87">
        <v>1805392976.53</v>
      </c>
      <c r="E206" s="34">
        <f>(D206/$D$208)</f>
        <v>0.12084625399689909</v>
      </c>
      <c r="F206" s="88">
        <v>49.192300000000003</v>
      </c>
      <c r="G206" s="88">
        <v>49.6999</v>
      </c>
      <c r="H206" s="35">
        <v>1336</v>
      </c>
      <c r="I206" s="56">
        <v>1.78E-2</v>
      </c>
      <c r="J206" s="56">
        <v>0.2306</v>
      </c>
      <c r="K206" s="87">
        <v>1806547654.6300001</v>
      </c>
      <c r="L206" s="60">
        <f>(K206/$K$208)</f>
        <v>0.12013554214377573</v>
      </c>
      <c r="M206" s="88">
        <v>49.229500000000002</v>
      </c>
      <c r="N206" s="88">
        <v>49.737000000000002</v>
      </c>
      <c r="O206" s="35">
        <v>1336</v>
      </c>
      <c r="P206" s="56">
        <v>5.8999999999999999E-3</v>
      </c>
      <c r="Q206" s="56">
        <v>0.2316</v>
      </c>
      <c r="R206" s="62">
        <f>((K206-D206)/D206)</f>
        <v>6.3957161405349904E-4</v>
      </c>
      <c r="S206" s="62">
        <f t="shared" ref="S206:T208" si="155">((N206-G206)/G206)</f>
        <v>7.4648037521206996E-4</v>
      </c>
      <c r="T206" s="62">
        <f t="shared" si="155"/>
        <v>0</v>
      </c>
      <c r="U206" s="62">
        <f t="shared" ref="U206:V208" si="156">P206-I206</f>
        <v>-1.1900000000000001E-2</v>
      </c>
      <c r="V206" s="63">
        <f t="shared" si="156"/>
        <v>1.0000000000000009E-3</v>
      </c>
    </row>
    <row r="207" spans="1:22">
      <c r="A207" s="161">
        <v>181</v>
      </c>
      <c r="B207" s="148" t="s">
        <v>252</v>
      </c>
      <c r="C207" s="147" t="s">
        <v>48</v>
      </c>
      <c r="D207" s="50">
        <v>12540540612.92</v>
      </c>
      <c r="E207" s="34">
        <f>(D207/$D$208)</f>
        <v>0.83941688921385715</v>
      </c>
      <c r="F207" s="88">
        <v>5.9</v>
      </c>
      <c r="G207" s="88">
        <v>5.98</v>
      </c>
      <c r="H207" s="35">
        <v>14096</v>
      </c>
      <c r="I207" s="56">
        <v>-3.3E-3</v>
      </c>
      <c r="J207" s="56">
        <v>0.3201</v>
      </c>
      <c r="K207" s="50">
        <v>12645566255.41</v>
      </c>
      <c r="L207" s="60">
        <f>(K207/$K$208)</f>
        <v>0.84093101774271251</v>
      </c>
      <c r="M207" s="88">
        <v>5.93</v>
      </c>
      <c r="N207" s="88">
        <v>6.01</v>
      </c>
      <c r="O207" s="35">
        <v>14251</v>
      </c>
      <c r="P207" s="56">
        <v>5.0000000000000001E-3</v>
      </c>
      <c r="Q207" s="56">
        <v>0.32669999999999999</v>
      </c>
      <c r="R207" s="62">
        <f>((K207-D207)/D207)</f>
        <v>8.3748895467709097E-3</v>
      </c>
      <c r="S207" s="62">
        <f t="shared" si="155"/>
        <v>5.0167224080266484E-3</v>
      </c>
      <c r="T207" s="62">
        <f t="shared" si="155"/>
        <v>1.0996027241770715E-2</v>
      </c>
      <c r="U207" s="62">
        <f t="shared" si="156"/>
        <v>8.3000000000000001E-3</v>
      </c>
      <c r="V207" s="63">
        <f t="shared" si="156"/>
        <v>6.5999999999999948E-3</v>
      </c>
    </row>
    <row r="208" spans="1:22">
      <c r="A208" s="41"/>
      <c r="B208" s="42"/>
      <c r="C208" s="77" t="s">
        <v>54</v>
      </c>
      <c r="D208" s="85">
        <f>SUM(D205:D207)</f>
        <v>14939585769.67</v>
      </c>
      <c r="E208" s="45">
        <f>(D208/$D$237)</f>
        <v>1.7699777579383272E-3</v>
      </c>
      <c r="F208" s="46"/>
      <c r="G208" s="86"/>
      <c r="H208" s="48">
        <f>SUM(H205:H207)</f>
        <v>15464</v>
      </c>
      <c r="I208" s="104"/>
      <c r="J208" s="104"/>
      <c r="K208" s="85">
        <f>SUM(K205:K207)</f>
        <v>15037578574.93964</v>
      </c>
      <c r="L208" s="45">
        <f>(K208/$K$237)</f>
        <v>1.7498218446422814E-3</v>
      </c>
      <c r="M208" s="46"/>
      <c r="N208" s="86"/>
      <c r="O208" s="48">
        <f>SUM(O205:O207)</f>
        <v>15620</v>
      </c>
      <c r="P208" s="104"/>
      <c r="Q208" s="104"/>
      <c r="R208" s="62">
        <f>((K208-D208)/D208)</f>
        <v>6.5592719089027684E-3</v>
      </c>
      <c r="S208" s="62" t="e">
        <f t="shared" si="155"/>
        <v>#DIV/0!</v>
      </c>
      <c r="T208" s="62">
        <f t="shared" si="155"/>
        <v>1.008794619762028E-2</v>
      </c>
      <c r="U208" s="62">
        <f t="shared" si="156"/>
        <v>0</v>
      </c>
      <c r="V208" s="63">
        <f t="shared" si="156"/>
        <v>0</v>
      </c>
    </row>
    <row r="209" spans="1:24" ht="6" customHeight="1">
      <c r="A209" s="41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</row>
    <row r="210" spans="1:24" ht="15" customHeight="1">
      <c r="A210" s="171" t="s">
        <v>253</v>
      </c>
      <c r="B210" s="171"/>
      <c r="C210" s="171"/>
      <c r="D210" s="171"/>
      <c r="E210" s="171"/>
      <c r="F210" s="171"/>
      <c r="G210" s="171"/>
      <c r="H210" s="171"/>
      <c r="I210" s="171"/>
      <c r="J210" s="171"/>
      <c r="K210" s="171"/>
      <c r="L210" s="171"/>
      <c r="M210" s="171"/>
      <c r="N210" s="171"/>
      <c r="O210" s="171"/>
      <c r="P210" s="171"/>
      <c r="Q210" s="171"/>
      <c r="R210" s="171"/>
      <c r="S210" s="171"/>
      <c r="T210" s="171"/>
      <c r="U210" s="171"/>
      <c r="V210" s="171"/>
    </row>
    <row r="211" spans="1:24">
      <c r="A211" s="174" t="s">
        <v>254</v>
      </c>
      <c r="B211" s="174"/>
      <c r="C211" s="174"/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74"/>
      <c r="Q211" s="174"/>
      <c r="R211" s="174"/>
      <c r="S211" s="174"/>
      <c r="T211" s="174"/>
      <c r="U211" s="174"/>
      <c r="V211" s="174"/>
    </row>
    <row r="212" spans="1:24">
      <c r="A212" s="161">
        <v>182</v>
      </c>
      <c r="B212" s="148" t="s">
        <v>255</v>
      </c>
      <c r="C212" s="147" t="s">
        <v>256</v>
      </c>
      <c r="D212" s="54">
        <v>13500444667.290001</v>
      </c>
      <c r="E212" s="34">
        <f>(D212/$D$236)</f>
        <v>0.11991850984700353</v>
      </c>
      <c r="F212" s="89">
        <v>3.65</v>
      </c>
      <c r="G212" s="89">
        <v>3.71</v>
      </c>
      <c r="H212" s="52">
        <v>16099</v>
      </c>
      <c r="I212" s="59">
        <v>8.6E-3</v>
      </c>
      <c r="J212" s="59">
        <v>0.23680000000000001</v>
      </c>
      <c r="K212" s="54">
        <v>13703369735.059999</v>
      </c>
      <c r="L212" s="34">
        <f>(K212/$K$236)</f>
        <v>0.11962576223179694</v>
      </c>
      <c r="M212" s="89">
        <v>3.66</v>
      </c>
      <c r="N212" s="89">
        <v>3.73</v>
      </c>
      <c r="O212" s="52">
        <v>15886</v>
      </c>
      <c r="P212" s="59">
        <v>4.0000000000000001E-3</v>
      </c>
      <c r="Q212" s="59">
        <v>0.24179999999999999</v>
      </c>
      <c r="R212" s="61">
        <f>((K212-D212)/D212)</f>
        <v>1.5030991405909929E-2</v>
      </c>
      <c r="S212" s="61">
        <f>((N212-G212)/G212)</f>
        <v>5.3908355795148294E-3</v>
      </c>
      <c r="T212" s="61">
        <f>((O212-H212)/H212)</f>
        <v>-1.323063544319523E-2</v>
      </c>
      <c r="U212" s="61">
        <f>P212-I212</f>
        <v>-4.5999999999999999E-3</v>
      </c>
      <c r="V212" s="108">
        <f>Q212-J212</f>
        <v>4.9999999999999767E-3</v>
      </c>
    </row>
    <row r="213" spans="1:24">
      <c r="A213" s="161">
        <v>183</v>
      </c>
      <c r="B213" s="148" t="s">
        <v>257</v>
      </c>
      <c r="C213" s="147" t="s">
        <v>48</v>
      </c>
      <c r="D213" s="54">
        <v>21223983771.790001</v>
      </c>
      <c r="E213" s="34">
        <f>(D213/$D$236)</f>
        <v>0.18852330939118173</v>
      </c>
      <c r="F213" s="89">
        <v>1240.72</v>
      </c>
      <c r="G213" s="89">
        <v>1256.32</v>
      </c>
      <c r="H213" s="52">
        <v>5587</v>
      </c>
      <c r="I213" s="59">
        <v>-1.1999999999999999E-3</v>
      </c>
      <c r="J213" s="59">
        <v>0.32129999999999997</v>
      </c>
      <c r="K213" s="54">
        <v>21702320724.369999</v>
      </c>
      <c r="L213" s="34">
        <f>(K213/$K$236)</f>
        <v>0.18945388682094969</v>
      </c>
      <c r="M213" s="89">
        <v>1247.97</v>
      </c>
      <c r="N213" s="89">
        <v>1263.56</v>
      </c>
      <c r="O213" s="52">
        <v>5754</v>
      </c>
      <c r="P213" s="59">
        <v>5.7999999999999996E-3</v>
      </c>
      <c r="Q213" s="59">
        <v>0.32900000000000001</v>
      </c>
      <c r="R213" s="61">
        <f>((K213-D213)/D213)</f>
        <v>2.253756682644013E-2</v>
      </c>
      <c r="S213" s="61">
        <f>((N213-G213)/G213)</f>
        <v>5.7628629648497276E-3</v>
      </c>
      <c r="T213" s="61">
        <f>((O213-H213)/H213)</f>
        <v>2.9890817970288169E-2</v>
      </c>
      <c r="U213" s="61">
        <f>P213-I213</f>
        <v>6.9999999999999993E-3</v>
      </c>
      <c r="V213" s="108">
        <f>Q213-J213</f>
        <v>7.7000000000000401E-3</v>
      </c>
    </row>
    <row r="214" spans="1:24" ht="6" customHeight="1">
      <c r="A214" s="76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</row>
    <row r="215" spans="1:24" ht="15" customHeight="1">
      <c r="A215" s="174" t="s">
        <v>191</v>
      </c>
      <c r="B215" s="174"/>
      <c r="C215" s="174"/>
      <c r="D215" s="174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74"/>
      <c r="Q215" s="174"/>
      <c r="R215" s="174"/>
      <c r="S215" s="174"/>
      <c r="T215" s="174"/>
      <c r="U215" s="174"/>
      <c r="V215" s="174"/>
    </row>
    <row r="216" spans="1:24">
      <c r="A216" s="161">
        <v>184</v>
      </c>
      <c r="B216" s="148" t="s">
        <v>258</v>
      </c>
      <c r="C216" s="147" t="s">
        <v>23</v>
      </c>
      <c r="D216" s="38">
        <v>1499048918.98</v>
      </c>
      <c r="E216" s="34">
        <f>(D216/$D$236)</f>
        <v>1.3315391972783652E-2</v>
      </c>
      <c r="F216" s="88">
        <v>1.171</v>
      </c>
      <c r="G216" s="88">
        <v>1.171</v>
      </c>
      <c r="H216" s="35">
        <v>907</v>
      </c>
      <c r="I216" s="56">
        <v>0.13389999999999999</v>
      </c>
      <c r="J216" s="56">
        <v>0.1358</v>
      </c>
      <c r="K216" s="38">
        <v>1529685918.22</v>
      </c>
      <c r="L216" s="34">
        <f t="shared" ref="L216:L229" si="157">(K216/$K$236)</f>
        <v>1.3353638373642882E-2</v>
      </c>
      <c r="M216" s="88">
        <v>1.1739999999999999</v>
      </c>
      <c r="N216" s="88">
        <v>1.1739999999999999</v>
      </c>
      <c r="O216" s="35">
        <v>902</v>
      </c>
      <c r="P216" s="56">
        <v>0.1336</v>
      </c>
      <c r="Q216" s="56">
        <v>0.13589999999999999</v>
      </c>
      <c r="R216" s="62">
        <f>((K216-D216)/D216)</f>
        <v>2.0437624717975438E-2</v>
      </c>
      <c r="S216" s="62">
        <f>((N216-G216)/G216)</f>
        <v>2.5619128949614786E-3</v>
      </c>
      <c r="T216" s="62">
        <f>((O216-H216)/H216)</f>
        <v>-5.512679162072767E-3</v>
      </c>
      <c r="U216" s="62">
        <f>P216-I216</f>
        <v>-2.9999999999999472E-4</v>
      </c>
      <c r="V216" s="63">
        <f>Q216-J216</f>
        <v>9.9999999999988987E-5</v>
      </c>
      <c r="X216" s="109"/>
    </row>
    <row r="217" spans="1:24">
      <c r="A217" s="161">
        <v>185</v>
      </c>
      <c r="B217" s="148" t="s">
        <v>259</v>
      </c>
      <c r="C217" s="147" t="s">
        <v>260</v>
      </c>
      <c r="D217" s="38">
        <v>375576071.58999997</v>
      </c>
      <c r="E217" s="34">
        <f>(D217/$D$236)</f>
        <v>3.336076992218441E-3</v>
      </c>
      <c r="F217" s="88">
        <v>1147.43</v>
      </c>
      <c r="G217" s="88">
        <v>1147.43</v>
      </c>
      <c r="H217" s="35">
        <v>19</v>
      </c>
      <c r="I217" s="56">
        <v>2.0999999999999999E-3</v>
      </c>
      <c r="J217" s="56">
        <v>2.76E-2</v>
      </c>
      <c r="K217" s="38">
        <v>376250433.63999999</v>
      </c>
      <c r="L217" s="34">
        <f t="shared" si="157"/>
        <v>3.2845384591114997E-3</v>
      </c>
      <c r="M217" s="88">
        <v>1149.5</v>
      </c>
      <c r="N217" s="88">
        <v>1149.5</v>
      </c>
      <c r="O217" s="35">
        <v>19</v>
      </c>
      <c r="P217" s="56">
        <v>2.3E-3</v>
      </c>
      <c r="Q217" s="56">
        <v>2.9899999999999999E-2</v>
      </c>
      <c r="R217" s="62">
        <f>((K217-D217)/D217)</f>
        <v>1.7955405070006259E-3</v>
      </c>
      <c r="S217" s="62">
        <f>((N217-G217)/G217)</f>
        <v>1.8040316184864751E-3</v>
      </c>
      <c r="T217" s="62">
        <f>((O217-H217)/H217)</f>
        <v>0</v>
      </c>
      <c r="U217" s="62">
        <f>P217-I217</f>
        <v>2.0000000000000009E-4</v>
      </c>
      <c r="V217" s="63">
        <f>Q217-J217</f>
        <v>2.3E-3</v>
      </c>
      <c r="X217" s="109"/>
    </row>
    <row r="218" spans="1:24">
      <c r="A218" s="161">
        <v>186</v>
      </c>
      <c r="B218" s="148" t="s">
        <v>261</v>
      </c>
      <c r="C218" s="147" t="s">
        <v>71</v>
      </c>
      <c r="D218" s="38">
        <v>331341558.49000001</v>
      </c>
      <c r="E218" s="34">
        <f>(D218/$D$236)</f>
        <v>2.9431612753300909E-3</v>
      </c>
      <c r="F218" s="88">
        <v>126.78</v>
      </c>
      <c r="G218" s="88">
        <v>126.78</v>
      </c>
      <c r="H218" s="35">
        <v>81</v>
      </c>
      <c r="I218" s="56">
        <v>4.1000000000000003E-3</v>
      </c>
      <c r="J218" s="56">
        <v>0.14990000000000001</v>
      </c>
      <c r="K218" s="38">
        <v>336796676.67000002</v>
      </c>
      <c r="L218" s="34">
        <f t="shared" si="157"/>
        <v>2.9401205647034529E-3</v>
      </c>
      <c r="M218" s="88">
        <v>127.1</v>
      </c>
      <c r="N218" s="88">
        <v>127.1</v>
      </c>
      <c r="O218" s="35">
        <v>82</v>
      </c>
      <c r="P218" s="56">
        <v>2.5000000000000001E-3</v>
      </c>
      <c r="Q218" s="56">
        <v>0.14990000000000001</v>
      </c>
      <c r="R218" s="62">
        <f t="shared" ref="R218:R237" si="158">((K218-D218)/D218)</f>
        <v>1.6463730673750194E-2</v>
      </c>
      <c r="S218" s="62">
        <f t="shared" ref="S218:S236" si="159">((N218-G218)/G218)</f>
        <v>2.5240574223063038E-3</v>
      </c>
      <c r="T218" s="62">
        <f t="shared" ref="T218:T236" si="160">((O218-H218)/H218)</f>
        <v>1.2345679012345678E-2</v>
      </c>
      <c r="U218" s="62">
        <f t="shared" ref="U218:U236" si="161">P218-I218</f>
        <v>-1.6000000000000003E-3</v>
      </c>
      <c r="V218" s="63">
        <f t="shared" ref="V218:V236" si="162">Q218-J218</f>
        <v>0</v>
      </c>
    </row>
    <row r="219" spans="1:24">
      <c r="A219" s="161">
        <v>187</v>
      </c>
      <c r="B219" s="165" t="s">
        <v>262</v>
      </c>
      <c r="C219" s="147" t="s">
        <v>263</v>
      </c>
      <c r="D219" s="38">
        <v>56033250.646444902</v>
      </c>
      <c r="E219" s="34">
        <v>0</v>
      </c>
      <c r="F219" s="88">
        <v>109.58548589228801</v>
      </c>
      <c r="G219" s="88">
        <v>109.58548589228801</v>
      </c>
      <c r="H219" s="35">
        <v>14</v>
      </c>
      <c r="I219" s="56">
        <v>3.5000000000000001E-3</v>
      </c>
      <c r="J219" s="56">
        <v>9.5899999999999999E-2</v>
      </c>
      <c r="K219" s="38">
        <v>56185394.252381504</v>
      </c>
      <c r="L219" s="34">
        <f t="shared" si="157"/>
        <v>4.9047940351043377E-4</v>
      </c>
      <c r="M219" s="88">
        <v>109.88303655711</v>
      </c>
      <c r="N219" s="88">
        <v>109.88303655711</v>
      </c>
      <c r="O219" s="35">
        <v>14</v>
      </c>
      <c r="P219" s="56">
        <v>3.0000000000000001E-3</v>
      </c>
      <c r="Q219" s="56">
        <v>9.8799999999999999E-2</v>
      </c>
      <c r="R219" s="62">
        <f t="shared" si="158"/>
        <v>2.7152379021625562E-3</v>
      </c>
      <c r="S219" s="62">
        <f t="shared" si="159"/>
        <v>2.7152379021658157E-3</v>
      </c>
      <c r="T219" s="62">
        <f t="shared" si="160"/>
        <v>0</v>
      </c>
      <c r="U219" s="62">
        <f t="shared" si="161"/>
        <v>-5.0000000000000001E-4</v>
      </c>
      <c r="V219" s="63">
        <f t="shared" si="162"/>
        <v>2.8999999999999998E-3</v>
      </c>
    </row>
    <row r="220" spans="1:24">
      <c r="A220" s="161">
        <v>188</v>
      </c>
      <c r="B220" s="165" t="s">
        <v>264</v>
      </c>
      <c r="C220" s="147" t="s">
        <v>77</v>
      </c>
      <c r="D220" s="50">
        <v>74488612.230000004</v>
      </c>
      <c r="E220" s="34">
        <f>(D220/$D$236)</f>
        <v>6.616495677979734E-4</v>
      </c>
      <c r="F220" s="88">
        <v>106.45</v>
      </c>
      <c r="G220" s="88">
        <v>106.45</v>
      </c>
      <c r="H220" s="35">
        <v>17</v>
      </c>
      <c r="I220" s="56">
        <v>1E-4</v>
      </c>
      <c r="J220" s="56">
        <v>7.8700000000000006E-2</v>
      </c>
      <c r="K220" s="50">
        <v>74939342.260000005</v>
      </c>
      <c r="L220" s="34">
        <f t="shared" si="157"/>
        <v>6.5419499818836061E-4</v>
      </c>
      <c r="M220" s="88">
        <v>107.01</v>
      </c>
      <c r="N220" s="88">
        <v>107.01</v>
      </c>
      <c r="O220" s="35">
        <v>17</v>
      </c>
      <c r="P220" s="56">
        <v>5.7000000000000002E-3</v>
      </c>
      <c r="Q220" s="56">
        <v>8.43E-2</v>
      </c>
      <c r="R220" s="62">
        <f t="shared" si="158"/>
        <v>6.0509924471175928E-3</v>
      </c>
      <c r="S220" s="62">
        <f t="shared" si="159"/>
        <v>5.2606857679662021E-3</v>
      </c>
      <c r="T220" s="62">
        <f t="shared" si="160"/>
        <v>0</v>
      </c>
      <c r="U220" s="62">
        <f t="shared" si="161"/>
        <v>5.5999999999999999E-3</v>
      </c>
      <c r="V220" s="63">
        <f t="shared" si="162"/>
        <v>5.5999999999999939E-3</v>
      </c>
    </row>
    <row r="221" spans="1:24">
      <c r="A221" s="161">
        <v>189</v>
      </c>
      <c r="B221" s="148" t="s">
        <v>265</v>
      </c>
      <c r="C221" s="147" t="s">
        <v>80</v>
      </c>
      <c r="D221" s="50">
        <v>323089212.97000003</v>
      </c>
      <c r="E221" s="34">
        <v>0</v>
      </c>
      <c r="F221" s="88">
        <v>1.21</v>
      </c>
      <c r="G221" s="88">
        <v>1.21</v>
      </c>
      <c r="H221" s="35">
        <v>66</v>
      </c>
      <c r="I221" s="56">
        <v>0.14050000000000001</v>
      </c>
      <c r="J221" s="56">
        <v>0.13969999999999999</v>
      </c>
      <c r="K221" s="50">
        <v>324115079.97000003</v>
      </c>
      <c r="L221" s="34">
        <f t="shared" si="157"/>
        <v>2.8294145339326135E-3</v>
      </c>
      <c r="M221" s="88">
        <v>1.2087000000000001</v>
      </c>
      <c r="N221" s="88">
        <v>1.2087000000000001</v>
      </c>
      <c r="O221" s="35">
        <v>65</v>
      </c>
      <c r="P221" s="56">
        <v>0.14050000000000001</v>
      </c>
      <c r="Q221" s="56">
        <v>0.13969999999999999</v>
      </c>
      <c r="R221" s="62">
        <f t="shared" ref="R221:R222" si="163">((K221-D221)/D221)</f>
        <v>3.1751818346694707E-3</v>
      </c>
      <c r="S221" s="62">
        <f t="shared" ref="S221:S222" si="164">((N221-G221)/G221)</f>
        <v>-1.0743801652891378E-3</v>
      </c>
      <c r="T221" s="62">
        <f t="shared" ref="T221" si="165">((O221-H221)/H221)</f>
        <v>-1.5151515151515152E-2</v>
      </c>
      <c r="U221" s="62">
        <f t="shared" ref="U221" si="166">P221-I221</f>
        <v>0</v>
      </c>
      <c r="V221" s="63">
        <f t="shared" ref="V221" si="167">Q221-J221</f>
        <v>0</v>
      </c>
    </row>
    <row r="222" spans="1:24">
      <c r="A222" s="161">
        <v>190</v>
      </c>
      <c r="B222" s="148" t="s">
        <v>266</v>
      </c>
      <c r="C222" s="147" t="s">
        <v>82</v>
      </c>
      <c r="D222" s="38">
        <v>5700297878.6000004</v>
      </c>
      <c r="E222" s="34">
        <f t="shared" ref="E222:E229" si="168">(D222/$D$236)</f>
        <v>5.0633237951188431E-2</v>
      </c>
      <c r="F222" s="88">
        <v>146.86000000000001</v>
      </c>
      <c r="G222" s="88">
        <v>146.86000000000001</v>
      </c>
      <c r="H222" s="35">
        <v>1309</v>
      </c>
      <c r="I222" s="56">
        <v>2.5999999999999999E-3</v>
      </c>
      <c r="J222" s="56">
        <v>3.2099999999999997E-2</v>
      </c>
      <c r="K222" s="38">
        <v>5709750128.0200005</v>
      </c>
      <c r="L222" s="34">
        <f t="shared" si="157"/>
        <v>4.9844178798588192E-2</v>
      </c>
      <c r="M222" s="88">
        <v>147.19</v>
      </c>
      <c r="N222" s="88">
        <v>147.19</v>
      </c>
      <c r="O222" s="35">
        <v>796</v>
      </c>
      <c r="P222" s="56">
        <v>2.2000000000000001E-3</v>
      </c>
      <c r="Q222" s="56">
        <v>3.44E-2</v>
      </c>
      <c r="R222" s="62">
        <f t="shared" si="163"/>
        <v>1.6582027152450426E-3</v>
      </c>
      <c r="S222" s="62">
        <f t="shared" si="164"/>
        <v>2.2470379953696312E-3</v>
      </c>
      <c r="T222" s="62">
        <f t="shared" si="160"/>
        <v>-0.39190221543162718</v>
      </c>
      <c r="U222" s="62">
        <f t="shared" si="161"/>
        <v>-3.9999999999999975E-4</v>
      </c>
      <c r="V222" s="63">
        <f t="shared" si="162"/>
        <v>2.3000000000000034E-3</v>
      </c>
    </row>
    <row r="223" spans="1:24">
      <c r="A223" s="161">
        <v>191</v>
      </c>
      <c r="B223" s="148" t="s">
        <v>267</v>
      </c>
      <c r="C223" s="147" t="s">
        <v>69</v>
      </c>
      <c r="D223" s="38">
        <v>941889892.04121995</v>
      </c>
      <c r="E223" s="34">
        <f t="shared" si="168"/>
        <v>8.3663934838533772E-3</v>
      </c>
      <c r="F223" s="37">
        <v>1361.4032415926199</v>
      </c>
      <c r="G223" s="37">
        <v>1361.4032415926199</v>
      </c>
      <c r="H223" s="35">
        <v>345</v>
      </c>
      <c r="I223" s="56">
        <v>0.115</v>
      </c>
      <c r="J223" s="56">
        <v>0.1171</v>
      </c>
      <c r="K223" s="38">
        <v>998476701.70728505</v>
      </c>
      <c r="L223" s="34">
        <f t="shared" si="157"/>
        <v>8.716362385437857E-3</v>
      </c>
      <c r="M223" s="37">
        <v>1364.4688183957801</v>
      </c>
      <c r="N223" s="37">
        <v>1364.4688183957801</v>
      </c>
      <c r="O223" s="35">
        <v>349</v>
      </c>
      <c r="P223" s="56">
        <v>0.1174</v>
      </c>
      <c r="Q223" s="56">
        <v>0.1173</v>
      </c>
      <c r="R223" s="62">
        <f t="shared" si="158"/>
        <v>6.0077945569022718E-2</v>
      </c>
      <c r="S223" s="62">
        <f t="shared" si="159"/>
        <v>2.2517772174348275E-3</v>
      </c>
      <c r="T223" s="62">
        <f t="shared" si="160"/>
        <v>1.1594202898550725E-2</v>
      </c>
      <c r="U223" s="62">
        <f t="shared" si="161"/>
        <v>2.3999999999999994E-3</v>
      </c>
      <c r="V223" s="63">
        <f t="shared" si="162"/>
        <v>2.0000000000000573E-4</v>
      </c>
    </row>
    <row r="224" spans="1:24">
      <c r="A224" s="161">
        <v>192</v>
      </c>
      <c r="B224" s="148" t="s">
        <v>268</v>
      </c>
      <c r="C224" s="147" t="s">
        <v>256</v>
      </c>
      <c r="D224" s="38">
        <v>45141053971.650002</v>
      </c>
      <c r="E224" s="34">
        <f t="shared" si="168"/>
        <v>0.40096812057747222</v>
      </c>
      <c r="F224" s="37">
        <v>1305.52</v>
      </c>
      <c r="G224" s="37">
        <v>1305.52</v>
      </c>
      <c r="H224" s="35">
        <v>12746</v>
      </c>
      <c r="I224" s="56">
        <v>3.3999999999999998E-3</v>
      </c>
      <c r="J224" s="56">
        <v>3.5400000000000001E-2</v>
      </c>
      <c r="K224" s="38">
        <v>45605539982.910004</v>
      </c>
      <c r="L224" s="34">
        <f t="shared" si="157"/>
        <v>0.39812087011636144</v>
      </c>
      <c r="M224" s="37">
        <v>1309.3499999999999</v>
      </c>
      <c r="N224" s="37">
        <v>1309.3499999999999</v>
      </c>
      <c r="O224" s="35">
        <v>12693</v>
      </c>
      <c r="P224" s="56">
        <v>2.8999999999999998E-3</v>
      </c>
      <c r="Q224" s="56">
        <v>3.8399999999999997E-2</v>
      </c>
      <c r="R224" s="62">
        <f t="shared" si="158"/>
        <v>1.0289658091539332E-2</v>
      </c>
      <c r="S224" s="62">
        <f t="shared" si="159"/>
        <v>2.933696917703235E-3</v>
      </c>
      <c r="T224" s="62">
        <f t="shared" si="160"/>
        <v>-4.1581672681625607E-3</v>
      </c>
      <c r="U224" s="62">
        <f t="shared" si="161"/>
        <v>-5.0000000000000001E-4</v>
      </c>
      <c r="V224" s="63">
        <f t="shared" si="162"/>
        <v>2.9999999999999957E-3</v>
      </c>
    </row>
    <row r="225" spans="1:22">
      <c r="A225" s="161">
        <v>193</v>
      </c>
      <c r="B225" s="148" t="s">
        <v>269</v>
      </c>
      <c r="C225" s="147" t="s">
        <v>270</v>
      </c>
      <c r="D225" s="38">
        <v>495405241.17000002</v>
      </c>
      <c r="E225" s="34">
        <f t="shared" si="168"/>
        <v>4.4004667813232158E-3</v>
      </c>
      <c r="F225" s="89">
        <v>136.27000000000001</v>
      </c>
      <c r="G225" s="89">
        <v>136.94</v>
      </c>
      <c r="H225" s="52">
        <v>134</v>
      </c>
      <c r="I225" s="56">
        <v>8.2000000000000007E-3</v>
      </c>
      <c r="J225" s="56">
        <v>0.1225</v>
      </c>
      <c r="K225" s="38">
        <v>497290745.77999997</v>
      </c>
      <c r="L225" s="34">
        <f t="shared" si="157"/>
        <v>4.34117926210146E-3</v>
      </c>
      <c r="M225" s="89">
        <v>134.47999999999999</v>
      </c>
      <c r="N225" s="89">
        <v>134.97</v>
      </c>
      <c r="O225" s="52">
        <v>137</v>
      </c>
      <c r="P225" s="56">
        <v>-1.44E-2</v>
      </c>
      <c r="Q225" s="56">
        <v>0.10639999999999999</v>
      </c>
      <c r="R225" s="62">
        <f>((K225-D225)/D225)</f>
        <v>3.805984380679851E-3</v>
      </c>
      <c r="S225" s="62">
        <f t="shared" si="159"/>
        <v>-1.4385862421498459E-2</v>
      </c>
      <c r="T225" s="62">
        <f t="shared" si="160"/>
        <v>2.2388059701492536E-2</v>
      </c>
      <c r="U225" s="62">
        <f t="shared" si="161"/>
        <v>-2.2600000000000002E-2</v>
      </c>
      <c r="V225" s="63">
        <f t="shared" si="162"/>
        <v>-1.6100000000000003E-2</v>
      </c>
    </row>
    <row r="226" spans="1:22">
      <c r="A226" s="161">
        <v>194</v>
      </c>
      <c r="B226" s="148" t="s">
        <v>271</v>
      </c>
      <c r="C226" s="147" t="s">
        <v>270</v>
      </c>
      <c r="D226" s="38">
        <v>853751874.83000004</v>
      </c>
      <c r="E226" s="34">
        <f t="shared" si="168"/>
        <v>7.5835022572816021E-3</v>
      </c>
      <c r="F226" s="89">
        <v>142.09</v>
      </c>
      <c r="G226" s="89">
        <v>142.09</v>
      </c>
      <c r="H226" s="52">
        <v>131</v>
      </c>
      <c r="I226" s="56">
        <v>7.3000000000000001E-3</v>
      </c>
      <c r="J226" s="56">
        <v>4.7699999999999999E-2</v>
      </c>
      <c r="K226" s="38">
        <v>949505167.50999999</v>
      </c>
      <c r="L226" s="34">
        <f t="shared" si="157"/>
        <v>8.2888575293861063E-3</v>
      </c>
      <c r="M226" s="89">
        <v>141.66</v>
      </c>
      <c r="N226" s="89">
        <v>141.66</v>
      </c>
      <c r="O226" s="52">
        <v>134</v>
      </c>
      <c r="P226" s="56">
        <v>-3.0000000000000001E-3</v>
      </c>
      <c r="Q226" s="56">
        <v>4.4499999999999998E-2</v>
      </c>
      <c r="R226" s="62">
        <f t="shared" si="158"/>
        <v>0.11215587983225975</v>
      </c>
      <c r="S226" s="62">
        <f t="shared" si="159"/>
        <v>-3.0262509676965781E-3</v>
      </c>
      <c r="T226" s="62">
        <f t="shared" si="160"/>
        <v>2.2900763358778626E-2</v>
      </c>
      <c r="U226" s="62">
        <f t="shared" si="161"/>
        <v>-1.03E-2</v>
      </c>
      <c r="V226" s="63">
        <f t="shared" si="162"/>
        <v>-3.2000000000000015E-3</v>
      </c>
    </row>
    <row r="227" spans="1:22" ht="13.5" customHeight="1">
      <c r="A227" s="161">
        <v>195</v>
      </c>
      <c r="B227" s="148" t="s">
        <v>272</v>
      </c>
      <c r="C227" s="147" t="s">
        <v>102</v>
      </c>
      <c r="D227" s="38">
        <v>3165636011</v>
      </c>
      <c r="E227" s="34">
        <f t="shared" si="168"/>
        <v>2.8118951820668793E-2</v>
      </c>
      <c r="F227" s="66">
        <v>108.1</v>
      </c>
      <c r="G227" s="66">
        <v>108.1</v>
      </c>
      <c r="H227" s="35">
        <v>848</v>
      </c>
      <c r="I227" s="56">
        <v>4.4000000000000003E-3</v>
      </c>
      <c r="J227" s="56">
        <v>0.17480000000000001</v>
      </c>
      <c r="K227" s="38">
        <v>3158459303</v>
      </c>
      <c r="L227" s="34">
        <f t="shared" si="157"/>
        <v>2.7572276666577935E-2</v>
      </c>
      <c r="M227" s="66">
        <v>104.49</v>
      </c>
      <c r="N227" s="66">
        <v>104.49</v>
      </c>
      <c r="O227" s="35">
        <v>854</v>
      </c>
      <c r="P227" s="56">
        <v>-3.3399999999999999E-2</v>
      </c>
      <c r="Q227" s="56">
        <v>0.17469999999999999</v>
      </c>
      <c r="R227" s="62">
        <f t="shared" si="158"/>
        <v>-2.2670667047829459E-3</v>
      </c>
      <c r="S227" s="62">
        <f t="shared" si="159"/>
        <v>-3.3395004625346898E-2</v>
      </c>
      <c r="T227" s="62">
        <f t="shared" si="160"/>
        <v>7.0754716981132077E-3</v>
      </c>
      <c r="U227" s="62">
        <f t="shared" si="161"/>
        <v>-3.78E-2</v>
      </c>
      <c r="V227" s="63">
        <f t="shared" si="162"/>
        <v>-1.0000000000001674E-4</v>
      </c>
    </row>
    <row r="228" spans="1:22" ht="15.75" customHeight="1">
      <c r="A228" s="161">
        <v>196</v>
      </c>
      <c r="B228" s="148" t="s">
        <v>273</v>
      </c>
      <c r="C228" s="147" t="s">
        <v>48</v>
      </c>
      <c r="D228" s="38">
        <v>2167378821.1599998</v>
      </c>
      <c r="E228" s="34">
        <f t="shared" si="168"/>
        <v>1.9251872431816346E-2</v>
      </c>
      <c r="F228" s="66">
        <v>148.75</v>
      </c>
      <c r="G228" s="66">
        <v>148.75</v>
      </c>
      <c r="H228" s="35">
        <v>2498</v>
      </c>
      <c r="I228" s="56">
        <v>2.5000000000000001E-3</v>
      </c>
      <c r="J228" s="56">
        <v>0.03</v>
      </c>
      <c r="K228" s="38">
        <v>2355368338.54</v>
      </c>
      <c r="L228" s="34">
        <f t="shared" si="157"/>
        <v>2.0561565387351415E-2</v>
      </c>
      <c r="M228" s="66">
        <v>151.61000000000001</v>
      </c>
      <c r="N228" s="66">
        <v>151.61000000000001</v>
      </c>
      <c r="O228" s="35">
        <v>2565</v>
      </c>
      <c r="P228" s="56">
        <v>2.1600000000000001E-2</v>
      </c>
      <c r="Q228" s="56">
        <v>5.2200000000000003E-2</v>
      </c>
      <c r="R228" s="62">
        <f t="shared" si="158"/>
        <v>8.6735883706470146E-2</v>
      </c>
      <c r="S228" s="62">
        <f t="shared" si="159"/>
        <v>1.9226890756302614E-2</v>
      </c>
      <c r="T228" s="62">
        <f t="shared" si="160"/>
        <v>2.6821457165732587E-2</v>
      </c>
      <c r="U228" s="62">
        <f t="shared" si="161"/>
        <v>1.9100000000000002E-2</v>
      </c>
      <c r="V228" s="63">
        <f t="shared" si="162"/>
        <v>2.2200000000000004E-2</v>
      </c>
    </row>
    <row r="229" spans="1:22">
      <c r="A229" s="161">
        <v>197</v>
      </c>
      <c r="B229" s="148" t="s">
        <v>274</v>
      </c>
      <c r="C229" s="147" t="s">
        <v>51</v>
      </c>
      <c r="D229" s="38">
        <v>4167436036.4200001</v>
      </c>
      <c r="E229" s="34">
        <f t="shared" si="168"/>
        <v>3.7017500659147294E-2</v>
      </c>
      <c r="F229" s="66">
        <v>1.25342</v>
      </c>
      <c r="G229" s="66">
        <v>1.25342</v>
      </c>
      <c r="H229" s="35">
        <v>2172</v>
      </c>
      <c r="I229" s="56">
        <v>2.8999999999999998E-3</v>
      </c>
      <c r="J229" s="56">
        <v>8.2199999999999995E-2</v>
      </c>
      <c r="K229" s="38">
        <v>4176533512.4000001</v>
      </c>
      <c r="L229" s="34">
        <f t="shared" si="157"/>
        <v>3.6459718636155339E-2</v>
      </c>
      <c r="M229" s="66">
        <v>1.2558100000000001</v>
      </c>
      <c r="N229" s="66">
        <v>1.2558100000000001</v>
      </c>
      <c r="O229" s="35">
        <v>2179</v>
      </c>
      <c r="P229" s="56">
        <v>1.9E-3</v>
      </c>
      <c r="Q229" s="56">
        <v>8.48E-2</v>
      </c>
      <c r="R229" s="62">
        <f t="shared" si="158"/>
        <v>2.182991148633232E-3</v>
      </c>
      <c r="S229" s="62">
        <f t="shared" si="159"/>
        <v>1.9067830415982786E-3</v>
      </c>
      <c r="T229" s="62">
        <f t="shared" si="160"/>
        <v>3.2228360957642726E-3</v>
      </c>
      <c r="U229" s="62">
        <f t="shared" si="161"/>
        <v>-9.999999999999998E-4</v>
      </c>
      <c r="V229" s="63">
        <f t="shared" si="162"/>
        <v>2.6000000000000051E-3</v>
      </c>
    </row>
    <row r="230" spans="1:22" ht="6" customHeight="1">
      <c r="A230" s="41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</row>
    <row r="231" spans="1:22">
      <c r="A231" s="174" t="s">
        <v>275</v>
      </c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</row>
    <row r="232" spans="1:22">
      <c r="A232" s="161">
        <v>198</v>
      </c>
      <c r="B232" s="148" t="s">
        <v>276</v>
      </c>
      <c r="C232" s="147" t="s">
        <v>19</v>
      </c>
      <c r="D232" s="87">
        <v>555412953.37</v>
      </c>
      <c r="E232" s="34">
        <f>(D232/$D$208)</f>
        <v>3.7177265951883788E-2</v>
      </c>
      <c r="F232" s="88">
        <v>114.9033</v>
      </c>
      <c r="G232" s="88">
        <v>114.9033</v>
      </c>
      <c r="H232" s="36">
        <v>110</v>
      </c>
      <c r="I232" s="57">
        <v>-4.7000000000000002E-3</v>
      </c>
      <c r="J232" s="57">
        <v>9.5600000000000004E-2</v>
      </c>
      <c r="K232" s="87">
        <v>551688207.78999996</v>
      </c>
      <c r="L232" s="60">
        <f>(K232/K233)</f>
        <v>4.628430226070071E-2</v>
      </c>
      <c r="M232" s="88">
        <v>115.5865</v>
      </c>
      <c r="N232" s="88">
        <v>115.5865</v>
      </c>
      <c r="O232" s="36">
        <v>110</v>
      </c>
      <c r="P232" s="57">
        <v>5.8999999999999999E-3</v>
      </c>
      <c r="Q232" s="57">
        <v>0.1021</v>
      </c>
      <c r="R232" s="62">
        <f>((K232-D232)/D232)</f>
        <v>-6.706263434080777E-3</v>
      </c>
      <c r="S232" s="62">
        <f t="shared" ref="S232" si="169">((N232-G232)/G232)</f>
        <v>5.9458692657216924E-3</v>
      </c>
      <c r="T232" s="62">
        <f t="shared" ref="T232" si="170">((O232-H232)/H232)</f>
        <v>0</v>
      </c>
      <c r="U232" s="62">
        <f t="shared" ref="U232" si="171">P232-I232</f>
        <v>1.06E-2</v>
      </c>
      <c r="V232" s="63">
        <f t="shared" ref="V232" si="172">Q232-J232</f>
        <v>6.4999999999999919E-3</v>
      </c>
    </row>
    <row r="233" spans="1:22">
      <c r="A233" s="161">
        <v>199</v>
      </c>
      <c r="B233" s="148" t="s">
        <v>277</v>
      </c>
      <c r="C233" s="147" t="s">
        <v>23</v>
      </c>
      <c r="D233" s="87">
        <v>11484973138.299999</v>
      </c>
      <c r="E233" s="34">
        <f>(D233/$D$208)</f>
        <v>0.76876115009939061</v>
      </c>
      <c r="F233" s="88">
        <v>132.0249</v>
      </c>
      <c r="G233" s="88">
        <v>136.00550000000001</v>
      </c>
      <c r="H233" s="36">
        <v>5430</v>
      </c>
      <c r="I233" s="57">
        <v>0.39739999999999998</v>
      </c>
      <c r="J233" s="57">
        <v>1.1368</v>
      </c>
      <c r="K233" s="87">
        <v>11919553300.870001</v>
      </c>
      <c r="L233" s="60">
        <f>(K233/$K$208)</f>
        <v>0.79265110679016648</v>
      </c>
      <c r="M233" s="88">
        <v>133.18289999999999</v>
      </c>
      <c r="N233" s="88">
        <v>137.1985</v>
      </c>
      <c r="O233" s="36">
        <v>5608</v>
      </c>
      <c r="P233" s="57">
        <v>0.45739999999999997</v>
      </c>
      <c r="Q233" s="57">
        <v>1.0949</v>
      </c>
      <c r="R233" s="62">
        <f>((K233-D233)/D233)</f>
        <v>3.7839022985675694E-2</v>
      </c>
      <c r="S233" s="62">
        <f t="shared" ref="S233" si="173">((N233-G233)/G233)</f>
        <v>8.7717040854964207E-3</v>
      </c>
      <c r="T233" s="62">
        <f t="shared" ref="T233" si="174">((O233-H233)/H233)</f>
        <v>3.2780847145488026E-2</v>
      </c>
      <c r="U233" s="62">
        <f t="shared" ref="U233" si="175">P233-I233</f>
        <v>0.06</v>
      </c>
      <c r="V233" s="63">
        <f t="shared" ref="V233" si="176">Q233-J233</f>
        <v>-4.1900000000000048E-2</v>
      </c>
    </row>
    <row r="234" spans="1:22">
      <c r="A234" s="161">
        <v>200</v>
      </c>
      <c r="B234" s="148" t="s">
        <v>278</v>
      </c>
      <c r="C234" s="147" t="s">
        <v>256</v>
      </c>
      <c r="D234" s="38">
        <v>345063826.56999999</v>
      </c>
      <c r="E234" s="34">
        <f t="shared" ref="E234" si="177">(D234/$D$236)</f>
        <v>3.0650501449509329E-3</v>
      </c>
      <c r="F234" s="37">
        <v>1474.49</v>
      </c>
      <c r="G234" s="37">
        <v>1474.49</v>
      </c>
      <c r="H234" s="35">
        <v>146</v>
      </c>
      <c r="I234" s="56">
        <v>6.3E-3</v>
      </c>
      <c r="J234" s="56">
        <v>0.18140000000000001</v>
      </c>
      <c r="K234" s="38">
        <v>347678988.39999998</v>
      </c>
      <c r="L234" s="34">
        <f t="shared" ref="L234" si="178">(K234/$K$236)</f>
        <v>3.0351194489716495E-3</v>
      </c>
      <c r="M234" s="37">
        <v>1482.66</v>
      </c>
      <c r="N234" s="37">
        <v>1482.66</v>
      </c>
      <c r="O234" s="35">
        <v>146</v>
      </c>
      <c r="P234" s="56">
        <v>5.4999999999999997E-3</v>
      </c>
      <c r="Q234" s="56">
        <v>0.188</v>
      </c>
      <c r="R234" s="62">
        <f t="shared" ref="R234" si="179">((K234-D234)/D234)</f>
        <v>7.5787771091371378E-3</v>
      </c>
      <c r="S234" s="62">
        <f t="shared" ref="S234" si="180">((N234-G234)/G234)</f>
        <v>5.5408988870728681E-3</v>
      </c>
      <c r="T234" s="62">
        <f t="shared" ref="T234" si="181">((O234-H234)/H234)</f>
        <v>0</v>
      </c>
      <c r="U234" s="62">
        <f t="shared" ref="U234" si="182">P234-I234</f>
        <v>-8.0000000000000036E-4</v>
      </c>
      <c r="V234" s="63">
        <f t="shared" ref="V234" si="183">Q234-J234</f>
        <v>6.5999999999999948E-3</v>
      </c>
    </row>
    <row r="235" spans="1:22">
      <c r="A235" s="161">
        <v>201</v>
      </c>
      <c r="B235" s="148" t="s">
        <v>279</v>
      </c>
      <c r="C235" s="147" t="s">
        <v>280</v>
      </c>
      <c r="D235" s="38">
        <v>177851303.47999999</v>
      </c>
      <c r="E235" s="34">
        <f t="shared" ref="E235" si="184">(D235/$D$236)</f>
        <v>1.5797748750708358E-3</v>
      </c>
      <c r="F235" s="37">
        <v>118.5</v>
      </c>
      <c r="G235" s="37">
        <v>120.94</v>
      </c>
      <c r="H235" s="35">
        <v>306</v>
      </c>
      <c r="I235" s="56">
        <v>7.3000000000000001E-3</v>
      </c>
      <c r="J235" s="56">
        <v>9.01E-2</v>
      </c>
      <c r="K235" s="38">
        <v>178487469.19999999</v>
      </c>
      <c r="L235" s="34">
        <f t="shared" ref="L235" si="185">(K235/$K$236)</f>
        <v>1.5581349671421451E-3</v>
      </c>
      <c r="M235" s="37">
        <v>119.2</v>
      </c>
      <c r="N235" s="37">
        <v>121.66</v>
      </c>
      <c r="O235" s="35">
        <v>307</v>
      </c>
      <c r="P235" s="56">
        <v>5.8999999999999999E-3</v>
      </c>
      <c r="Q235" s="56">
        <v>9.64E-2</v>
      </c>
      <c r="R235" s="62">
        <f t="shared" ref="R235" si="186">((K235-D235)/D235)</f>
        <v>3.5769528114340636E-3</v>
      </c>
      <c r="S235" s="62">
        <f t="shared" ref="S235" si="187">((N235-G235)/G235)</f>
        <v>5.9533653051099629E-3</v>
      </c>
      <c r="T235" s="62">
        <f t="shared" ref="T235" si="188">((O235-H235)/H235)</f>
        <v>3.2679738562091504E-3</v>
      </c>
      <c r="U235" s="62">
        <f t="shared" ref="U235" si="189">P235-I235</f>
        <v>-1.4000000000000002E-3</v>
      </c>
      <c r="V235" s="63">
        <f t="shared" ref="V235" si="190">Q235-J235</f>
        <v>6.3E-3</v>
      </c>
    </row>
    <row r="236" spans="1:22">
      <c r="A236" s="41"/>
      <c r="B236" s="42"/>
      <c r="C236" s="77" t="s">
        <v>54</v>
      </c>
      <c r="D236" s="65">
        <f>SUM(D212:D235)</f>
        <v>112580157012.57768</v>
      </c>
      <c r="E236" s="45">
        <f>(D236/$D$237)</f>
        <v>1.3338011975004621E-2</v>
      </c>
      <c r="F236" s="46"/>
      <c r="G236" s="80"/>
      <c r="H236" s="90">
        <f>SUM(H212:H235)</f>
        <v>48965</v>
      </c>
      <c r="I236" s="82"/>
      <c r="J236" s="82"/>
      <c r="K236" s="65">
        <f>SUM(K212:K235)</f>
        <v>114551995150.56964</v>
      </c>
      <c r="L236" s="45">
        <f>(K236/$K$237)</f>
        <v>1.3329644959985057E-2</v>
      </c>
      <c r="M236" s="46"/>
      <c r="N236" s="80"/>
      <c r="O236" s="48">
        <f>SUM(O212:O235)</f>
        <v>48617</v>
      </c>
      <c r="P236" s="82"/>
      <c r="Q236" s="82"/>
      <c r="R236" s="62">
        <f t="shared" si="158"/>
        <v>1.7514970580220997E-2</v>
      </c>
      <c r="S236" s="62" t="e">
        <f t="shared" si="159"/>
        <v>#DIV/0!</v>
      </c>
      <c r="T236" s="62">
        <f t="shared" si="160"/>
        <v>-7.1071173287041763E-3</v>
      </c>
      <c r="U236" s="62">
        <f t="shared" si="161"/>
        <v>0</v>
      </c>
      <c r="V236" s="63">
        <f t="shared" si="162"/>
        <v>0</v>
      </c>
    </row>
    <row r="237" spans="1:22">
      <c r="A237" s="91"/>
      <c r="B237" s="91"/>
      <c r="C237" s="92" t="s">
        <v>281</v>
      </c>
      <c r="D237" s="93">
        <f>SUM(D26,D76,D118,D161,D170,D202,D208,D236)</f>
        <v>8440550002770.46</v>
      </c>
      <c r="E237" s="94"/>
      <c r="F237" s="94"/>
      <c r="G237" s="95"/>
      <c r="H237" s="93">
        <f>SUM(H26,H76,H118,H161,H170,H202,H208,H236)</f>
        <v>1261693</v>
      </c>
      <c r="I237" s="105"/>
      <c r="J237" s="105"/>
      <c r="K237" s="93">
        <f>SUM(K26,K76,K118,K161,K170,K202,K208,K236)</f>
        <v>8593776915622.9697</v>
      </c>
      <c r="L237" s="94"/>
      <c r="M237" s="94"/>
      <c r="N237" s="95"/>
      <c r="O237" s="93">
        <f>SUM(O26,O76,O118,O161,O170,O202,O208,O236)</f>
        <v>1276077</v>
      </c>
      <c r="P237" s="106"/>
      <c r="Q237" s="93"/>
      <c r="R237" s="110">
        <f t="shared" si="158"/>
        <v>1.8153664488951046E-2</v>
      </c>
      <c r="S237" s="110"/>
      <c r="T237" s="110"/>
      <c r="U237" s="110"/>
      <c r="V237" s="110"/>
    </row>
    <row r="238" spans="1:22" ht="6.75" customHeight="1">
      <c r="A238" s="41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42"/>
    </row>
    <row r="239" spans="1:22" ht="14.4" customHeight="1">
      <c r="A239" s="171" t="s">
        <v>282</v>
      </c>
      <c r="B239" s="171"/>
      <c r="C239" s="171"/>
      <c r="D239" s="171"/>
      <c r="E239" s="171"/>
      <c r="F239" s="171"/>
      <c r="G239" s="171"/>
      <c r="H239" s="171"/>
      <c r="I239" s="171"/>
      <c r="J239" s="171"/>
      <c r="K239" s="171"/>
      <c r="L239" s="171"/>
      <c r="M239" s="171"/>
      <c r="N239" s="171"/>
      <c r="O239" s="171"/>
      <c r="P239" s="171"/>
      <c r="Q239" s="171"/>
      <c r="R239" s="171"/>
      <c r="S239" s="171"/>
      <c r="T239" s="171"/>
      <c r="U239" s="171"/>
      <c r="V239" s="171"/>
    </row>
    <row r="240" spans="1:22" ht="14.4" customHeight="1">
      <c r="A240" s="161">
        <v>1</v>
      </c>
      <c r="B240" s="148" t="s">
        <v>283</v>
      </c>
      <c r="C240" s="147" t="s">
        <v>23</v>
      </c>
      <c r="D240" s="38">
        <v>2162382632.5257001</v>
      </c>
      <c r="E240" s="34">
        <f t="shared" ref="E240:E243" si="191">(D240/$D$236)</f>
        <v>1.92074934864775E-2</v>
      </c>
      <c r="F240" s="37">
        <v>1444.0831236000001</v>
      </c>
      <c r="G240" s="37">
        <v>1444.0831236000001</v>
      </c>
      <c r="H240" s="35">
        <v>58</v>
      </c>
      <c r="I240" s="56">
        <v>-3.49E-2</v>
      </c>
      <c r="J240" s="56">
        <v>3.85E-2</v>
      </c>
      <c r="K240" s="38">
        <f>1572041.58*FX_RATE</f>
        <v>2170665895.8228364</v>
      </c>
      <c r="L240" s="34">
        <f>(K240/$K$245)</f>
        <v>6.9482100840808747E-2</v>
      </c>
      <c r="M240" s="37">
        <f>1.0468*FX_RATE</f>
        <v>1445.4153685599999</v>
      </c>
      <c r="N240" s="37">
        <f>1.0468*FX_RATE</f>
        <v>1445.4153685599999</v>
      </c>
      <c r="O240" s="35">
        <v>57</v>
      </c>
      <c r="P240" s="56">
        <v>3.9899999999999998E-2</v>
      </c>
      <c r="Q240" s="56">
        <v>3.8600000000000002E-2</v>
      </c>
      <c r="R240" s="62">
        <f t="shared" ref="R240" si="192">((K240-D240)/D240)</f>
        <v>3.830618676150443E-3</v>
      </c>
      <c r="S240" s="62">
        <f t="shared" ref="S240" si="193">((N240-G240)/G240)</f>
        <v>9.2255420635247289E-4</v>
      </c>
      <c r="T240" s="62">
        <f t="shared" ref="T240" si="194">((O240-H240)/H240)</f>
        <v>-1.7241379310344827E-2</v>
      </c>
      <c r="U240" s="62">
        <f t="shared" ref="U240" si="195">P240-I240</f>
        <v>7.4800000000000005E-2</v>
      </c>
      <c r="V240" s="63">
        <f t="shared" ref="V240" si="196">Q240-J240</f>
        <v>1.0000000000000286E-4</v>
      </c>
    </row>
    <row r="241" spans="1:22" ht="14.4" customHeight="1">
      <c r="A241" s="161">
        <v>2</v>
      </c>
      <c r="B241" s="148" t="s">
        <v>284</v>
      </c>
      <c r="C241" s="147" t="s">
        <v>212</v>
      </c>
      <c r="D241" s="38">
        <v>15265351082.58</v>
      </c>
      <c r="E241" s="34">
        <f t="shared" ref="E241" si="197">(D241/$D$236)</f>
        <v>0.13559539698345352</v>
      </c>
      <c r="F241" s="37">
        <v>123.2</v>
      </c>
      <c r="G241" s="37">
        <v>123.2</v>
      </c>
      <c r="H241" s="35">
        <v>9</v>
      </c>
      <c r="I241" s="56">
        <v>2.2000000000000001E-3</v>
      </c>
      <c r="J241" s="56">
        <v>2.7176999999999998</v>
      </c>
      <c r="K241" s="38">
        <v>15313998391.42</v>
      </c>
      <c r="L241" s="34">
        <f>(K241/$K$245)</f>
        <v>0.49019463684220149</v>
      </c>
      <c r="M241" s="37">
        <v>123.2</v>
      </c>
      <c r="N241" s="37">
        <v>123.2</v>
      </c>
      <c r="O241" s="35">
        <v>9</v>
      </c>
      <c r="P241" s="56">
        <v>3.2000000000000002E-3</v>
      </c>
      <c r="Q241" s="56">
        <v>2.7229000000000001</v>
      </c>
      <c r="R241" s="62">
        <f t="shared" ref="R241" si="198">((K241-D241)/D241)</f>
        <v>3.1867795622148418E-3</v>
      </c>
      <c r="S241" s="62">
        <f t="shared" ref="S241" si="199">((N241-G241)/G241)</f>
        <v>0</v>
      </c>
      <c r="T241" s="62">
        <f t="shared" ref="T241" si="200">((O241-H241)/H241)</f>
        <v>0</v>
      </c>
      <c r="U241" s="62">
        <f t="shared" ref="U241" si="201">P241-I241</f>
        <v>1E-3</v>
      </c>
      <c r="V241" s="63">
        <f t="shared" ref="V241" si="202">Q241-J241</f>
        <v>5.2000000000003155E-3</v>
      </c>
    </row>
    <row r="242" spans="1:22" ht="14.4" customHeight="1">
      <c r="A242" s="161">
        <v>3</v>
      </c>
      <c r="B242" s="148" t="s">
        <v>285</v>
      </c>
      <c r="C242" s="147" t="s">
        <v>82</v>
      </c>
      <c r="D242" s="38">
        <v>1242778654.0699921</v>
      </c>
      <c r="E242" s="34">
        <f>(D242/$D$236)</f>
        <v>1.1039055967306444E-2</v>
      </c>
      <c r="F242" s="37">
        <v>152443.26817200001</v>
      </c>
      <c r="G242" s="37">
        <v>152443.26817200001</v>
      </c>
      <c r="H242" s="35">
        <v>17</v>
      </c>
      <c r="I242" s="56">
        <v>-4.0000000000000001E-3</v>
      </c>
      <c r="J242" s="56">
        <v>-1.23E-2</v>
      </c>
      <c r="K242" s="38">
        <f>905549.55*W141</f>
        <v>1250377566.45261</v>
      </c>
      <c r="L242" s="34">
        <f>(K242/$K$245)</f>
        <v>4.0024059127907394E-2</v>
      </c>
      <c r="M242" s="37">
        <f>111.05*W141</f>
        <v>153337.19591000001</v>
      </c>
      <c r="N242" s="37">
        <f>111.05*W141</f>
        <v>153337.19591000001</v>
      </c>
      <c r="O242" s="35">
        <v>17</v>
      </c>
      <c r="P242" s="56">
        <v>5.7000000000000002E-3</v>
      </c>
      <c r="Q242" s="56">
        <v>-6.6E-3</v>
      </c>
      <c r="R242" s="62">
        <f t="shared" ref="R242:R243" si="203">((K242-D242)/D242)</f>
        <v>6.114453573636925E-3</v>
      </c>
      <c r="S242" s="62">
        <f t="shared" ref="S242:S243" si="204">((N242-G242)/G242)</f>
        <v>5.8640027120868991E-3</v>
      </c>
      <c r="T242" s="62">
        <f t="shared" ref="T242:T243" si="205">((O242-H242)/H242)</f>
        <v>0</v>
      </c>
      <c r="U242" s="62">
        <f t="shared" ref="U242:U243" si="206">P242-I242</f>
        <v>9.7000000000000003E-3</v>
      </c>
      <c r="V242" s="63">
        <f t="shared" ref="V242:V243" si="207">Q242-J242</f>
        <v>5.7000000000000002E-3</v>
      </c>
    </row>
    <row r="243" spans="1:22" ht="14.4" customHeight="1">
      <c r="A243" s="161">
        <v>4</v>
      </c>
      <c r="B243" s="148" t="s">
        <v>286</v>
      </c>
      <c r="C243" s="147" t="s">
        <v>40</v>
      </c>
      <c r="D243" s="38">
        <v>12184109765.049999</v>
      </c>
      <c r="E243" s="34">
        <f t="shared" si="191"/>
        <v>0.10822608609160818</v>
      </c>
      <c r="F243" s="37">
        <v>1.17</v>
      </c>
      <c r="G243" s="37">
        <v>1.17</v>
      </c>
      <c r="H243" s="35">
        <v>16</v>
      </c>
      <c r="I243" s="56">
        <v>1.8100000000000002E-2</v>
      </c>
      <c r="J243" s="56">
        <v>-0.37080000000000002</v>
      </c>
      <c r="K243" s="38">
        <v>12218760726.4</v>
      </c>
      <c r="L243" s="34">
        <f>(K243/$K$245)</f>
        <v>0.39111738318421069</v>
      </c>
      <c r="M243" s="37">
        <v>1.17</v>
      </c>
      <c r="N243" s="37">
        <v>1.17</v>
      </c>
      <c r="O243" s="35">
        <v>16</v>
      </c>
      <c r="P243" s="56">
        <v>2.1999999999999999E-2</v>
      </c>
      <c r="Q243" s="56">
        <v>-0.32919999999999999</v>
      </c>
      <c r="R243" s="62">
        <f t="shared" si="203"/>
        <v>2.8439469126744351E-3</v>
      </c>
      <c r="S243" s="62">
        <f t="shared" si="204"/>
        <v>0</v>
      </c>
      <c r="T243" s="62">
        <f t="shared" si="205"/>
        <v>0</v>
      </c>
      <c r="U243" s="62">
        <f t="shared" si="206"/>
        <v>3.8999999999999972E-3</v>
      </c>
      <c r="V243" s="63">
        <f t="shared" si="207"/>
        <v>4.1600000000000026E-2</v>
      </c>
    </row>
    <row r="244" spans="1:22" ht="14.4" customHeight="1">
      <c r="A244" s="161">
        <v>5</v>
      </c>
      <c r="B244" s="148" t="s">
        <v>287</v>
      </c>
      <c r="C244" s="147" t="s">
        <v>51</v>
      </c>
      <c r="D244" s="38">
        <v>267510828.86000001</v>
      </c>
      <c r="E244" s="34">
        <f t="shared" ref="E244" si="208">(D244/$D$236)</f>
        <v>2.3761809892494036E-3</v>
      </c>
      <c r="F244" s="37">
        <v>1.36863</v>
      </c>
      <c r="G244" s="37">
        <v>1.36863</v>
      </c>
      <c r="H244" s="35">
        <v>25</v>
      </c>
      <c r="I244" s="56">
        <v>-7.9000000000000008E-3</v>
      </c>
      <c r="J244" s="56">
        <v>0.22739999999999999</v>
      </c>
      <c r="K244" s="38">
        <v>286846012.20999998</v>
      </c>
      <c r="L244" s="34">
        <f>(K244/$K$245)</f>
        <v>9.1818200048717942E-3</v>
      </c>
      <c r="M244" s="37">
        <v>1.3652599999999999</v>
      </c>
      <c r="N244" s="37">
        <v>1.3652599999999999</v>
      </c>
      <c r="O244" s="35">
        <v>27</v>
      </c>
      <c r="P244" s="56">
        <v>-2.5999999999999999E-3</v>
      </c>
      <c r="Q244" s="56">
        <v>0.2243</v>
      </c>
      <c r="R244" s="62">
        <f t="shared" ref="R244:R245" si="209">((K244-D244)/D244)</f>
        <v>7.2278133309208584E-2</v>
      </c>
      <c r="S244" s="62">
        <f t="shared" ref="S244" si="210">((N244-G244)/G244)</f>
        <v>-2.462316330929539E-3</v>
      </c>
      <c r="T244" s="62">
        <f t="shared" ref="T244" si="211">((O244-H244)/H244)</f>
        <v>0.08</v>
      </c>
      <c r="U244" s="62">
        <f t="shared" ref="U244" si="212">P244-I244</f>
        <v>5.3000000000000009E-3</v>
      </c>
      <c r="V244" s="63">
        <f t="shared" ref="V244" si="213">Q244-J244</f>
        <v>-3.0999999999999917E-3</v>
      </c>
    </row>
    <row r="245" spans="1:22" ht="14.4" customHeight="1">
      <c r="A245" s="96"/>
      <c r="B245" s="96"/>
      <c r="C245" s="96" t="s">
        <v>54</v>
      </c>
      <c r="D245" s="96">
        <f>SUM(D240:D244)</f>
        <v>31122132963.085693</v>
      </c>
      <c r="E245" s="96"/>
      <c r="F245" s="96"/>
      <c r="G245" s="96"/>
      <c r="H245" s="96">
        <f>SUM(H240:H244)</f>
        <v>125</v>
      </c>
      <c r="I245" s="96"/>
      <c r="J245" s="96"/>
      <c r="K245" s="96">
        <f>SUM(K240:K244)</f>
        <v>31240648592.305443</v>
      </c>
      <c r="L245" s="45"/>
      <c r="M245" s="96"/>
      <c r="N245" s="96"/>
      <c r="O245" s="96">
        <f>SUM(O240:O244)</f>
        <v>126</v>
      </c>
      <c r="P245" s="96"/>
      <c r="Q245" s="96"/>
      <c r="R245" s="110">
        <f t="shared" si="209"/>
        <v>3.8080818355323573E-3</v>
      </c>
      <c r="S245" s="96"/>
      <c r="T245" s="96"/>
      <c r="U245" s="96"/>
      <c r="V245" s="96"/>
    </row>
    <row r="246" spans="1:22" ht="6" customHeight="1">
      <c r="A246" s="41"/>
      <c r="B246" s="49"/>
      <c r="C246" s="77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2"/>
    </row>
    <row r="247" spans="1:22" ht="15.6">
      <c r="A247" s="171" t="s">
        <v>288</v>
      </c>
      <c r="B247" s="171"/>
      <c r="C247" s="171"/>
      <c r="D247" s="171"/>
      <c r="E247" s="171"/>
      <c r="F247" s="171"/>
      <c r="G247" s="171"/>
      <c r="H247" s="171"/>
      <c r="I247" s="171"/>
      <c r="J247" s="171"/>
      <c r="K247" s="171"/>
      <c r="L247" s="171"/>
      <c r="M247" s="171"/>
      <c r="N247" s="171"/>
      <c r="O247" s="171"/>
      <c r="P247" s="171"/>
      <c r="Q247" s="171"/>
      <c r="R247" s="171"/>
      <c r="S247" s="171"/>
      <c r="T247" s="171"/>
      <c r="U247" s="171"/>
      <c r="V247" s="171"/>
    </row>
    <row r="248" spans="1:22">
      <c r="A248" s="161">
        <v>1</v>
      </c>
      <c r="B248" s="148" t="s">
        <v>289</v>
      </c>
      <c r="C248" s="147" t="s">
        <v>290</v>
      </c>
      <c r="D248" s="38">
        <v>134147737268</v>
      </c>
      <c r="E248" s="34">
        <f>(D248/$D$250)</f>
        <v>0.91385343273412822</v>
      </c>
      <c r="F248" s="66">
        <v>108.35</v>
      </c>
      <c r="G248" s="66">
        <v>108.35</v>
      </c>
      <c r="H248" s="35">
        <v>0</v>
      </c>
      <c r="I248" s="56">
        <v>1.2800000000000001E-2</v>
      </c>
      <c r="J248" s="56">
        <v>0.1363</v>
      </c>
      <c r="K248" s="38">
        <v>134147737268</v>
      </c>
      <c r="L248" s="34">
        <f>(K248/$K$250)</f>
        <v>0.91356311803076984</v>
      </c>
      <c r="M248" s="66">
        <v>108.35</v>
      </c>
      <c r="N248" s="66">
        <v>108.35</v>
      </c>
      <c r="O248" s="35">
        <v>0</v>
      </c>
      <c r="P248" s="56">
        <v>1.2800000000000001E-2</v>
      </c>
      <c r="Q248" s="56">
        <v>0.1363</v>
      </c>
      <c r="R248" s="62">
        <f>((K248-D248)/D248)</f>
        <v>0</v>
      </c>
      <c r="S248" s="62">
        <f>((N248-G248)/G248)</f>
        <v>0</v>
      </c>
      <c r="T248" s="62" t="e">
        <f>((O248-H248)/H248)</f>
        <v>#DIV/0!</v>
      </c>
      <c r="U248" s="62">
        <f>P248-I248</f>
        <v>0</v>
      </c>
      <c r="V248" s="63">
        <f>Q248-J248</f>
        <v>0</v>
      </c>
    </row>
    <row r="249" spans="1:22" ht="14.4" customHeight="1">
      <c r="A249" s="161">
        <v>2</v>
      </c>
      <c r="B249" s="148" t="s">
        <v>291</v>
      </c>
      <c r="C249" s="147" t="s">
        <v>51</v>
      </c>
      <c r="D249" s="38">
        <v>12645755498.83</v>
      </c>
      <c r="E249" s="34">
        <f>(D249/$D$250)</f>
        <v>8.6146567265871901E-2</v>
      </c>
      <c r="F249" s="97">
        <v>1000000</v>
      </c>
      <c r="G249" s="97">
        <v>1000000</v>
      </c>
      <c r="H249" s="35">
        <v>26</v>
      </c>
      <c r="I249" s="56">
        <v>1.699E-3</v>
      </c>
      <c r="J249" s="56">
        <v>0.17</v>
      </c>
      <c r="K249" s="38">
        <v>12692403955.26</v>
      </c>
      <c r="L249" s="34">
        <f>(K249/$K$250)</f>
        <v>8.6436881969230064E-2</v>
      </c>
      <c r="M249" s="97">
        <v>1000000</v>
      </c>
      <c r="N249" s="97">
        <v>1000000</v>
      </c>
      <c r="O249" s="35">
        <v>26</v>
      </c>
      <c r="P249" s="56">
        <v>0.1701</v>
      </c>
      <c r="Q249" s="56">
        <v>0.1701</v>
      </c>
      <c r="R249" s="62">
        <f>((K249-D249)/D249)</f>
        <v>3.6888627519578625E-3</v>
      </c>
      <c r="S249" s="62">
        <f>((N249-G249)/G249)</f>
        <v>0</v>
      </c>
      <c r="T249" s="62">
        <f>((O249-H249)/H249)</f>
        <v>0</v>
      </c>
      <c r="U249" s="62">
        <f>P249-I249</f>
        <v>0.168401</v>
      </c>
      <c r="V249" s="63">
        <f>Q249-J249</f>
        <v>9.9999999999988987E-5</v>
      </c>
    </row>
    <row r="250" spans="1:22" ht="15" customHeight="1">
      <c r="A250" s="91"/>
      <c r="B250" s="91"/>
      <c r="C250" s="92" t="s">
        <v>292</v>
      </c>
      <c r="D250" s="96">
        <f>SUM(D248:D249)</f>
        <v>146793492766.82999</v>
      </c>
      <c r="E250" s="98"/>
      <c r="F250" s="99"/>
      <c r="G250" s="99"/>
      <c r="H250" s="96">
        <f>SUM(H248:H249)</f>
        <v>26</v>
      </c>
      <c r="I250" s="107"/>
      <c r="J250" s="107"/>
      <c r="K250" s="96">
        <f>SUM(K248:K249)</f>
        <v>146840141223.26001</v>
      </c>
      <c r="L250" s="98"/>
      <c r="M250" s="99"/>
      <c r="N250" s="99"/>
      <c r="O250" s="96">
        <f>SUM(O248:O249)</f>
        <v>26</v>
      </c>
      <c r="P250" s="107"/>
      <c r="Q250" s="96"/>
      <c r="R250" s="110">
        <f>((K250-D250)/D250)</f>
        <v>3.1778286319626323E-4</v>
      </c>
      <c r="S250" s="111"/>
      <c r="T250" s="111"/>
      <c r="U250" s="110"/>
      <c r="V250" s="112"/>
    </row>
    <row r="251" spans="1:22" ht="4.5" customHeight="1">
      <c r="A251" s="41"/>
      <c r="B251" s="172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2"/>
      <c r="P251" s="172"/>
      <c r="Q251" s="172"/>
      <c r="R251" s="172"/>
      <c r="S251" s="172"/>
      <c r="T251" s="172"/>
      <c r="U251" s="172"/>
      <c r="V251" s="172"/>
    </row>
    <row r="252" spans="1:22" ht="15.6">
      <c r="A252" s="171" t="s">
        <v>293</v>
      </c>
      <c r="B252" s="171"/>
      <c r="C252" s="171"/>
      <c r="D252" s="171"/>
      <c r="E252" s="171"/>
      <c r="F252" s="171"/>
      <c r="G252" s="171"/>
      <c r="H252" s="171"/>
      <c r="I252" s="171"/>
      <c r="J252" s="171"/>
      <c r="K252" s="171"/>
      <c r="L252" s="171"/>
      <c r="M252" s="171"/>
      <c r="N252" s="171"/>
      <c r="O252" s="171"/>
      <c r="P252" s="171"/>
      <c r="Q252" s="171"/>
      <c r="R252" s="171"/>
      <c r="S252" s="171"/>
      <c r="T252" s="171"/>
      <c r="U252" s="171"/>
      <c r="V252" s="171"/>
    </row>
    <row r="253" spans="1:22">
      <c r="A253" s="161">
        <v>1</v>
      </c>
      <c r="B253" s="148" t="s">
        <v>294</v>
      </c>
      <c r="C253" s="147" t="s">
        <v>92</v>
      </c>
      <c r="D253" s="100">
        <v>1873893205.45</v>
      </c>
      <c r="E253" s="101">
        <f t="shared" ref="E253:E264" si="214">(D253/$D$265)</f>
        <v>7.7347933977689909E-2</v>
      </c>
      <c r="F253" s="97">
        <v>457.84536329000002</v>
      </c>
      <c r="G253" s="97">
        <v>457.84536329000002</v>
      </c>
      <c r="H253" s="102">
        <v>266</v>
      </c>
      <c r="I253" s="58">
        <v>-1.9E-3</v>
      </c>
      <c r="J253" s="58">
        <v>0.29699999999999999</v>
      </c>
      <c r="K253" s="100">
        <v>1883585723.8599999</v>
      </c>
      <c r="L253" s="101">
        <f t="shared" ref="L253:L264" si="215">(K253/$K$265)</f>
        <v>7.5699188006168261E-2</v>
      </c>
      <c r="M253" s="97">
        <v>460.31686387000002</v>
      </c>
      <c r="N253" s="97">
        <v>460.31686387000002</v>
      </c>
      <c r="O253" s="102">
        <v>266</v>
      </c>
      <c r="P253" s="58">
        <v>5.4000000000000003E-3</v>
      </c>
      <c r="Q253" s="58">
        <v>0.30399999999999999</v>
      </c>
      <c r="R253" s="62">
        <f>((K253-D253)/D253)</f>
        <v>5.172396368058909E-3</v>
      </c>
      <c r="S253" s="62">
        <f>((N253-G253)/G253)</f>
        <v>5.3981120661356231E-3</v>
      </c>
      <c r="T253" s="62">
        <f>((O253-H253)/H253)</f>
        <v>0</v>
      </c>
      <c r="U253" s="62">
        <f>P253-I253</f>
        <v>7.3000000000000001E-3</v>
      </c>
      <c r="V253" s="63">
        <f>Q253-J253</f>
        <v>7.0000000000000062E-3</v>
      </c>
    </row>
    <row r="254" spans="1:22">
      <c r="A254" s="161">
        <v>2</v>
      </c>
      <c r="B254" s="148" t="s">
        <v>295</v>
      </c>
      <c r="C254" s="147" t="s">
        <v>256</v>
      </c>
      <c r="D254" s="100">
        <v>2932845844.9499998</v>
      </c>
      <c r="E254" s="101">
        <f t="shared" si="214"/>
        <v>0.12105789493348351</v>
      </c>
      <c r="F254" s="97">
        <v>83.42</v>
      </c>
      <c r="G254" s="97">
        <v>92.2</v>
      </c>
      <c r="H254" s="102">
        <v>952</v>
      </c>
      <c r="I254" s="58">
        <v>7.4999999999999997E-3</v>
      </c>
      <c r="J254" s="58">
        <v>0.42259999999999998</v>
      </c>
      <c r="K254" s="100">
        <v>2953909640.4899998</v>
      </c>
      <c r="L254" s="101">
        <f t="shared" si="215"/>
        <v>0.11871430028172449</v>
      </c>
      <c r="M254" s="97">
        <v>84.02</v>
      </c>
      <c r="N254" s="97">
        <v>92.86</v>
      </c>
      <c r="O254" s="102">
        <v>952</v>
      </c>
      <c r="P254" s="58">
        <v>7.1999999999999998E-3</v>
      </c>
      <c r="Q254" s="58">
        <v>0.43290000000000001</v>
      </c>
      <c r="R254" s="62">
        <f t="shared" ref="R254:R265" si="216">((K254-D254)/D254)</f>
        <v>7.1820329651042618E-3</v>
      </c>
      <c r="S254" s="62">
        <f t="shared" ref="S254:S265" si="217">((N254-G254)/G254)</f>
        <v>7.1583514099782712E-3</v>
      </c>
      <c r="T254" s="62">
        <f t="shared" ref="T254:T265" si="218">((O254-H254)/H254)</f>
        <v>0</v>
      </c>
      <c r="U254" s="62">
        <f t="shared" ref="U254:U265" si="219">P254-I254</f>
        <v>-2.9999999999999992E-4</v>
      </c>
      <c r="V254" s="63">
        <f t="shared" ref="V254:V265" si="220">Q254-J254</f>
        <v>1.0300000000000031E-2</v>
      </c>
    </row>
    <row r="255" spans="1:22">
      <c r="A255" s="161">
        <v>3</v>
      </c>
      <c r="B255" s="148" t="s">
        <v>296</v>
      </c>
      <c r="C255" s="147" t="s">
        <v>42</v>
      </c>
      <c r="D255" s="100">
        <v>674885641.96000004</v>
      </c>
      <c r="E255" s="101">
        <f t="shared" si="214"/>
        <v>2.7856982417670546E-2</v>
      </c>
      <c r="F255" s="97">
        <v>56.228884000000001</v>
      </c>
      <c r="G255" s="97">
        <v>56.428567000000001</v>
      </c>
      <c r="H255" s="102">
        <v>219</v>
      </c>
      <c r="I255" s="58">
        <v>-9.7000000000000003E-3</v>
      </c>
      <c r="J255" s="58">
        <v>0.39079999999999998</v>
      </c>
      <c r="K255" s="100">
        <v>680401163.46000004</v>
      </c>
      <c r="L255" s="101">
        <f t="shared" si="215"/>
        <v>2.7344556151564042E-2</v>
      </c>
      <c r="M255" s="97">
        <v>56.688287000000003</v>
      </c>
      <c r="N255" s="97">
        <v>56.897675999999997</v>
      </c>
      <c r="O255" s="102">
        <v>219</v>
      </c>
      <c r="P255" s="58">
        <v>8.1725275470105885E-3</v>
      </c>
      <c r="Q255" s="58">
        <v>0.4021547814572064</v>
      </c>
      <c r="R255" s="62">
        <f t="shared" si="216"/>
        <v>8.1725275470105503E-3</v>
      </c>
      <c r="S255" s="62">
        <f t="shared" si="217"/>
        <v>8.313324703070982E-3</v>
      </c>
      <c r="T255" s="62">
        <f t="shared" si="218"/>
        <v>0</v>
      </c>
      <c r="U255" s="62">
        <f t="shared" si="219"/>
        <v>1.7872527547010589E-2</v>
      </c>
      <c r="V255" s="63">
        <f t="shared" si="220"/>
        <v>1.135478145720642E-2</v>
      </c>
    </row>
    <row r="256" spans="1:22">
      <c r="A256" s="161">
        <v>4</v>
      </c>
      <c r="B256" s="148" t="s">
        <v>297</v>
      </c>
      <c r="C256" s="147" t="s">
        <v>42</v>
      </c>
      <c r="D256" s="100">
        <v>1304410632.8599999</v>
      </c>
      <c r="E256" s="101">
        <f t="shared" si="214"/>
        <v>5.3841631538454317E-2</v>
      </c>
      <c r="F256" s="97">
        <v>110.77</v>
      </c>
      <c r="G256" s="97">
        <v>111.16</v>
      </c>
      <c r="H256" s="102">
        <v>261</v>
      </c>
      <c r="I256" s="58">
        <v>1.66E-2</v>
      </c>
      <c r="J256" s="58">
        <v>0.32969999999999999</v>
      </c>
      <c r="K256" s="100">
        <v>1300543324.1800001</v>
      </c>
      <c r="L256" s="101">
        <f t="shared" si="215"/>
        <v>5.226737087681723E-2</v>
      </c>
      <c r="M256" s="97">
        <v>110.439222</v>
      </c>
      <c r="N256" s="97">
        <v>110.85367599999999</v>
      </c>
      <c r="O256" s="102">
        <v>261</v>
      </c>
      <c r="P256" s="58">
        <v>-2.9647938943281327E-3</v>
      </c>
      <c r="Q256" s="58">
        <v>0.32571954260817582</v>
      </c>
      <c r="R256" s="62">
        <f t="shared" si="216"/>
        <v>-2.9647938943279835E-3</v>
      </c>
      <c r="S256" s="62">
        <f t="shared" si="217"/>
        <v>-2.7557034904642282E-3</v>
      </c>
      <c r="T256" s="62">
        <f t="shared" si="218"/>
        <v>0</v>
      </c>
      <c r="U256" s="62">
        <f t="shared" si="219"/>
        <v>-1.9564793894328133E-2</v>
      </c>
      <c r="V256" s="63">
        <f t="shared" si="220"/>
        <v>-3.980457391824177E-3</v>
      </c>
    </row>
    <row r="257" spans="1:26">
      <c r="A257" s="161">
        <v>5</v>
      </c>
      <c r="B257" s="148" t="s">
        <v>298</v>
      </c>
      <c r="C257" s="147" t="s">
        <v>299</v>
      </c>
      <c r="D257" s="100">
        <v>1939986370.0799999</v>
      </c>
      <c r="E257" s="101">
        <f t="shared" si="214"/>
        <v>8.0076034874427063E-2</v>
      </c>
      <c r="F257" s="97">
        <v>56400</v>
      </c>
      <c r="G257" s="97">
        <v>63400</v>
      </c>
      <c r="H257" s="102">
        <v>386</v>
      </c>
      <c r="I257" s="58">
        <v>7.0000000000000001E-3</v>
      </c>
      <c r="J257" s="58">
        <v>-0.01</v>
      </c>
      <c r="K257" s="100">
        <v>1995635881</v>
      </c>
      <c r="L257" s="101">
        <f t="shared" si="215"/>
        <v>8.0202357574728877E-2</v>
      </c>
      <c r="M257" s="97">
        <v>58005</v>
      </c>
      <c r="N257" s="97">
        <v>65145</v>
      </c>
      <c r="O257" s="102">
        <v>386</v>
      </c>
      <c r="P257" s="58">
        <v>2.9000000000000001E-2</v>
      </c>
      <c r="Q257" s="58">
        <v>0.01</v>
      </c>
      <c r="R257" s="62">
        <f t="shared" si="216"/>
        <v>2.8685516443966171E-2</v>
      </c>
      <c r="S257" s="62">
        <f t="shared" si="217"/>
        <v>2.7523659305993691E-2</v>
      </c>
      <c r="T257" s="62">
        <f t="shared" si="218"/>
        <v>0</v>
      </c>
      <c r="U257" s="62">
        <f t="shared" si="219"/>
        <v>2.2000000000000002E-2</v>
      </c>
      <c r="V257" s="63">
        <f t="shared" si="220"/>
        <v>0.02</v>
      </c>
    </row>
    <row r="258" spans="1:26">
      <c r="A258" s="161">
        <v>6</v>
      </c>
      <c r="B258" s="148" t="s">
        <v>300</v>
      </c>
      <c r="C258" s="147" t="s">
        <v>301</v>
      </c>
      <c r="D258" s="100">
        <v>1288268787.1900001</v>
      </c>
      <c r="E258" s="101">
        <f t="shared" si="214"/>
        <v>5.3175351085795658E-2</v>
      </c>
      <c r="F258" s="97">
        <v>14414.73</v>
      </c>
      <c r="G258" s="97">
        <v>14414.73</v>
      </c>
      <c r="H258" s="102">
        <v>588</v>
      </c>
      <c r="I258" s="58">
        <v>-7.7999999999999996E-3</v>
      </c>
      <c r="J258" s="58">
        <v>0.31580000000000003</v>
      </c>
      <c r="K258" s="100">
        <v>1309088814.49</v>
      </c>
      <c r="L258" s="101">
        <f t="shared" si="215"/>
        <v>5.2610804504173422E-2</v>
      </c>
      <c r="M258" s="97">
        <v>14019.3</v>
      </c>
      <c r="N258" s="97">
        <v>14019.3</v>
      </c>
      <c r="O258" s="102">
        <v>777</v>
      </c>
      <c r="P258" s="58">
        <v>9.7999999999999997E-3</v>
      </c>
      <c r="Q258" s="58">
        <v>0.32869999999999999</v>
      </c>
      <c r="R258" s="62">
        <f t="shared" si="216"/>
        <v>1.6161244848144657E-2</v>
      </c>
      <c r="S258" s="62">
        <f t="shared" si="217"/>
        <v>-2.7432355652863446E-2</v>
      </c>
      <c r="T258" s="62">
        <f t="shared" si="218"/>
        <v>0.32142857142857145</v>
      </c>
      <c r="U258" s="62">
        <f t="shared" si="219"/>
        <v>1.7599999999999998E-2</v>
      </c>
      <c r="V258" s="63">
        <f t="shared" si="220"/>
        <v>1.2899999999999967E-2</v>
      </c>
    </row>
    <row r="259" spans="1:26">
      <c r="A259" s="161">
        <v>7</v>
      </c>
      <c r="B259" s="148" t="s">
        <v>302</v>
      </c>
      <c r="C259" s="147" t="s">
        <v>301</v>
      </c>
      <c r="D259" s="100">
        <v>1364173214.6500001</v>
      </c>
      <c r="E259" s="101">
        <f t="shared" si="214"/>
        <v>5.6308427520842849E-2</v>
      </c>
      <c r="F259" s="97">
        <v>5328</v>
      </c>
      <c r="G259" s="97">
        <v>5328</v>
      </c>
      <c r="H259" s="102">
        <v>4067</v>
      </c>
      <c r="I259" s="58">
        <v>-2E-3</v>
      </c>
      <c r="J259" s="58">
        <v>0.2611</v>
      </c>
      <c r="K259" s="100">
        <v>1377125704.76</v>
      </c>
      <c r="L259" s="101">
        <f t="shared" si="215"/>
        <v>5.5345130466970205E-2</v>
      </c>
      <c r="M259" s="97">
        <v>4050</v>
      </c>
      <c r="N259" s="97">
        <v>4050</v>
      </c>
      <c r="O259" s="102">
        <v>5505</v>
      </c>
      <c r="P259" s="58">
        <v>5.0000000000000001E-3</v>
      </c>
      <c r="Q259" s="58">
        <v>0.26729999999999998</v>
      </c>
      <c r="R259" s="62">
        <f t="shared" si="216"/>
        <v>9.4947547502778513E-3</v>
      </c>
      <c r="S259" s="62">
        <f t="shared" si="217"/>
        <v>-0.23986486486486486</v>
      </c>
      <c r="T259" s="62">
        <f t="shared" si="218"/>
        <v>0.35357757560855668</v>
      </c>
      <c r="U259" s="62">
        <f t="shared" si="219"/>
        <v>7.0000000000000001E-3</v>
      </c>
      <c r="V259" s="63">
        <f t="shared" si="220"/>
        <v>6.1999999999999833E-3</v>
      </c>
    </row>
    <row r="260" spans="1:26">
      <c r="A260" s="161">
        <v>8</v>
      </c>
      <c r="B260" s="148" t="s">
        <v>303</v>
      </c>
      <c r="C260" s="147" t="s">
        <v>304</v>
      </c>
      <c r="D260" s="100">
        <v>399565093.97000003</v>
      </c>
      <c r="E260" s="101">
        <f t="shared" si="214"/>
        <v>1.649268721306843E-2</v>
      </c>
      <c r="F260" s="97">
        <v>43.45</v>
      </c>
      <c r="G260" s="97">
        <v>43.55</v>
      </c>
      <c r="H260" s="102">
        <v>2226</v>
      </c>
      <c r="I260" s="58">
        <v>7.0400000000000004E-2</v>
      </c>
      <c r="J260" s="58">
        <v>0.56440000000000001</v>
      </c>
      <c r="K260" s="100">
        <v>508973937.33999997</v>
      </c>
      <c r="L260" s="101">
        <f t="shared" si="215"/>
        <v>2.045508908083234E-2</v>
      </c>
      <c r="M260" s="97">
        <v>42.69</v>
      </c>
      <c r="N260" s="97">
        <v>42.79</v>
      </c>
      <c r="O260" s="102">
        <v>2565</v>
      </c>
      <c r="P260" s="58">
        <v>2.8500000000000001E-2</v>
      </c>
      <c r="Q260" s="58">
        <v>0.60899999999999999</v>
      </c>
      <c r="R260" s="62">
        <f t="shared" si="216"/>
        <v>0.27381982315555958</v>
      </c>
      <c r="S260" s="62">
        <f t="shared" si="217"/>
        <v>-1.745120551090696E-2</v>
      </c>
      <c r="T260" s="62">
        <f t="shared" si="218"/>
        <v>0.15229110512129379</v>
      </c>
      <c r="U260" s="62">
        <f t="shared" si="219"/>
        <v>-4.1900000000000007E-2</v>
      </c>
      <c r="V260" s="63">
        <f t="shared" si="220"/>
        <v>4.4599999999999973E-2</v>
      </c>
    </row>
    <row r="261" spans="1:26">
      <c r="A261" s="161">
        <v>9</v>
      </c>
      <c r="B261" s="148" t="s">
        <v>305</v>
      </c>
      <c r="C261" s="147" t="s">
        <v>304</v>
      </c>
      <c r="D261" s="103">
        <v>1374427922.8900001</v>
      </c>
      <c r="E261" s="101">
        <f t="shared" si="214"/>
        <v>5.6731706976470911E-2</v>
      </c>
      <c r="F261" s="97">
        <v>19.05</v>
      </c>
      <c r="G261" s="97">
        <v>19.149999999999999</v>
      </c>
      <c r="H261" s="102">
        <v>2343</v>
      </c>
      <c r="I261" s="58">
        <v>0.1017</v>
      </c>
      <c r="J261" s="58">
        <v>0.73399999999999999</v>
      </c>
      <c r="K261" s="103">
        <v>1460362315.5899999</v>
      </c>
      <c r="L261" s="101">
        <f t="shared" si="215"/>
        <v>5.8690316073550408E-2</v>
      </c>
      <c r="M261" s="97">
        <v>19.18</v>
      </c>
      <c r="N261" s="97">
        <v>19.28</v>
      </c>
      <c r="O261" s="102">
        <v>3063</v>
      </c>
      <c r="P261" s="58">
        <v>0.15340000000000001</v>
      </c>
      <c r="Q261" s="58">
        <v>1</v>
      </c>
      <c r="R261" s="62">
        <f t="shared" si="216"/>
        <v>6.2523753533256329E-2</v>
      </c>
      <c r="S261" s="62">
        <f t="shared" si="217"/>
        <v>6.7885117493473928E-3</v>
      </c>
      <c r="T261" s="62">
        <f t="shared" si="218"/>
        <v>0.30729833546734953</v>
      </c>
      <c r="U261" s="62">
        <f t="shared" si="219"/>
        <v>5.170000000000001E-2</v>
      </c>
      <c r="V261" s="63">
        <f t="shared" si="220"/>
        <v>0.26600000000000001</v>
      </c>
    </row>
    <row r="262" spans="1:26" ht="15" customHeight="1">
      <c r="A262" s="161">
        <v>10</v>
      </c>
      <c r="B262" s="148" t="s">
        <v>306</v>
      </c>
      <c r="C262" s="147" t="s">
        <v>304</v>
      </c>
      <c r="D262" s="100">
        <v>279236747.17000002</v>
      </c>
      <c r="E262" s="101">
        <f t="shared" si="214"/>
        <v>1.1525942578495756E-2</v>
      </c>
      <c r="F262" s="97">
        <v>148.03</v>
      </c>
      <c r="G262" s="97">
        <v>150.03</v>
      </c>
      <c r="H262" s="102">
        <v>1283</v>
      </c>
      <c r="I262" s="58">
        <v>-0.2422</v>
      </c>
      <c r="J262" s="58">
        <v>0.43509999999999999</v>
      </c>
      <c r="K262" s="100">
        <v>337482983.61000001</v>
      </c>
      <c r="L262" s="101">
        <f t="shared" si="215"/>
        <v>1.3563060869256632E-2</v>
      </c>
      <c r="M262" s="97">
        <v>147.43</v>
      </c>
      <c r="N262" s="97">
        <v>149.43</v>
      </c>
      <c r="O262" s="102">
        <v>1283</v>
      </c>
      <c r="P262" s="58">
        <v>0.1104</v>
      </c>
      <c r="Q262" s="58">
        <v>0.59350000000000003</v>
      </c>
      <c r="R262" s="62">
        <f t="shared" si="216"/>
        <v>0.20859087147487629</v>
      </c>
      <c r="S262" s="62">
        <f t="shared" si="217"/>
        <v>-3.9992001599679682E-3</v>
      </c>
      <c r="T262" s="62">
        <f t="shared" si="218"/>
        <v>0</v>
      </c>
      <c r="U262" s="62">
        <f t="shared" si="219"/>
        <v>0.35260000000000002</v>
      </c>
      <c r="V262" s="63">
        <f t="shared" si="220"/>
        <v>0.15840000000000004</v>
      </c>
    </row>
    <row r="263" spans="1:26">
      <c r="A263" s="161">
        <v>11</v>
      </c>
      <c r="B263" s="148" t="s">
        <v>307</v>
      </c>
      <c r="C263" s="147" t="s">
        <v>304</v>
      </c>
      <c r="D263" s="100">
        <v>10556454482.32</v>
      </c>
      <c r="E263" s="101">
        <f t="shared" si="214"/>
        <v>0.43573451355830889</v>
      </c>
      <c r="F263" s="97">
        <v>73.069999999999993</v>
      </c>
      <c r="G263" s="97">
        <v>73.27</v>
      </c>
      <c r="H263" s="102">
        <v>3023</v>
      </c>
      <c r="I263" s="58">
        <v>0.56759999999999999</v>
      </c>
      <c r="J263" s="58">
        <v>1.1477999999999999</v>
      </c>
      <c r="K263" s="100">
        <v>10709356695.389999</v>
      </c>
      <c r="L263" s="101">
        <f t="shared" si="215"/>
        <v>0.43039697935707016</v>
      </c>
      <c r="M263" s="97">
        <v>73.459999999999994</v>
      </c>
      <c r="N263" s="97">
        <v>73.66</v>
      </c>
      <c r="O263" s="102">
        <v>3603</v>
      </c>
      <c r="P263" s="58">
        <v>-0.18099999999999999</v>
      </c>
      <c r="Q263" s="58">
        <v>0.75890000000000002</v>
      </c>
      <c r="R263" s="62">
        <f t="shared" si="216"/>
        <v>1.4484239317858192E-2</v>
      </c>
      <c r="S263" s="62">
        <f t="shared" si="217"/>
        <v>5.3227787634775566E-3</v>
      </c>
      <c r="T263" s="62">
        <f t="shared" si="218"/>
        <v>0.1918623883559378</v>
      </c>
      <c r="U263" s="62">
        <f t="shared" si="219"/>
        <v>-0.74859999999999993</v>
      </c>
      <c r="V263" s="63">
        <f t="shared" si="220"/>
        <v>-0.38889999999999991</v>
      </c>
    </row>
    <row r="264" spans="1:26">
      <c r="A264" s="161">
        <v>12</v>
      </c>
      <c r="B264" s="148" t="s">
        <v>308</v>
      </c>
      <c r="C264" s="147" t="s">
        <v>304</v>
      </c>
      <c r="D264" s="103">
        <v>238655657.88999999</v>
      </c>
      <c r="E264" s="101">
        <f t="shared" si="214"/>
        <v>9.8508933252922301E-3</v>
      </c>
      <c r="F264" s="97">
        <v>87.88</v>
      </c>
      <c r="G264" s="97">
        <v>88.08</v>
      </c>
      <c r="H264" s="102">
        <v>2140</v>
      </c>
      <c r="I264" s="58">
        <v>0.60980000000000001</v>
      </c>
      <c r="J264" s="58">
        <v>1.8171999999999999</v>
      </c>
      <c r="K264" s="103">
        <v>366042776.25</v>
      </c>
      <c r="L264" s="101">
        <f t="shared" si="215"/>
        <v>1.4710846757143958E-2</v>
      </c>
      <c r="M264" s="97">
        <v>87.67</v>
      </c>
      <c r="N264" s="97">
        <v>87.87</v>
      </c>
      <c r="O264" s="102">
        <v>2494</v>
      </c>
      <c r="P264" s="58">
        <v>5.7200000000000001E-2</v>
      </c>
      <c r="Q264" s="58">
        <v>1.9782999999999999</v>
      </c>
      <c r="R264" s="62">
        <f t="shared" si="216"/>
        <v>0.53376953006793859</v>
      </c>
      <c r="S264" s="62">
        <f t="shared" si="217"/>
        <v>-2.3841961852860325E-3</v>
      </c>
      <c r="T264" s="62">
        <f t="shared" si="218"/>
        <v>0.16542056074766356</v>
      </c>
      <c r="U264" s="62">
        <f t="shared" si="219"/>
        <v>-0.55259999999999998</v>
      </c>
      <c r="V264" s="63">
        <f t="shared" si="220"/>
        <v>0.16110000000000002</v>
      </c>
    </row>
    <row r="265" spans="1:26">
      <c r="A265" s="113"/>
      <c r="B265" s="113"/>
      <c r="C265" s="114" t="s">
        <v>309</v>
      </c>
      <c r="D265" s="96">
        <f>SUM(D253:D264)</f>
        <v>24226803601.379997</v>
      </c>
      <c r="E265" s="98"/>
      <c r="F265" s="98"/>
      <c r="G265" s="99"/>
      <c r="H265" s="96">
        <f>SUM(H253:H264)</f>
        <v>17754</v>
      </c>
      <c r="I265" s="107"/>
      <c r="J265" s="107"/>
      <c r="K265" s="96">
        <f>SUM(K253:K264)</f>
        <v>24882508960.419998</v>
      </c>
      <c r="L265" s="98"/>
      <c r="M265" s="98"/>
      <c r="N265" s="99"/>
      <c r="O265" s="96">
        <f>SUM(O253:O264)</f>
        <v>21374</v>
      </c>
      <c r="P265" s="107"/>
      <c r="Q265" s="107"/>
      <c r="R265" s="62">
        <f t="shared" si="216"/>
        <v>2.7065285616244106E-2</v>
      </c>
      <c r="S265" s="62" t="e">
        <f t="shared" si="217"/>
        <v>#DIV/0!</v>
      </c>
      <c r="T265" s="62">
        <f t="shared" si="218"/>
        <v>0.20389771319139349</v>
      </c>
      <c r="U265" s="62">
        <f t="shared" si="219"/>
        <v>0</v>
      </c>
      <c r="V265" s="63">
        <f t="shared" si="220"/>
        <v>0</v>
      </c>
      <c r="Z265" s="71"/>
    </row>
    <row r="266" spans="1:26">
      <c r="A266" s="115"/>
      <c r="B266" s="115"/>
      <c r="C266" s="116" t="s">
        <v>310</v>
      </c>
      <c r="D266" s="117">
        <f>SUM(D237,D245,D250,D265)</f>
        <v>8642692432101.7559</v>
      </c>
      <c r="E266" s="118"/>
      <c r="F266" s="118"/>
      <c r="G266" s="119"/>
      <c r="H266" s="117">
        <f>SUM(H237,H245,H250,H265)</f>
        <v>1279598</v>
      </c>
      <c r="I266" s="130"/>
      <c r="J266" s="130"/>
      <c r="K266" s="117">
        <f>SUM(K237,K245,K250,K265)</f>
        <v>8796740214398.9551</v>
      </c>
      <c r="L266" s="118"/>
      <c r="M266" s="118"/>
      <c r="N266" s="117"/>
      <c r="O266" s="117">
        <f>SUM(O237,O245,O250,O265)</f>
        <v>1297603</v>
      </c>
      <c r="P266" s="131"/>
      <c r="Q266" s="117"/>
      <c r="R266" s="135"/>
      <c r="S266" s="136"/>
      <c r="T266" s="136"/>
      <c r="U266" s="137"/>
      <c r="V266" s="137"/>
      <c r="Z266" s="71"/>
    </row>
    <row r="267" spans="1:26">
      <c r="A267" s="120" t="s">
        <v>311</v>
      </c>
      <c r="B267" s="121" t="s">
        <v>340</v>
      </c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</row>
    <row r="268" spans="1:26">
      <c r="B268" s="123"/>
    </row>
    <row r="269" spans="1:26">
      <c r="B269" s="123"/>
      <c r="C269" s="124"/>
      <c r="D269" s="125"/>
      <c r="K269" s="125"/>
    </row>
    <row r="270" spans="1:26" ht="15">
      <c r="B270" s="126"/>
      <c r="C270" s="127"/>
      <c r="D270" s="128"/>
      <c r="F270" s="129"/>
      <c r="G270" s="129"/>
      <c r="I270" s="132"/>
      <c r="J270" s="133"/>
    </row>
    <row r="271" spans="1:26">
      <c r="C271" s="123"/>
    </row>
    <row r="272" spans="1:26">
      <c r="K272" s="109"/>
    </row>
    <row r="273" spans="2:11">
      <c r="B273" s="124"/>
    </row>
    <row r="274" spans="2:11">
      <c r="K274" s="134"/>
    </row>
  </sheetData>
  <sheetProtection algorithmName="SHA-512" hashValue="WkyQq9N2eXXDi7VPEvjM69JjQS4ujTsbe8lyAkaU4Pjizbz+1QKjzCnE4Pl99wdUBhasN4Bw+tt7CSLqCUYq8g==" saltValue="A5DfOvj67JYJlCGEhWgCkQ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7:V77"/>
    <mergeCell ref="A78:V78"/>
    <mergeCell ref="B119:V119"/>
    <mergeCell ref="A120:V120"/>
    <mergeCell ref="A121:V121"/>
    <mergeCell ref="B139:V139"/>
    <mergeCell ref="A140:V140"/>
    <mergeCell ref="B162:V162"/>
    <mergeCell ref="A163:V163"/>
    <mergeCell ref="B171:V171"/>
    <mergeCell ref="A172:V172"/>
    <mergeCell ref="B203:V203"/>
    <mergeCell ref="A204:V204"/>
    <mergeCell ref="B209:V209"/>
    <mergeCell ref="A210:V210"/>
    <mergeCell ref="A211:V211"/>
    <mergeCell ref="A239:V239"/>
    <mergeCell ref="A247:V247"/>
    <mergeCell ref="B251:V251"/>
    <mergeCell ref="A252:V252"/>
    <mergeCell ref="B214:V214"/>
    <mergeCell ref="A215:V215"/>
    <mergeCell ref="B230:V230"/>
    <mergeCell ref="A231:V231"/>
    <mergeCell ref="B238:U238"/>
  </mergeCells>
  <pageMargins left="0.7" right="0.7" top="0.75" bottom="0.75" header="0.3" footer="0.3"/>
  <pageSetup paperSize="9" orientation="portrait" horizontalDpi="300" verticalDpi="300" r:id="rId1"/>
  <ignoredErrors>
    <ignoredError sqref="E103 E83 L53 L37 E37 L146 E146" formula="1"/>
    <ignoredError sqref="S170 S26 S76 S118 S161 S202 S208 S236 S265 T248:T249 R54:T54 R146 R133:T133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I8" sqref="I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54"/>
      <c r="B1" s="154"/>
      <c r="C1" s="154"/>
      <c r="D1" s="154"/>
      <c r="F1" s="15"/>
      <c r="G1" s="15"/>
      <c r="H1" s="20"/>
    </row>
    <row r="2" spans="1:8" ht="27.6">
      <c r="A2" s="191" t="s">
        <v>312</v>
      </c>
      <c r="B2" s="192" t="s">
        <v>337</v>
      </c>
      <c r="C2" s="192" t="s">
        <v>343</v>
      </c>
      <c r="D2" s="193"/>
      <c r="F2" s="15"/>
      <c r="G2" s="15"/>
      <c r="H2" s="20"/>
    </row>
    <row r="3" spans="1:8">
      <c r="A3" s="194" t="s">
        <v>17</v>
      </c>
      <c r="B3" s="195">
        <f t="shared" ref="B3:C10" si="0">B13</f>
        <v>170.73660296784752</v>
      </c>
      <c r="C3" s="195">
        <f t="shared" si="0"/>
        <v>176.15346559620389</v>
      </c>
      <c r="D3" s="193"/>
      <c r="F3" s="15"/>
      <c r="G3" s="15"/>
      <c r="H3" s="20"/>
    </row>
    <row r="4" spans="1:8" ht="15.6" customHeight="1">
      <c r="A4" s="191" t="s">
        <v>55</v>
      </c>
      <c r="B4" s="196">
        <f t="shared" si="0"/>
        <v>5448.3798188498949</v>
      </c>
      <c r="C4" s="196">
        <f t="shared" si="0"/>
        <v>5577.3814956164315</v>
      </c>
      <c r="D4" s="193"/>
      <c r="F4" s="15"/>
      <c r="G4" s="15"/>
      <c r="H4" s="20"/>
    </row>
    <row r="5" spans="1:8" ht="16.2" customHeight="1">
      <c r="A5" s="191" t="s">
        <v>313</v>
      </c>
      <c r="B5" s="195">
        <f t="shared" si="0"/>
        <v>241.16882472306895</v>
      </c>
      <c r="C5" s="195">
        <f t="shared" si="0"/>
        <v>240.22816118521439</v>
      </c>
      <c r="D5" s="193"/>
      <c r="F5" s="15"/>
      <c r="G5" s="15"/>
      <c r="H5" s="20"/>
    </row>
    <row r="6" spans="1:8">
      <c r="A6" s="191" t="s">
        <v>172</v>
      </c>
      <c r="B6" s="196">
        <f t="shared" si="0"/>
        <v>1836.8396223735267</v>
      </c>
      <c r="C6" s="196">
        <f t="shared" si="0"/>
        <v>1846.4147621201339</v>
      </c>
      <c r="D6" s="193"/>
      <c r="F6" s="15"/>
      <c r="G6" s="15"/>
      <c r="H6" s="20"/>
    </row>
    <row r="7" spans="1:8">
      <c r="A7" s="191" t="s">
        <v>314</v>
      </c>
      <c r="B7" s="195">
        <f t="shared" si="0"/>
        <v>493.58450031952657</v>
      </c>
      <c r="C7" s="195">
        <f t="shared" si="0"/>
        <v>502.0594085716325</v>
      </c>
      <c r="D7" s="193"/>
      <c r="F7" s="15"/>
      <c r="G7" s="15"/>
      <c r="H7" s="20"/>
    </row>
    <row r="8" spans="1:8">
      <c r="A8" s="191" t="s">
        <v>217</v>
      </c>
      <c r="B8" s="197">
        <f t="shared" si="0"/>
        <v>122.32089075434762</v>
      </c>
      <c r="C8" s="197">
        <f t="shared" si="0"/>
        <v>121.95004880784406</v>
      </c>
      <c r="D8" s="193"/>
      <c r="F8" s="15"/>
      <c r="G8" s="15"/>
      <c r="H8" s="20"/>
    </row>
    <row r="9" spans="1:8">
      <c r="A9" s="191" t="s">
        <v>249</v>
      </c>
      <c r="B9" s="195">
        <f t="shared" si="0"/>
        <v>14.93958576967</v>
      </c>
      <c r="C9" s="195">
        <f t="shared" si="0"/>
        <v>15.037578574939641</v>
      </c>
      <c r="D9" s="193"/>
      <c r="F9" s="15"/>
      <c r="G9" s="15"/>
      <c r="H9" s="20"/>
    </row>
    <row r="10" spans="1:8">
      <c r="A10" s="191" t="s">
        <v>315</v>
      </c>
      <c r="B10" s="195">
        <f t="shared" si="0"/>
        <v>112.58015701257769</v>
      </c>
      <c r="C10" s="195">
        <f t="shared" si="0"/>
        <v>114.55199515056964</v>
      </c>
      <c r="D10" s="193"/>
      <c r="F10" s="15"/>
      <c r="G10" s="15"/>
      <c r="H10" s="20"/>
    </row>
    <row r="11" spans="1:8">
      <c r="A11" s="191" t="s">
        <v>282</v>
      </c>
      <c r="B11" s="195">
        <f>B21</f>
        <v>31.122132963085694</v>
      </c>
      <c r="C11" s="195">
        <f>C21</f>
        <v>31.240648592305444</v>
      </c>
      <c r="D11" s="193"/>
      <c r="F11" s="15"/>
      <c r="G11" s="15"/>
      <c r="H11" s="20"/>
    </row>
    <row r="12" spans="1:8">
      <c r="A12" s="154"/>
      <c r="B12" s="154"/>
      <c r="C12" s="154"/>
      <c r="D12" s="154"/>
      <c r="F12" s="15"/>
      <c r="G12" s="15"/>
      <c r="H12" s="20"/>
    </row>
    <row r="13" spans="1:8">
      <c r="A13" s="198" t="s">
        <v>17</v>
      </c>
      <c r="B13" s="155">
        <f>'Weekly Valuation'!D26/1000000000</f>
        <v>170.73660296784752</v>
      </c>
      <c r="C13" s="156">
        <f>'Weekly Valuation'!K26/1000000000</f>
        <v>176.15346559620389</v>
      </c>
      <c r="D13" s="154"/>
      <c r="F13" s="15"/>
      <c r="G13" s="15"/>
      <c r="H13" s="20"/>
    </row>
    <row r="14" spans="1:8">
      <c r="A14" s="157" t="s">
        <v>55</v>
      </c>
      <c r="B14" s="155">
        <f>'Weekly Valuation'!D76/1000000000</f>
        <v>5448.3798188498949</v>
      </c>
      <c r="C14" s="199">
        <f>'Weekly Valuation'!K76/1000000000</f>
        <v>5577.3814956164315</v>
      </c>
      <c r="D14" s="154"/>
      <c r="F14" s="15"/>
      <c r="G14" s="15"/>
      <c r="H14" s="20"/>
    </row>
    <row r="15" spans="1:8">
      <c r="A15" s="157" t="s">
        <v>313</v>
      </c>
      <c r="B15" s="155">
        <f>'Weekly Valuation'!D118/1000000000</f>
        <v>241.16882472306895</v>
      </c>
      <c r="C15" s="156">
        <f>'Weekly Valuation'!K118/1000000000</f>
        <v>240.22816118521439</v>
      </c>
      <c r="D15" s="154"/>
      <c r="F15" s="15"/>
      <c r="G15" s="15"/>
      <c r="H15" s="20"/>
    </row>
    <row r="16" spans="1:8">
      <c r="A16" s="157" t="s">
        <v>172</v>
      </c>
      <c r="B16" s="155">
        <f>'Weekly Valuation'!D161/1000000000</f>
        <v>1836.8396223735267</v>
      </c>
      <c r="C16" s="199">
        <f>'Weekly Valuation'!K161/1000000000</f>
        <v>1846.4147621201339</v>
      </c>
      <c r="D16" s="154"/>
      <c r="F16" s="15"/>
      <c r="G16" s="15"/>
      <c r="H16" s="20"/>
    </row>
    <row r="17" spans="1:8">
      <c r="A17" s="157" t="s">
        <v>314</v>
      </c>
      <c r="B17" s="155">
        <f>'Weekly Valuation'!D170/1000000000</f>
        <v>493.58450031952657</v>
      </c>
      <c r="C17" s="156">
        <f>'Weekly Valuation'!K170/1000000000</f>
        <v>502.0594085716325</v>
      </c>
      <c r="D17" s="154"/>
      <c r="F17" s="15"/>
      <c r="G17" s="15"/>
      <c r="H17" s="20"/>
    </row>
    <row r="18" spans="1:8">
      <c r="A18" s="157" t="s">
        <v>217</v>
      </c>
      <c r="B18" s="155">
        <f>'Weekly Valuation'!D202/1000000000</f>
        <v>122.32089075434762</v>
      </c>
      <c r="C18" s="200">
        <f>'Weekly Valuation'!K202/1000000000</f>
        <v>121.95004880784406</v>
      </c>
      <c r="D18" s="154"/>
      <c r="F18" s="15"/>
      <c r="G18" s="15"/>
      <c r="H18" s="20"/>
    </row>
    <row r="19" spans="1:8">
      <c r="A19" s="157" t="s">
        <v>249</v>
      </c>
      <c r="B19" s="155">
        <f>'Weekly Valuation'!D208/1000000000</f>
        <v>14.93958576967</v>
      </c>
      <c r="C19" s="156">
        <f>'Weekly Valuation'!K208/1000000000</f>
        <v>15.037578574939641</v>
      </c>
      <c r="D19" s="154"/>
      <c r="F19" s="15"/>
      <c r="G19" s="15"/>
      <c r="H19" s="20"/>
    </row>
    <row r="20" spans="1:8">
      <c r="A20" s="157" t="s">
        <v>315</v>
      </c>
      <c r="B20" s="155">
        <f>'Weekly Valuation'!D236/1000000000</f>
        <v>112.58015701257769</v>
      </c>
      <c r="C20" s="156">
        <f>'Weekly Valuation'!K236/1000000000</f>
        <v>114.55199515056964</v>
      </c>
      <c r="D20" s="154"/>
      <c r="F20" s="15"/>
      <c r="G20" s="15"/>
      <c r="H20" s="20"/>
    </row>
    <row r="21" spans="1:8">
      <c r="A21" s="157" t="s">
        <v>282</v>
      </c>
      <c r="B21" s="155">
        <f>'Weekly Valuation'!D245/1000000000</f>
        <v>31.122132963085694</v>
      </c>
      <c r="C21" s="156">
        <f>'Weekly Valuation'!K245/1000000000</f>
        <v>31.240648592305444</v>
      </c>
      <c r="D21" s="154"/>
      <c r="F21" s="15"/>
      <c r="G21" s="15"/>
      <c r="H21" s="20"/>
    </row>
    <row r="22" spans="1:8">
      <c r="A22" s="158"/>
      <c r="B22" s="154"/>
      <c r="C22" s="21"/>
      <c r="D22" s="154"/>
      <c r="F22" s="15"/>
      <c r="G22" s="15"/>
      <c r="H22" s="20"/>
    </row>
    <row r="23" spans="1:8">
      <c r="A23" s="22"/>
      <c r="B23" s="21"/>
      <c r="C23" s="159"/>
      <c r="F23" s="15"/>
      <c r="G23" s="15"/>
      <c r="H23" s="20"/>
    </row>
    <row r="24" spans="1:8">
      <c r="A24" s="22"/>
      <c r="B24" s="21"/>
      <c r="C24" s="21"/>
      <c r="F24" s="15"/>
      <c r="G24" s="20"/>
      <c r="H24" s="20"/>
    </row>
    <row r="25" spans="1:8">
      <c r="A25" s="22"/>
      <c r="B25" s="21"/>
      <c r="C25" s="21"/>
      <c r="F25" s="15"/>
      <c r="G25" s="20"/>
      <c r="H25" s="20"/>
    </row>
    <row r="26" spans="1:8">
      <c r="A26" s="22"/>
      <c r="B26" s="21"/>
      <c r="C26" s="21"/>
      <c r="F26" s="15"/>
      <c r="G26" s="20"/>
      <c r="H26" s="20"/>
    </row>
    <row r="27" spans="1:8">
      <c r="A27" s="151"/>
      <c r="B27" s="152"/>
      <c r="C27" s="152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0EyInYqnQi/dIzCWizMnrbclemvDAC0Po0a/Ukb+yLApQIqxFZqvmOQ0siBa0iOs72Zk8zlsxwVroEn+NM9drw==" saltValue="xphq2xPKNsU22xifAWyJM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K15" sqref="K15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7" t="s">
        <v>312</v>
      </c>
      <c r="B1" s="188">
        <v>46114</v>
      </c>
      <c r="C1" s="15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58" t="s">
        <v>249</v>
      </c>
      <c r="B2" s="21">
        <f>'Weekly Valuation'!K208</f>
        <v>15037578574.93964</v>
      </c>
      <c r="C2" s="15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58" t="s">
        <v>282</v>
      </c>
      <c r="B3" s="21">
        <f>'Weekly Valuation'!K245</f>
        <v>31240648592.305443</v>
      </c>
      <c r="C3" s="15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58" t="s">
        <v>315</v>
      </c>
      <c r="B4" s="21">
        <f>'Weekly Valuation'!K236</f>
        <v>114551995150.56964</v>
      </c>
      <c r="C4" s="154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58" t="s">
        <v>217</v>
      </c>
      <c r="B5" s="159">
        <f>'Weekly Valuation'!K202</f>
        <v>121950048807.84406</v>
      </c>
      <c r="C5" s="15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58" t="s">
        <v>17</v>
      </c>
      <c r="B6" s="21">
        <f>'Weekly Valuation'!K26</f>
        <v>176153465596.20389</v>
      </c>
      <c r="C6" s="15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58" t="s">
        <v>313</v>
      </c>
      <c r="B7" s="21">
        <f>'Weekly Valuation'!K118</f>
        <v>240228161185.21439</v>
      </c>
      <c r="C7" s="15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58" t="s">
        <v>314</v>
      </c>
      <c r="B8" s="21">
        <f>'Weekly Valuation'!K170</f>
        <v>502059408571.63251</v>
      </c>
      <c r="C8" s="15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58" t="s">
        <v>172</v>
      </c>
      <c r="B9" s="189">
        <f>'Weekly Valuation'!K161</f>
        <v>1846414762120.1338</v>
      </c>
      <c r="C9" s="15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58" t="s">
        <v>55</v>
      </c>
      <c r="B10" s="189">
        <f>'Weekly Valuation'!K76</f>
        <v>5577381495616.4316</v>
      </c>
      <c r="C10" s="15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54"/>
      <c r="B11" s="154"/>
      <c r="C11" s="15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58"/>
      <c r="B12" s="190"/>
      <c r="C12" s="15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69"/>
      <c r="B13" s="168"/>
      <c r="C13" s="16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52"/>
      <c r="B14" s="152"/>
      <c r="C14" s="16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52"/>
      <c r="B15" s="152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51"/>
      <c r="B16" s="17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52"/>
      <c r="B17" s="152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52"/>
      <c r="B18" s="152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53"/>
      <c r="B19" s="15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53"/>
      <c r="B20" s="15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53"/>
      <c r="B21" s="15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51"/>
      <c r="B22" s="15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53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23"/>
    </row>
    <row r="34" spans="1:17" ht="15" customHeight="1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23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BUvkF/VlGvvhtaY11EkX1/pjC5vfvZ9x89WRn+/sCt4mUJbDOCBQvXRTvMYelimK7NqwZQv50we4+zYiwOAfTw==" saltValue="nji2Ruz4GoMbAsIHA5UHZ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8" sqref="G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0"/>
    </row>
    <row r="2" spans="1:15">
      <c r="A2" s="182" t="s">
        <v>316</v>
      </c>
      <c r="B2" s="183">
        <v>46066</v>
      </c>
      <c r="C2" s="183">
        <v>46073</v>
      </c>
      <c r="D2" s="183">
        <v>46080</v>
      </c>
      <c r="E2" s="183">
        <v>46087</v>
      </c>
      <c r="F2" s="183">
        <v>46094</v>
      </c>
      <c r="G2" s="183">
        <v>46099</v>
      </c>
      <c r="H2" s="183">
        <v>46108</v>
      </c>
      <c r="I2" s="183">
        <v>46114</v>
      </c>
      <c r="J2" s="20"/>
      <c r="K2" s="20"/>
      <c r="L2" s="15"/>
      <c r="M2" s="15"/>
      <c r="N2" s="15"/>
      <c r="O2" s="150"/>
    </row>
    <row r="3" spans="1:15">
      <c r="A3" s="182" t="s">
        <v>317</v>
      </c>
      <c r="B3" s="184">
        <f t="shared" ref="B3:I3" si="0">B4</f>
        <v>8176.5089785345672</v>
      </c>
      <c r="C3" s="184">
        <f t="shared" si="0"/>
        <v>8210.0158947677137</v>
      </c>
      <c r="D3" s="184">
        <f t="shared" si="0"/>
        <v>8244.4012797571122</v>
      </c>
      <c r="E3" s="184">
        <f t="shared" si="0"/>
        <v>8344.3102028916874</v>
      </c>
      <c r="F3" s="184">
        <f t="shared" si="0"/>
        <v>8362.1373987365132</v>
      </c>
      <c r="G3" s="184">
        <f t="shared" si="0"/>
        <v>8418.7881429582667</v>
      </c>
      <c r="H3" s="184">
        <f t="shared" si="0"/>
        <v>8471.6789006319086</v>
      </c>
      <c r="I3" s="184">
        <f t="shared" si="0"/>
        <v>8625.0175642152753</v>
      </c>
      <c r="J3" s="20"/>
      <c r="K3" s="20"/>
      <c r="L3" s="15"/>
      <c r="M3" s="15"/>
      <c r="N3" s="15"/>
      <c r="O3" s="150"/>
    </row>
    <row r="4" spans="1:15">
      <c r="A4" s="20"/>
      <c r="B4" s="185">
        <f>'NAV Trend'!C11/1000000000</f>
        <v>8176.5089785345672</v>
      </c>
      <c r="C4" s="185">
        <f>'NAV Trend'!D11/1000000000</f>
        <v>8210.0158947677137</v>
      </c>
      <c r="D4" s="185">
        <f>'NAV Trend'!E11/1000000000</f>
        <v>8244.4012797571122</v>
      </c>
      <c r="E4" s="185">
        <f>'NAV Trend'!F11/1000000000</f>
        <v>8344.3102028916874</v>
      </c>
      <c r="F4" s="185">
        <f>'NAV Trend'!G11/1000000000</f>
        <v>8362.1373987365132</v>
      </c>
      <c r="G4" s="185">
        <f>'NAV Trend'!H11/1000000000</f>
        <v>8418.7881429582667</v>
      </c>
      <c r="H4" s="186">
        <f>'NAV Trend'!I11/1000000000</f>
        <v>8471.6789006319086</v>
      </c>
      <c r="I4" s="186">
        <f>'NAV Trend'!J11/1000000000</f>
        <v>8625.0175642152753</v>
      </c>
      <c r="J4" s="20"/>
      <c r="K4" s="20"/>
      <c r="L4" s="15"/>
      <c r="M4" s="15"/>
      <c r="N4" s="15"/>
      <c r="O4" s="150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0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50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0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0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0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0"/>
      <c r="O10" s="150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0"/>
      <c r="O11" s="150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0"/>
      <c r="O12" s="150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0"/>
      <c r="O13" s="150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0"/>
      <c r="O14" s="150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0"/>
      <c r="O15" s="150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0"/>
      <c r="N16" s="150"/>
      <c r="O16" s="150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0"/>
      <c r="N17" s="150"/>
      <c r="O17" s="150"/>
    </row>
    <row r="18" spans="1:15"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</row>
    <row r="19" spans="1:15"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</row>
    <row r="20" spans="1:15"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</row>
  </sheetData>
  <sheetProtection algorithmName="SHA-512" hashValue="EDIPsW23MvZ4X5+h6VkwJ0LwkJbyU+Rt78Ey2ee4hPwnUMst1h/UPODBzbr7DM2AhF5Ryd8KVxrbtMBMaMrxzA==" saltValue="fxTwYcZn4aJ1Ov+HMY6da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8" sqref="G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20"/>
      <c r="O1" s="20"/>
      <c r="P1" s="141"/>
    </row>
    <row r="2" spans="1:16">
      <c r="A2" s="182" t="s">
        <v>316</v>
      </c>
      <c r="B2" s="183">
        <v>46066</v>
      </c>
      <c r="C2" s="183">
        <v>46073</v>
      </c>
      <c r="D2" s="183">
        <v>46080</v>
      </c>
      <c r="E2" s="183">
        <v>46087</v>
      </c>
      <c r="F2" s="183">
        <v>46094</v>
      </c>
      <c r="G2" s="183">
        <v>46099</v>
      </c>
      <c r="H2" s="183">
        <v>46108</v>
      </c>
      <c r="I2" s="183">
        <v>46114</v>
      </c>
      <c r="J2" s="20"/>
      <c r="K2" s="15"/>
      <c r="L2" s="15"/>
      <c r="M2" s="15"/>
      <c r="N2" s="20"/>
      <c r="O2" s="20"/>
      <c r="P2" s="141"/>
    </row>
    <row r="3" spans="1:16">
      <c r="A3" s="182" t="s">
        <v>318</v>
      </c>
      <c r="B3" s="184">
        <f t="shared" ref="B3:I3" si="0">B4</f>
        <v>21.462872515840001</v>
      </c>
      <c r="C3" s="184">
        <f t="shared" si="0"/>
        <v>23.060251227759998</v>
      </c>
      <c r="D3" s="184">
        <f t="shared" si="0"/>
        <v>23.429388175410001</v>
      </c>
      <c r="E3" s="184">
        <f t="shared" si="0"/>
        <v>23.933072983509998</v>
      </c>
      <c r="F3" s="184">
        <f t="shared" si="0"/>
        <v>24.024073678480001</v>
      </c>
      <c r="G3" s="184">
        <f t="shared" si="0"/>
        <v>24.06611184246</v>
      </c>
      <c r="H3" s="184">
        <f t="shared" si="0"/>
        <v>24.226803601379999</v>
      </c>
      <c r="I3" s="184">
        <f t="shared" si="0"/>
        <v>24.882508960419997</v>
      </c>
      <c r="J3" s="20"/>
      <c r="K3" s="15"/>
      <c r="L3" s="15"/>
      <c r="M3" s="15"/>
      <c r="N3" s="20"/>
      <c r="O3" s="20"/>
      <c r="P3" s="141"/>
    </row>
    <row r="4" spans="1:16">
      <c r="A4" s="20"/>
      <c r="B4" s="185">
        <f>'NAV Trend'!C17/1000000000</f>
        <v>21.462872515840001</v>
      </c>
      <c r="C4" s="185">
        <f>'NAV Trend'!D17/1000000000</f>
        <v>23.060251227759998</v>
      </c>
      <c r="D4" s="185">
        <f>'NAV Trend'!E17/1000000000</f>
        <v>23.429388175410001</v>
      </c>
      <c r="E4" s="185">
        <f>'NAV Trend'!F17/1000000000</f>
        <v>23.933072983509998</v>
      </c>
      <c r="F4" s="185">
        <f>'NAV Trend'!G17/1000000000</f>
        <v>24.024073678480001</v>
      </c>
      <c r="G4" s="185">
        <f>'NAV Trend'!H17/1000000000</f>
        <v>24.06611184246</v>
      </c>
      <c r="H4" s="185">
        <f>'NAV Trend'!I17/1000000000</f>
        <v>24.226803601379999</v>
      </c>
      <c r="I4" s="186">
        <f>'NAV Trend'!J17/1000000000</f>
        <v>24.882508960419997</v>
      </c>
      <c r="J4" s="20"/>
      <c r="K4" s="15"/>
      <c r="L4" s="15"/>
      <c r="M4" s="15"/>
      <c r="N4" s="20"/>
      <c r="O4" s="20"/>
      <c r="P4" s="141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20"/>
      <c r="O5" s="20"/>
      <c r="P5" s="141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9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9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9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9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9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9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9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9"/>
    </row>
    <row r="18" spans="1:15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spans="1:15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spans="1:15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</sheetData>
  <sheetProtection algorithmName="SHA-512" hashValue="olAHBouoGIv8fSd7jtSe/fP4osETiRjwG6/fbtNuWGObg36pQQLD+5aVMevQ1K8WsWREjZ2IK+Nv9ky2BlT3lw==" saltValue="k7bbklhrH8VZuJfyJNlhy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312</v>
      </c>
      <c r="B1" s="2">
        <v>46059</v>
      </c>
      <c r="C1" s="2">
        <v>46066</v>
      </c>
      <c r="D1" s="2">
        <v>46073</v>
      </c>
      <c r="E1" s="2">
        <v>46080</v>
      </c>
      <c r="F1" s="2">
        <v>46087</v>
      </c>
      <c r="G1" s="2">
        <v>46094</v>
      </c>
      <c r="H1" s="2">
        <v>46099</v>
      </c>
      <c r="I1" s="2">
        <v>46108</v>
      </c>
      <c r="J1" s="2">
        <v>46114</v>
      </c>
    </row>
    <row r="2" spans="1:11">
      <c r="A2" s="3" t="s">
        <v>17</v>
      </c>
      <c r="B2" s="4">
        <v>106635929371.092</v>
      </c>
      <c r="C2" s="4">
        <v>119849143942.72949</v>
      </c>
      <c r="D2" s="4">
        <v>139857154415.89801</v>
      </c>
      <c r="E2" s="4">
        <v>148191654431.43802</v>
      </c>
      <c r="F2" s="4">
        <v>159211652092.74878</v>
      </c>
      <c r="G2" s="4">
        <v>163538120041.90128</v>
      </c>
      <c r="H2" s="4">
        <v>167362604727.21579</v>
      </c>
      <c r="I2" s="4">
        <v>170736602967.8475</v>
      </c>
      <c r="J2" s="4">
        <v>176153465596.20389</v>
      </c>
    </row>
    <row r="3" spans="1:11">
      <c r="A3" s="3" t="s">
        <v>55</v>
      </c>
      <c r="B3" s="4">
        <v>5200745752031.0068</v>
      </c>
      <c r="C3" s="4">
        <v>5255316816008.0068</v>
      </c>
      <c r="D3" s="4">
        <v>5272968475352.1689</v>
      </c>
      <c r="E3" s="4">
        <v>5290967255505.7646</v>
      </c>
      <c r="F3" s="4">
        <v>5336290181627.8701</v>
      </c>
      <c r="G3" s="4">
        <v>5391387940295.4883</v>
      </c>
      <c r="H3" s="4">
        <v>5463853896039.3164</v>
      </c>
      <c r="I3" s="4">
        <v>5448379818849.8945</v>
      </c>
      <c r="J3" s="4">
        <v>5577381495616.4316</v>
      </c>
    </row>
    <row r="4" spans="1:11">
      <c r="A4" s="3" t="s">
        <v>313</v>
      </c>
      <c r="B4" s="5">
        <v>242097642886.62512</v>
      </c>
      <c r="C4" s="5">
        <v>244647170303.8353</v>
      </c>
      <c r="D4" s="5">
        <v>244284723034.70218</v>
      </c>
      <c r="E4" s="5">
        <v>246072284820.23425</v>
      </c>
      <c r="F4" s="5">
        <v>242895635845.56708</v>
      </c>
      <c r="G4" s="5">
        <v>242725393719.77261</v>
      </c>
      <c r="H4" s="5">
        <v>241723605867.83209</v>
      </c>
      <c r="I4" s="5">
        <v>241168824723.06894</v>
      </c>
      <c r="J4" s="5">
        <v>240228161185.21439</v>
      </c>
    </row>
    <row r="5" spans="1:11">
      <c r="A5" s="3" t="s">
        <v>172</v>
      </c>
      <c r="B5" s="4">
        <v>1855852687433.3228</v>
      </c>
      <c r="C5" s="4">
        <v>1840472590032.0491</v>
      </c>
      <c r="D5" s="4">
        <v>1821080718904.251</v>
      </c>
      <c r="E5" s="4">
        <v>1833915688463.2009</v>
      </c>
      <c r="F5" s="4">
        <v>1871197469152.2844</v>
      </c>
      <c r="G5" s="4">
        <v>1825820397268.7412</v>
      </c>
      <c r="H5" s="4">
        <v>1804490357211.8433</v>
      </c>
      <c r="I5" s="4">
        <v>1836846387271.8889</v>
      </c>
      <c r="J5" s="4">
        <v>1846414762120.1338</v>
      </c>
    </row>
    <row r="6" spans="1:11">
      <c r="A6" s="3" t="s">
        <v>314</v>
      </c>
      <c r="B6" s="5">
        <v>504339412317.29657</v>
      </c>
      <c r="C6" s="5">
        <v>505370559321.13531</v>
      </c>
      <c r="D6" s="5">
        <v>505882627163.35651</v>
      </c>
      <c r="E6" s="5">
        <v>491072409821.2135</v>
      </c>
      <c r="F6" s="5">
        <v>492232053531.7984</v>
      </c>
      <c r="G6" s="5">
        <v>492695374746.03168</v>
      </c>
      <c r="H6" s="5">
        <v>493149888469.67896</v>
      </c>
      <c r="I6" s="5">
        <v>493584500319.52655</v>
      </c>
      <c r="J6" s="5">
        <v>502059408571.63251</v>
      </c>
    </row>
    <row r="7" spans="1:11">
      <c r="A7" s="3" t="s">
        <v>217</v>
      </c>
      <c r="B7" s="7">
        <v>97403173769.586121</v>
      </c>
      <c r="C7" s="7">
        <v>104178871055.63953</v>
      </c>
      <c r="D7" s="7">
        <v>112022899742.21411</v>
      </c>
      <c r="E7" s="7">
        <v>115751455134.97435</v>
      </c>
      <c r="F7" s="7">
        <v>119284434936.1797</v>
      </c>
      <c r="G7" s="7">
        <v>120029792761.26135</v>
      </c>
      <c r="H7" s="7">
        <v>121922044985.49959</v>
      </c>
      <c r="I7" s="7">
        <v>122320890754.34761</v>
      </c>
      <c r="J7" s="7">
        <v>121950048807.84406</v>
      </c>
    </row>
    <row r="8" spans="1:11">
      <c r="A8" s="3" t="s">
        <v>249</v>
      </c>
      <c r="B8" s="6">
        <v>10809295044.16016</v>
      </c>
      <c r="C8" s="6">
        <v>12237483860.206491</v>
      </c>
      <c r="D8" s="6">
        <v>13490483321.859869</v>
      </c>
      <c r="E8" s="6">
        <v>14050360664.833527</v>
      </c>
      <c r="F8" s="6">
        <v>14784118823.610147</v>
      </c>
      <c r="G8" s="6">
        <v>14898817340.940001</v>
      </c>
      <c r="H8" s="6">
        <v>14938804220.809999</v>
      </c>
      <c r="I8" s="6">
        <v>14939585769.67</v>
      </c>
      <c r="J8" s="6">
        <v>15037578574.93964</v>
      </c>
    </row>
    <row r="9" spans="1:11">
      <c r="A9" s="3" t="s">
        <v>315</v>
      </c>
      <c r="B9" s="6">
        <v>89713440000.541626</v>
      </c>
      <c r="C9" s="6">
        <v>94436344010.965378</v>
      </c>
      <c r="D9" s="6">
        <v>100428812833.26227</v>
      </c>
      <c r="E9" s="6">
        <v>104380170915.45007</v>
      </c>
      <c r="F9" s="6">
        <v>108414656881.62793</v>
      </c>
      <c r="G9" s="6">
        <v>111041562562.37579</v>
      </c>
      <c r="H9" s="6">
        <v>111346941436.07184</v>
      </c>
      <c r="I9" s="6">
        <v>112580157012.57768</v>
      </c>
      <c r="J9" s="6">
        <v>114551995150.56964</v>
      </c>
    </row>
    <row r="10" spans="1:11">
      <c r="A10" s="3" t="s">
        <v>282</v>
      </c>
      <c r="B10" s="6">
        <v>19490186623.385223</v>
      </c>
      <c r="C10" s="6">
        <v>20735268519.028137</v>
      </c>
      <c r="D10" s="6">
        <v>19639536605.41069</v>
      </c>
      <c r="E10" s="6">
        <v>19763627528.168037</v>
      </c>
      <c r="F10" s="6">
        <v>31180088808.191078</v>
      </c>
      <c r="G10" s="6">
        <v>30929893185.840004</v>
      </c>
      <c r="H10" s="6">
        <v>30888527279.779999</v>
      </c>
      <c r="I10" s="6">
        <v>31122132963.085693</v>
      </c>
      <c r="J10" s="6">
        <v>31240648592.305443</v>
      </c>
    </row>
    <row r="11" spans="1:11" ht="15.6">
      <c r="A11" s="8" t="s">
        <v>319</v>
      </c>
      <c r="B11" s="9">
        <f t="shared" ref="B11:H11" si="0">SUM(B2:B9)</f>
        <v>8107597332853.6318</v>
      </c>
      <c r="C11" s="9">
        <f t="shared" si="0"/>
        <v>8176508978534.5674</v>
      </c>
      <c r="D11" s="9">
        <f t="shared" si="0"/>
        <v>8210015894767.7139</v>
      </c>
      <c r="E11" s="9">
        <f t="shared" si="0"/>
        <v>8244401279757.1113</v>
      </c>
      <c r="F11" s="9">
        <f t="shared" si="0"/>
        <v>8344310202891.6875</v>
      </c>
      <c r="G11" s="9">
        <f t="shared" si="0"/>
        <v>8362137398736.5127</v>
      </c>
      <c r="H11" s="9">
        <f t="shared" si="0"/>
        <v>8418788142958.2676</v>
      </c>
      <c r="I11" s="9">
        <f>SUM(I2:I10)</f>
        <v>8471678900631.9082</v>
      </c>
      <c r="J11" s="9">
        <f>SUM(J2:J10)</f>
        <v>8625017564215.2754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320</v>
      </c>
      <c r="B13" s="138" t="s">
        <v>321</v>
      </c>
      <c r="C13" s="13">
        <f>(B11+C11)/2</f>
        <v>8142053155694.0996</v>
      </c>
      <c r="D13" s="14">
        <f t="shared" ref="D13:J13" si="1">(C11+D11)/2</f>
        <v>8193262436651.1406</v>
      </c>
      <c r="E13" s="14">
        <f t="shared" si="1"/>
        <v>8227208587262.4121</v>
      </c>
      <c r="F13" s="14">
        <f t="shared" si="1"/>
        <v>8294355741324.3994</v>
      </c>
      <c r="G13" s="14">
        <f t="shared" si="1"/>
        <v>8353223800814.0996</v>
      </c>
      <c r="H13" s="14">
        <f t="shared" si="1"/>
        <v>8390462770847.3906</v>
      </c>
      <c r="I13" s="14">
        <f t="shared" si="1"/>
        <v>8445233521795.0879</v>
      </c>
      <c r="J13" s="14">
        <f t="shared" si="1"/>
        <v>8548348232423.5918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46059</v>
      </c>
      <c r="C16" s="2">
        <v>46066</v>
      </c>
      <c r="D16" s="2">
        <v>46073</v>
      </c>
      <c r="E16" s="2">
        <v>46080</v>
      </c>
      <c r="F16" s="2">
        <v>46087</v>
      </c>
      <c r="G16" s="2">
        <v>46094</v>
      </c>
      <c r="H16" s="2">
        <v>46099</v>
      </c>
      <c r="I16" s="2">
        <v>46108</v>
      </c>
      <c r="J16" s="2">
        <v>46114</v>
      </c>
      <c r="K16" s="15"/>
    </row>
    <row r="17" spans="1:11">
      <c r="A17" s="16" t="s">
        <v>322</v>
      </c>
      <c r="B17" s="17">
        <v>20411739072.279999</v>
      </c>
      <c r="C17" s="17">
        <v>21462872515.84</v>
      </c>
      <c r="D17" s="17">
        <v>23060251227.759998</v>
      </c>
      <c r="E17" s="17">
        <v>23429388175.41</v>
      </c>
      <c r="F17" s="17">
        <v>23933072983.509998</v>
      </c>
      <c r="G17" s="17">
        <v>24024073678.48</v>
      </c>
      <c r="H17" s="17">
        <v>24066111842.459999</v>
      </c>
      <c r="I17" s="17">
        <v>24226803601.379997</v>
      </c>
      <c r="J17" s="17">
        <v>24882508960.419998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UhnHukVr9N79ZyiSbvG0exQvZvJnYu6XmJl74nEmExedaqPfAVEHcOrLgndgNsTxu6XZL3EeggOxYjFZ85xZAA==" saltValue="PYMmychmbm9RQEqLEaQ0l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2026-04-10T16:59:58Z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