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 Update 2026\"/>
    </mc:Choice>
  </mc:AlternateContent>
  <bookViews>
    <workbookView xWindow="2760" yWindow="2760" windowWidth="19200" windowHeight="9972"/>
  </bookViews>
  <sheets>
    <sheet name="February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February!$K$66</definedName>
    <definedName name="Component">"Group"</definedName>
    <definedName name="FX_RATE">February!$C$242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L235" i="7" l="1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38" i="7"/>
  <c r="M238" i="7"/>
  <c r="N238" i="7"/>
  <c r="O238" i="7"/>
  <c r="P238" i="7"/>
  <c r="Q238" i="7"/>
  <c r="J235" i="7"/>
  <c r="J236" i="7"/>
  <c r="J237" i="7"/>
  <c r="J238" i="7"/>
  <c r="J227" i="7"/>
  <c r="J228" i="7"/>
  <c r="J229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29" i="7"/>
  <c r="M229" i="7"/>
  <c r="N229" i="7"/>
  <c r="O229" i="7"/>
  <c r="P229" i="7"/>
  <c r="Q229" i="7"/>
  <c r="M211" i="7"/>
  <c r="N211" i="7"/>
  <c r="O211" i="7"/>
  <c r="P211" i="7"/>
  <c r="Q211" i="7"/>
  <c r="M212" i="7"/>
  <c r="N212" i="7"/>
  <c r="O212" i="7"/>
  <c r="P212" i="7"/>
  <c r="Q212" i="7"/>
  <c r="M213" i="7"/>
  <c r="N213" i="7"/>
  <c r="O213" i="7"/>
  <c r="P213" i="7"/>
  <c r="Q213" i="7"/>
  <c r="M214" i="7"/>
  <c r="N214" i="7"/>
  <c r="O214" i="7"/>
  <c r="P214" i="7"/>
  <c r="Q214" i="7"/>
  <c r="M215" i="7"/>
  <c r="N215" i="7"/>
  <c r="O215" i="7"/>
  <c r="P215" i="7"/>
  <c r="Q215" i="7"/>
  <c r="M216" i="7"/>
  <c r="N216" i="7"/>
  <c r="O216" i="7"/>
  <c r="P216" i="7"/>
  <c r="Q216" i="7"/>
  <c r="M217" i="7"/>
  <c r="N217" i="7"/>
  <c r="O217" i="7"/>
  <c r="P217" i="7"/>
  <c r="Q217" i="7"/>
  <c r="M218" i="7"/>
  <c r="N218" i="7"/>
  <c r="O218" i="7"/>
  <c r="P218" i="7"/>
  <c r="Q218" i="7"/>
  <c r="M219" i="7"/>
  <c r="N219" i="7"/>
  <c r="O219" i="7"/>
  <c r="P219" i="7"/>
  <c r="Q219" i="7"/>
  <c r="M220" i="7"/>
  <c r="N220" i="7"/>
  <c r="O220" i="7"/>
  <c r="P220" i="7"/>
  <c r="Q220" i="7"/>
  <c r="M221" i="7"/>
  <c r="N221" i="7"/>
  <c r="O221" i="7"/>
  <c r="P221" i="7"/>
  <c r="Q221" i="7"/>
  <c r="M222" i="7"/>
  <c r="N222" i="7"/>
  <c r="O222" i="7"/>
  <c r="P222" i="7"/>
  <c r="Q222" i="7"/>
  <c r="M223" i="7"/>
  <c r="N223" i="7"/>
  <c r="O223" i="7"/>
  <c r="P223" i="7"/>
  <c r="Q223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07" i="7"/>
  <c r="M207" i="7"/>
  <c r="N207" i="7"/>
  <c r="O207" i="7"/>
  <c r="P207" i="7"/>
  <c r="Q207" i="7"/>
  <c r="L201" i="7"/>
  <c r="M201" i="7"/>
  <c r="N201" i="7"/>
  <c r="O201" i="7"/>
  <c r="P201" i="7"/>
  <c r="Q201" i="7"/>
  <c r="J201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96" i="7"/>
  <c r="M196" i="7"/>
  <c r="N196" i="7"/>
  <c r="O196" i="7"/>
  <c r="P196" i="7"/>
  <c r="Q196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J160" i="7"/>
  <c r="J161" i="7"/>
  <c r="J162" i="7"/>
  <c r="J163" i="7"/>
  <c r="J164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K147" i="7" l="1"/>
  <c r="E148" i="7" l="1"/>
  <c r="S141" i="7" l="1"/>
  <c r="R141" i="7"/>
  <c r="S146" i="7"/>
  <c r="R146" i="7"/>
  <c r="G143" i="7" l="1"/>
  <c r="D143" i="7"/>
  <c r="S121" i="7" l="1"/>
  <c r="R121" i="7"/>
  <c r="K121" i="7"/>
  <c r="G121" i="7"/>
  <c r="F121" i="7"/>
  <c r="E121" i="7"/>
  <c r="D121" i="7"/>
  <c r="K145" i="7" l="1"/>
  <c r="G145" i="7"/>
  <c r="E145" i="7"/>
  <c r="D145" i="7"/>
  <c r="K139" i="7"/>
  <c r="G139" i="7"/>
  <c r="E139" i="7"/>
  <c r="D139" i="7"/>
  <c r="K142" i="7"/>
  <c r="G142" i="7"/>
  <c r="E142" i="7"/>
  <c r="D142" i="7"/>
  <c r="S132" i="7"/>
  <c r="R132" i="7"/>
  <c r="K132" i="7"/>
  <c r="G132" i="7"/>
  <c r="E132" i="7"/>
  <c r="D132" i="7"/>
  <c r="S152" i="7"/>
  <c r="R152" i="7"/>
  <c r="K152" i="7"/>
  <c r="G152" i="7"/>
  <c r="D152" i="7"/>
  <c r="E152" i="7"/>
  <c r="K146" i="7"/>
  <c r="G146" i="7"/>
  <c r="F146" i="7"/>
  <c r="E146" i="7"/>
  <c r="D146" i="7"/>
  <c r="S234" i="7"/>
  <c r="R234" i="7"/>
  <c r="K234" i="7"/>
  <c r="G234" i="7"/>
  <c r="F234" i="7"/>
  <c r="E234" i="7"/>
  <c r="D234" i="7"/>
  <c r="S120" i="7"/>
  <c r="R120" i="7"/>
  <c r="K120" i="7"/>
  <c r="G120" i="7"/>
  <c r="F120" i="7"/>
  <c r="E120" i="7"/>
  <c r="D120" i="7"/>
  <c r="S149" i="7"/>
  <c r="R149" i="7"/>
  <c r="K149" i="7"/>
  <c r="E149" i="7"/>
  <c r="D149" i="7"/>
  <c r="S134" i="7"/>
  <c r="R134" i="7"/>
  <c r="K134" i="7"/>
  <c r="G134" i="7"/>
  <c r="E134" i="7"/>
  <c r="D134" i="7"/>
  <c r="K143" i="7"/>
  <c r="E143" i="7"/>
  <c r="S123" i="7"/>
  <c r="R123" i="7"/>
  <c r="K123" i="7"/>
  <c r="G123" i="7"/>
  <c r="E123" i="7"/>
  <c r="D123" i="7"/>
  <c r="S127" i="7"/>
  <c r="R127" i="7"/>
  <c r="S236" i="7"/>
  <c r="R236" i="7"/>
  <c r="S155" i="7"/>
  <c r="R155" i="7"/>
  <c r="K155" i="7"/>
  <c r="G155" i="7"/>
  <c r="E155" i="7"/>
  <c r="D155" i="7"/>
  <c r="S154" i="7"/>
  <c r="R154" i="7"/>
  <c r="K154" i="7"/>
  <c r="G154" i="7"/>
  <c r="F154" i="7"/>
  <c r="E154" i="7"/>
  <c r="D154" i="7"/>
  <c r="S150" i="7"/>
  <c r="R150" i="7"/>
  <c r="K150" i="7"/>
  <c r="G150" i="7"/>
  <c r="E150" i="7"/>
  <c r="D150" i="7"/>
  <c r="S138" i="7"/>
  <c r="R138" i="7"/>
  <c r="K138" i="7"/>
  <c r="G138" i="7"/>
  <c r="E138" i="7"/>
  <c r="D138" i="7"/>
  <c r="K129" i="7"/>
  <c r="G129" i="7"/>
  <c r="E129" i="7"/>
  <c r="D129" i="7"/>
  <c r="S130" i="7"/>
  <c r="R130" i="7"/>
  <c r="K130" i="7"/>
  <c r="G130" i="7"/>
  <c r="D130" i="7"/>
  <c r="H98" i="7"/>
  <c r="S148" i="7"/>
  <c r="R148" i="7"/>
  <c r="K148" i="7"/>
  <c r="G148" i="7"/>
  <c r="D148" i="7"/>
  <c r="G147" i="7"/>
  <c r="F147" i="7"/>
  <c r="E147" i="7"/>
  <c r="D147" i="7"/>
  <c r="S137" i="7"/>
  <c r="R137" i="7"/>
  <c r="K137" i="7"/>
  <c r="G137" i="7"/>
  <c r="E137" i="7"/>
  <c r="D137" i="7"/>
  <c r="R126" i="7"/>
  <c r="S126" i="7"/>
  <c r="K126" i="7"/>
  <c r="G126" i="7"/>
  <c r="E126" i="7"/>
  <c r="D126" i="7"/>
  <c r="K131" i="7"/>
  <c r="G131" i="7"/>
  <c r="E131" i="7"/>
  <c r="D131" i="7"/>
  <c r="K144" i="7"/>
  <c r="G144" i="7"/>
  <c r="E144" i="7"/>
  <c r="D144" i="7"/>
  <c r="S128" i="7"/>
  <c r="R128" i="7"/>
  <c r="R124" i="7"/>
  <c r="S124" i="7"/>
  <c r="K124" i="7"/>
  <c r="G124" i="7"/>
  <c r="E124" i="7"/>
  <c r="D124" i="7"/>
  <c r="S122" i="7"/>
  <c r="R122" i="7"/>
  <c r="K122" i="7"/>
  <c r="G122" i="7"/>
  <c r="F122" i="7"/>
  <c r="E122" i="7"/>
  <c r="D122" i="7"/>
  <c r="K125" i="7"/>
  <c r="G125" i="7"/>
  <c r="E125" i="7"/>
  <c r="D125" i="7"/>
  <c r="R140" i="7"/>
  <c r="S140" i="7"/>
  <c r="K140" i="7"/>
  <c r="G140" i="7"/>
  <c r="E140" i="7"/>
  <c r="D140" i="7"/>
  <c r="K119" i="7"/>
  <c r="G119" i="7"/>
  <c r="E119" i="7"/>
  <c r="D119" i="7"/>
  <c r="S118" i="7"/>
  <c r="R118" i="7"/>
  <c r="S153" i="7"/>
  <c r="R153" i="7"/>
  <c r="K153" i="7"/>
  <c r="G153" i="7"/>
  <c r="E153" i="7"/>
  <c r="D153" i="7"/>
  <c r="M6" i="7"/>
  <c r="N6" i="7"/>
  <c r="P6" i="7"/>
  <c r="M7" i="7"/>
  <c r="N7" i="7"/>
  <c r="P7" i="7"/>
  <c r="M8" i="7"/>
  <c r="N8" i="7"/>
  <c r="P8" i="7"/>
  <c r="H31" i="7" l="1"/>
  <c r="H48" i="7" l="1"/>
  <c r="H23" i="7" l="1"/>
  <c r="H219" i="7" l="1"/>
  <c r="S143" i="7" l="1"/>
  <c r="R143" i="7"/>
  <c r="H92" i="7"/>
  <c r="S142" i="7"/>
  <c r="R142" i="7"/>
  <c r="H220" i="7"/>
  <c r="S131" i="7"/>
  <c r="R131" i="7"/>
  <c r="H179" i="7"/>
  <c r="H180" i="7"/>
  <c r="S125" i="7"/>
  <c r="R125" i="7"/>
  <c r="H111" i="7"/>
  <c r="H221" i="7"/>
  <c r="S145" i="7"/>
  <c r="R145" i="7"/>
  <c r="H143" i="7" l="1"/>
  <c r="R147" i="7"/>
  <c r="S147" i="7"/>
  <c r="H45" i="7" l="1"/>
  <c r="H55" i="7" l="1"/>
  <c r="H81" i="7" l="1"/>
  <c r="S139" i="7"/>
  <c r="R139" i="7"/>
  <c r="H139" i="7"/>
  <c r="H108" i="7"/>
  <c r="H189" i="7"/>
  <c r="H213" i="7"/>
  <c r="H154" i="7" l="1"/>
  <c r="H30" i="7" l="1"/>
  <c r="H75" i="7"/>
  <c r="H49" i="7"/>
  <c r="H41" i="7" l="1"/>
  <c r="H176" i="7"/>
  <c r="H177" i="7"/>
  <c r="H169" i="7"/>
  <c r="H170" i="7"/>
  <c r="P226" i="7" l="1"/>
  <c r="N226" i="7"/>
  <c r="M226" i="7"/>
  <c r="H226" i="7"/>
  <c r="Q226" i="7" s="1"/>
  <c r="O226" i="7" l="1"/>
  <c r="H168" i="7" l="1"/>
  <c r="I239" i="7" l="1"/>
  <c r="H149" i="7"/>
  <c r="H61" i="7"/>
  <c r="J234" i="7" l="1"/>
  <c r="T230" i="7"/>
  <c r="K230" i="7"/>
  <c r="I230" i="7"/>
  <c r="L211" i="7" l="1"/>
  <c r="L213" i="7"/>
  <c r="L215" i="7"/>
  <c r="L217" i="7"/>
  <c r="L219" i="7"/>
  <c r="L221" i="7"/>
  <c r="L223" i="7"/>
  <c r="L212" i="7"/>
  <c r="L214" i="7"/>
  <c r="L216" i="7"/>
  <c r="L218" i="7"/>
  <c r="L220" i="7"/>
  <c r="L222" i="7"/>
  <c r="L207" i="7"/>
  <c r="B4" i="3"/>
  <c r="C12" i="2"/>
  <c r="J226" i="7"/>
  <c r="L226" i="7"/>
  <c r="H191" i="7"/>
  <c r="H151" i="7"/>
  <c r="H65" i="7" l="1"/>
  <c r="T239" i="7"/>
  <c r="B14" i="6" s="1"/>
  <c r="B13" i="6"/>
  <c r="H10" i="7" l="1"/>
  <c r="H70" i="7" l="1"/>
  <c r="H112" i="7" l="1"/>
  <c r="H153" i="7" l="1"/>
  <c r="H118" i="7"/>
  <c r="H238" i="7" l="1"/>
  <c r="H237" i="7"/>
  <c r="H236" i="7"/>
  <c r="H235" i="7"/>
  <c r="H160" i="7" l="1"/>
  <c r="K239" i="7" l="1"/>
  <c r="P234" i="7"/>
  <c r="M234" i="7"/>
  <c r="N234" i="7"/>
  <c r="H234" i="7"/>
  <c r="B3" i="3" l="1"/>
  <c r="C13" i="2"/>
  <c r="L234" i="7"/>
  <c r="Q234" i="7"/>
  <c r="O234" i="7"/>
  <c r="H5" i="7"/>
  <c r="H47" i="7" l="1"/>
  <c r="S129" i="7"/>
  <c r="R129" i="7"/>
  <c r="H129" i="7" l="1"/>
  <c r="H18" i="7"/>
  <c r="H172" i="7" l="1"/>
  <c r="H229" i="7" l="1"/>
  <c r="H227" i="7"/>
  <c r="H228" i="7"/>
  <c r="H223" i="7"/>
  <c r="H20" i="7" l="1"/>
  <c r="H140" i="7" l="1"/>
  <c r="H125" i="7"/>
  <c r="S119" i="7"/>
  <c r="R119" i="7"/>
  <c r="S144" i="7"/>
  <c r="R144" i="7"/>
  <c r="M200" i="7" l="1"/>
  <c r="N200" i="7"/>
  <c r="P200" i="7"/>
  <c r="H211" i="7" l="1"/>
  <c r="H121" i="7"/>
  <c r="H35" i="7" l="1"/>
  <c r="H33" i="7" l="1"/>
  <c r="H144" i="7" l="1"/>
  <c r="H52" i="7" l="1"/>
  <c r="H46" i="7" l="1"/>
  <c r="H159" i="7" l="1"/>
  <c r="H101" i="7" l="1"/>
  <c r="H110" i="7" l="1"/>
  <c r="T165" i="7" l="1"/>
  <c r="B10" i="6" s="1"/>
  <c r="K165" i="7"/>
  <c r="P210" i="7"/>
  <c r="N210" i="7"/>
  <c r="M210" i="7"/>
  <c r="I165" i="7"/>
  <c r="C9" i="2" l="1"/>
  <c r="B8" i="3"/>
  <c r="M165" i="7"/>
  <c r="H215" i="7"/>
  <c r="H15" i="7" l="1"/>
  <c r="H141" i="7" l="1"/>
  <c r="H86" i="7"/>
  <c r="H184" i="7"/>
  <c r="H22" i="7"/>
  <c r="H171" i="7" l="1"/>
  <c r="H173" i="7"/>
  <c r="H174" i="7"/>
  <c r="H175" i="7"/>
  <c r="H178" i="7"/>
  <c r="H181" i="7"/>
  <c r="H183" i="7"/>
  <c r="H182" i="7"/>
  <c r="H185" i="7"/>
  <c r="H186" i="7"/>
  <c r="H187" i="7"/>
  <c r="H188" i="7"/>
  <c r="H190" i="7"/>
  <c r="H192" i="7"/>
  <c r="H193" i="7"/>
  <c r="H194" i="7"/>
  <c r="H195" i="7"/>
  <c r="H196" i="7"/>
  <c r="P159" i="7" l="1"/>
  <c r="N159" i="7"/>
  <c r="M159" i="7"/>
  <c r="H212" i="7" l="1"/>
  <c r="H214" i="7"/>
  <c r="H216" i="7"/>
  <c r="H217" i="7"/>
  <c r="H218" i="7"/>
  <c r="H222" i="7"/>
  <c r="H210" i="7" l="1"/>
  <c r="H207" i="7"/>
  <c r="H206" i="7"/>
  <c r="H200" i="7"/>
  <c r="H201" i="7"/>
  <c r="H161" i="7"/>
  <c r="H162" i="7"/>
  <c r="H163" i="7"/>
  <c r="H164" i="7"/>
  <c r="H138" i="7"/>
  <c r="H142" i="7"/>
  <c r="H145" i="7"/>
  <c r="H146" i="7"/>
  <c r="H147" i="7"/>
  <c r="H148" i="7"/>
  <c r="H150" i="7"/>
  <c r="H152" i="7"/>
  <c r="H155" i="7"/>
  <c r="H137" i="7"/>
  <c r="H119" i="7"/>
  <c r="H120" i="7"/>
  <c r="H122" i="7"/>
  <c r="H123" i="7"/>
  <c r="H124" i="7"/>
  <c r="H126" i="7"/>
  <c r="H127" i="7"/>
  <c r="H128" i="7"/>
  <c r="H130" i="7"/>
  <c r="H131" i="7"/>
  <c r="H132" i="7"/>
  <c r="H133" i="7"/>
  <c r="H134" i="7"/>
  <c r="O200" i="7" l="1"/>
  <c r="Q200" i="7"/>
  <c r="Q210" i="7"/>
  <c r="O210" i="7"/>
  <c r="Q159" i="7"/>
  <c r="O159" i="7"/>
  <c r="H76" i="7"/>
  <c r="H77" i="7"/>
  <c r="H78" i="7"/>
  <c r="H79" i="7"/>
  <c r="H80" i="7"/>
  <c r="H82" i="7"/>
  <c r="H83" i="7"/>
  <c r="H84" i="7"/>
  <c r="H85" i="7"/>
  <c r="H87" i="7"/>
  <c r="H88" i="7"/>
  <c r="H89" i="7"/>
  <c r="H90" i="7"/>
  <c r="H91" i="7"/>
  <c r="H93" i="7"/>
  <c r="H94" i="7"/>
  <c r="H95" i="7"/>
  <c r="H96" i="7"/>
  <c r="H97" i="7"/>
  <c r="H99" i="7"/>
  <c r="H100" i="7"/>
  <c r="H102" i="7"/>
  <c r="H103" i="7"/>
  <c r="H104" i="7"/>
  <c r="H105" i="7"/>
  <c r="H106" i="7"/>
  <c r="H107" i="7"/>
  <c r="H109" i="7"/>
  <c r="H113" i="7"/>
  <c r="H8" i="7"/>
  <c r="H9" i="7"/>
  <c r="H11" i="7"/>
  <c r="H12" i="7"/>
  <c r="H13" i="7"/>
  <c r="H14" i="7"/>
  <c r="H16" i="7"/>
  <c r="H17" i="7"/>
  <c r="H19" i="7"/>
  <c r="H21" i="7"/>
  <c r="H24" i="7"/>
  <c r="H6" i="7"/>
  <c r="H7" i="7"/>
  <c r="O8" i="7" l="1"/>
  <c r="Q8" i="7"/>
  <c r="O7" i="7"/>
  <c r="Q7" i="7"/>
  <c r="O6" i="7"/>
  <c r="Q6" i="7"/>
  <c r="H29" i="7"/>
  <c r="H32" i="7"/>
  <c r="H34" i="7"/>
  <c r="H36" i="7"/>
  <c r="H37" i="7"/>
  <c r="H38" i="7"/>
  <c r="H39" i="7"/>
  <c r="H40" i="7"/>
  <c r="H42" i="7"/>
  <c r="H43" i="7"/>
  <c r="H44" i="7"/>
  <c r="H50" i="7"/>
  <c r="H51" i="7"/>
  <c r="H53" i="7"/>
  <c r="H54" i="7"/>
  <c r="H56" i="7"/>
  <c r="H57" i="7"/>
  <c r="H58" i="7"/>
  <c r="H59" i="7"/>
  <c r="H60" i="7"/>
  <c r="H62" i="7"/>
  <c r="H63" i="7"/>
  <c r="H64" i="7"/>
  <c r="H66" i="7"/>
  <c r="H67" i="7"/>
  <c r="H68" i="7"/>
  <c r="H69" i="7"/>
  <c r="H71" i="7"/>
  <c r="Q206" i="7" l="1"/>
  <c r="P206" i="7"/>
  <c r="O206" i="7"/>
  <c r="N206" i="7"/>
  <c r="M206" i="7"/>
  <c r="T202" i="7"/>
  <c r="B12" i="6" s="1"/>
  <c r="K202" i="7"/>
  <c r="I202" i="7"/>
  <c r="K197" i="7"/>
  <c r="I197" i="7"/>
  <c r="T197" i="7"/>
  <c r="B11" i="6" s="1"/>
  <c r="P168" i="7"/>
  <c r="N168" i="7"/>
  <c r="M168" i="7"/>
  <c r="Q168" i="7"/>
  <c r="L159" i="7"/>
  <c r="T156" i="7"/>
  <c r="B9" i="6" s="1"/>
  <c r="P118" i="7"/>
  <c r="N118" i="7"/>
  <c r="M118" i="7"/>
  <c r="Q118" i="7"/>
  <c r="T114" i="7"/>
  <c r="B8" i="6" s="1"/>
  <c r="K114" i="7"/>
  <c r="I114" i="7"/>
  <c r="P75" i="7"/>
  <c r="N75" i="7"/>
  <c r="M75" i="7"/>
  <c r="T72" i="7"/>
  <c r="B7" i="6" s="1"/>
  <c r="K72" i="7"/>
  <c r="I72" i="7"/>
  <c r="P28" i="7"/>
  <c r="N28" i="7"/>
  <c r="M28" i="7"/>
  <c r="H28" i="7"/>
  <c r="Q28" i="7" s="1"/>
  <c r="T25" i="7"/>
  <c r="B6" i="6" s="1"/>
  <c r="K25" i="7"/>
  <c r="I25" i="7"/>
  <c r="P5" i="7"/>
  <c r="N5" i="7"/>
  <c r="M5" i="7"/>
  <c r="Q5" i="7"/>
  <c r="J6" i="7" l="1"/>
  <c r="J7" i="7"/>
  <c r="J8" i="7"/>
  <c r="L6" i="7"/>
  <c r="L7" i="7"/>
  <c r="L8" i="7"/>
  <c r="C11" i="2"/>
  <c r="C10" i="2"/>
  <c r="C7" i="2"/>
  <c r="C6" i="2"/>
  <c r="B5" i="3"/>
  <c r="C5" i="2"/>
  <c r="B2" i="3"/>
  <c r="B7" i="3"/>
  <c r="B10" i="3"/>
  <c r="L200" i="7"/>
  <c r="J200" i="7"/>
  <c r="B6" i="3"/>
  <c r="M202" i="7"/>
  <c r="L210" i="7"/>
  <c r="J210" i="7"/>
  <c r="M25" i="7"/>
  <c r="M72" i="7"/>
  <c r="M114" i="7"/>
  <c r="M197" i="7"/>
  <c r="J159" i="7"/>
  <c r="Q137" i="7"/>
  <c r="N137" i="7"/>
  <c r="J75" i="7"/>
  <c r="L206" i="7"/>
  <c r="O118" i="7"/>
  <c r="J168" i="7"/>
  <c r="L28" i="7"/>
  <c r="J206" i="7"/>
  <c r="M230" i="7"/>
  <c r="T231" i="7"/>
  <c r="T240" i="7" s="1"/>
  <c r="L75" i="7"/>
  <c r="M137" i="7"/>
  <c r="P137" i="7"/>
  <c r="O168" i="7"/>
  <c r="L5" i="7"/>
  <c r="Q75" i="7"/>
  <c r="O75" i="7"/>
  <c r="K156" i="7"/>
  <c r="J5" i="7"/>
  <c r="O5" i="7"/>
  <c r="J28" i="7"/>
  <c r="O28" i="7"/>
  <c r="I156" i="7"/>
  <c r="L168" i="7"/>
  <c r="J147" i="7" l="1"/>
  <c r="J148" i="7"/>
  <c r="J154" i="7"/>
  <c r="J155" i="7"/>
  <c r="J150" i="7"/>
  <c r="J151" i="7"/>
  <c r="J152" i="7"/>
  <c r="J138" i="7"/>
  <c r="J139" i="7"/>
  <c r="J140" i="7"/>
  <c r="J141" i="7"/>
  <c r="J142" i="7"/>
  <c r="J143" i="7"/>
  <c r="J144" i="7"/>
  <c r="J145" i="7"/>
  <c r="J146" i="7"/>
  <c r="J149" i="7"/>
  <c r="J153" i="7"/>
  <c r="C8" i="2"/>
  <c r="B9" i="3"/>
  <c r="J137" i="7"/>
  <c r="M156" i="7"/>
  <c r="O137" i="7"/>
  <c r="K231" i="7"/>
  <c r="J118" i="7"/>
  <c r="L118" i="7"/>
  <c r="L137" i="7"/>
  <c r="I231" i="7"/>
  <c r="I240" i="7" l="1"/>
  <c r="K240" i="7"/>
  <c r="J239" i="7" l="1"/>
  <c r="J202" i="7"/>
  <c r="J165" i="7"/>
  <c r="J114" i="7"/>
  <c r="J25" i="7"/>
  <c r="J230" i="7"/>
  <c r="J156" i="7"/>
  <c r="J72" i="7"/>
  <c r="J197" i="7"/>
  <c r="L230" i="7"/>
  <c r="L202" i="7"/>
  <c r="L25" i="7"/>
  <c r="L197" i="7"/>
  <c r="L165" i="7"/>
  <c r="L114" i="7"/>
  <c r="L72" i="7"/>
  <c r="L239" i="7"/>
  <c r="L156" i="7"/>
</calcChain>
</file>

<file path=xl/sharedStrings.xml><?xml version="1.0" encoding="utf-8"?>
<sst xmlns="http://schemas.openxmlformats.org/spreadsheetml/2006/main" count="487" uniqueCount="328">
  <si>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</si>
  <si>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</si>
  <si>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</si>
  <si>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</si>
  <si>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</si>
  <si>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</si>
  <si>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</si>
  <si>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</si>
  <si>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</si>
  <si>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</si>
  <si>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</si>
  <si>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</si>
  <si>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</si>
  <si>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</si>
  <si>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</si>
  <si>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</si>
  <si>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</si>
  <si>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</si>
  <si>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</si>
  <si>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</si>
  <si>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</si>
  <si>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</si>
  <si>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</si>
  <si>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</si>
  <si>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</si>
  <si>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</si>
  <si>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</si>
  <si>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</si>
  <si>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</si>
  <si>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</si>
  <si>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</si>
  <si>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</si>
  <si>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</si>
  <si>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</si>
  <si>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</si>
  <si>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</si>
  <si>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</si>
  <si>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</si>
  <si>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</si>
  <si>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</si>
  <si>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</si>
  <si>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</si>
  <si>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</si>
  <si>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</si>
  <si>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</si>
  <si>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</si>
  <si>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</si>
  <si>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</si>
  <si>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</si>
  <si>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</si>
  <si>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</si>
  <si>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</si>
  <si>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</si>
  <si>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</si>
  <si>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</si>
  <si>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</si>
  <si>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</si>
  <si>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</si>
  <si>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</si>
  <si>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</si>
  <si>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</si>
  <si>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</si>
  <si>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</si>
  <si>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</si>
  <si>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</si>
  <si>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</si>
  <si>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</si>
  <si>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</si>
  <si>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</si>
  <si>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</si>
  <si>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</si>
  <si>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</si>
  <si>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</si>
  <si>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</si>
  <si>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</si>
  <si>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</si>
  <si>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</si>
  <si>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</si>
  <si>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</si>
  <si>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</si>
  <si>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</si>
  <si>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</si>
  <si>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</si>
  <si>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</si>
  <si>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</si>
  <si>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</si>
  <si>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</si>
  <si>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</si>
  <si>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</si>
  <si>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</si>
  <si>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</si>
  <si>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</si>
  <si>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</si>
  <si>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</si>
  <si>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</si>
  <si>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</si>
  <si>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</si>
  <si>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</si>
  <si>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</si>
  <si>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</si>
  <si>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</si>
  <si>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</si>
  <si>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</si>
  <si>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</si>
  <si>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</si>
  <si>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</si>
  <si>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</si>
  <si>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</si>
  <si>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</si>
  <si>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</si>
  <si>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</si>
  <si>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</si>
  <si>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</si>
  <si>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</si>
  <si>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</si>
  <si>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</si>
  <si>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</si>
  <si>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</si>
  <si>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</si>
  <si>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</si>
  <si>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</si>
  <si>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</si>
  <si>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</si>
  <si>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</si>
  <si>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</si>
  <si>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</si>
  <si>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</si>
  <si>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</si>
  <si>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</si>
  <si>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</si>
  <si>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</si>
  <si>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</si>
  <si>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</si>
  <si>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</si>
  <si>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</si>
  <si>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</si>
  <si>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</si>
  <si>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</si>
  <si>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</si>
  <si>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</si>
  <si>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</si>
  <si>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</si>
  <si>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</si>
  <si>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</si>
  <si>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</si>
  <si>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</si>
  <si>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</si>
  <si>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</si>
  <si>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</si>
  <si>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</si>
  <si>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</si>
  <si>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</si>
  <si>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</si>
  <si>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</si>
  <si>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</si>
  <si>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</si>
  <si>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</si>
  <si>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</si>
  <si>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</si>
  <si>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</si>
  <si>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</si>
  <si>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</si>
  <si>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</si>
  <si>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</si>
  <si>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</si>
  <si>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</si>
  <si>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</si>
  <si>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</si>
  <si>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</si>
  <si>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</si>
  <si>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</si>
  <si>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</si>
  <si>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</si>
  <si>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</si>
  <si>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</si>
  <si>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</si>
  <si>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</si>
  <si>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</si>
  <si>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</si>
  <si>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</si>
  <si>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</si>
  <si>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</si>
  <si>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</si>
  <si>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</si>
  <si>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</si>
  <si>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</si>
  <si>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</si>
  <si>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</si>
  <si>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</si>
  <si>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</si>
  <si>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</si>
  <si>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</si>
  <si>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</si>
  <si>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</si>
  <si>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</si>
  <si>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</si>
  <si>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</si>
  <si>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</si>
  <si>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</si>
  <si>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</si>
  <si>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</si>
  <si>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</si>
  <si>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</si>
  <si>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</si>
  <si>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</si>
  <si>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</si>
  <si>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</si>
  <si>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</si>
  <si>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</si>
  <si>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</si>
  <si>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</si>
  <si>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</si>
  <si>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</si>
  <si>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</si>
  <si>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</si>
  <si>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</si>
  <si>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</si>
  <si>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</si>
  <si>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</si>
  <si>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</si>
  <si>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</si>
  <si>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</si>
  <si>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</si>
  <si>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</si>
  <si>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</si>
  <si>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</si>
  <si>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</si>
  <si>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</si>
  <si>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</si>
  <si>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</si>
  <si>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</si>
  <si>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</si>
  <si>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</si>
  <si>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</si>
  <si>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</si>
  <si>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</si>
  <si>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</si>
  <si>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</si>
  <si>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</si>
  <si>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</si>
  <si>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</si>
  <si>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</si>
  <si>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</si>
  <si>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</si>
  <si>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</si>
  <si>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</si>
  <si>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</si>
  <si>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</si>
  <si>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</si>
  <si>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</si>
  <si>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</si>
  <si>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</si>
  <si>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</si>
  <si>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</si>
  <si>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</si>
  <si>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</si>
  <si>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</si>
  <si>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</si>
  <si>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</si>
  <si>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</si>
  <si>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</si>
  <si>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</si>
  <si>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</si>
  <si>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</si>
  <si>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</si>
  <si>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</si>
  <si>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</si>
  <si>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</si>
  <si>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</si>
  <si>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</si>
  <si>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</si>
  <si>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</si>
  <si>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</si>
  <si>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</si>
  <si>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</si>
  <si>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</si>
  <si>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</si>
  <si>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</si>
  <si>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</si>
  <si>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</si>
  <si>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</si>
  <si>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</si>
  <si>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</si>
  <si>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</si>
  <si>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</si>
  <si>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</si>
  <si>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</si>
  <si>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</si>
  <si>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</si>
  <si>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</si>
  <si>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</si>
  <si>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</si>
  <si>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</si>
  <si>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</si>
  <si>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</si>
  <si>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</si>
  <si>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</si>
  <si>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</si>
  <si>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</si>
  <si>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</si>
  <si>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</si>
  <si>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</si>
  <si>
    <t>Afrinvest Halal Fund</t>
  </si>
  <si>
    <t>Afrinvest Asset Mgt Ltd.</t>
  </si>
  <si>
    <t>DLM Money Market Fund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</si>
  <si>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</si>
  <si>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</si>
  <si>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</si>
  <si>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</si>
  <si>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</si>
  <si>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</si>
  <si>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</si>
  <si>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</si>
  <si>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</si>
  <si>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</si>
  <si>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FBN Dollar Fund</t>
  </si>
  <si>
    <t xml:space="preserve"> </t>
  </si>
  <si>
    <t>Samtl Mixed Income Fund</t>
  </si>
  <si>
    <t>Zedcrest Equity Fund</t>
  </si>
  <si>
    <t>Fundvine Money Market Fund</t>
  </si>
  <si>
    <t>Fundvine Berkshire Asset Management Limited</t>
  </si>
  <si>
    <t>Apel Wealth Money Market Fund</t>
  </si>
  <si>
    <t>Apel Wealth Management Limited</t>
  </si>
  <si>
    <t>Jan 2026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</si>
  <si>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27th February, 2026 = N1363.3954</t>
    </r>
  </si>
  <si>
    <t>MONTHLY UPDATE ON REGISTERED MUTUAL FUNDS AS AT 28TH FEBRUARY, 2026</t>
  </si>
  <si>
    <t>NET ASSET VALUE (N) PREVIOUS - JANUARY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</si>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</sst>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10"/>
      <name val="Century Gothic"/>
      <family val="2"/>
    </font>
    <font>
      <sz val="8"/>
      <color rgb="FF424242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29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4" fontId="25" fillId="2" borderId="0" xfId="0" applyNumberFormat="1" applyFont="1" applyFill="1"/>
    <xf numFmtId="4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164" fontId="25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8" fillId="2" borderId="0" xfId="0" applyFont="1" applyFill="1"/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27" fillId="2" borderId="0" xfId="0" applyFont="1" applyFill="1" applyAlignment="1">
      <alignment horizontal="left"/>
    </xf>
    <xf numFmtId="10" fontId="19" fillId="2" borderId="2" xfId="0" applyNumberFormat="1" applyFont="1" applyFill="1" applyBorder="1"/>
    <xf numFmtId="10" fontId="19" fillId="2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 applyAlignment="1">
      <alignment horizontal="right" vertical="center"/>
    </xf>
    <xf numFmtId="164" fontId="18" fillId="2" borderId="6" xfId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1" fillId="29" borderId="0" xfId="0" applyFont="1" applyFill="1"/>
    <xf numFmtId="164" fontId="7" fillId="29" borderId="0" xfId="1" applyFont="1" applyFill="1"/>
    <xf numFmtId="164" fontId="31" fillId="29" borderId="0" xfId="1" applyFont="1" applyFill="1"/>
    <xf numFmtId="164" fontId="30" fillId="5" borderId="2" xfId="1" applyFont="1" applyFill="1" applyBorder="1"/>
    <xf numFmtId="10" fontId="30" fillId="5" borderId="2" xfId="0" applyNumberFormat="1" applyFont="1" applyFill="1" applyBorder="1"/>
    <xf numFmtId="10" fontId="30" fillId="5" borderId="2" xfId="0" applyNumberFormat="1" applyFont="1" applyFill="1" applyBorder="1" applyAlignment="1">
      <alignment horizontal="right" vertical="center"/>
    </xf>
    <xf numFmtId="172" fontId="30" fillId="5" borderId="2" xfId="0" applyNumberFormat="1" applyFont="1" applyFill="1" applyBorder="1" applyAlignment="1">
      <alignment horizontal="right" vertical="center"/>
    </xf>
    <xf numFmtId="164" fontId="18" fillId="2" borderId="2" xfId="1" applyFont="1" applyFill="1" applyBorder="1" applyAlignment="1">
      <alignment horizontal="right" wrapText="1"/>
    </xf>
    <xf numFmtId="164" fontId="30" fillId="2" borderId="2" xfId="1" applyFont="1" applyFill="1" applyBorder="1"/>
    <xf numFmtId="0" fontId="32" fillId="0" borderId="0" xfId="0" applyFont="1"/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164" fontId="18" fillId="2" borderId="0" xfId="1" applyFont="1" applyFill="1" applyBorder="1" applyAlignment="1">
      <alignment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49" fontId="18" fillId="2" borderId="2" xfId="0" applyNumberFormat="1" applyFont="1" applyFill="1" applyBorder="1"/>
    <xf numFmtId="2" fontId="18" fillId="2" borderId="2" xfId="463" applyNumberFormat="1" applyFont="1" applyFill="1" applyBorder="1" applyAlignment="1">
      <alignment wrapText="1"/>
    </xf>
    <xf numFmtId="164" fontId="18" fillId="2" borderId="8" xfId="1" applyFont="1" applyFill="1" applyBorder="1" applyAlignment="1">
      <alignment wrapText="1"/>
    </xf>
    <xf numFmtId="164" fontId="18" fillId="2" borderId="2" xfId="1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vertical="center" wrapText="1"/>
    </xf>
    <xf numFmtId="43" fontId="4" fillId="0" borderId="0" xfId="200" applyFont="1" applyBorder="1"/>
    <xf numFmtId="4" fontId="33" fillId="2" borderId="0" xfId="0" applyNumberFormat="1" applyFont="1" applyFill="1"/>
    <xf numFmtId="172" fontId="18" fillId="2" borderId="0" xfId="0" applyNumberFormat="1" applyFont="1" applyFill="1"/>
    <xf numFmtId="0" fontId="25" fillId="0" borderId="0" xfId="0" applyFont="1" applyAlignment="1">
      <alignment horizontal="right"/>
    </xf>
    <xf numFmtId="174" fontId="18" fillId="2" borderId="2" xfId="1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right" wrapText="1"/>
    </xf>
    <xf numFmtId="174" fontId="18" fillId="2" borderId="4" xfId="1" applyNumberFormat="1" applyFont="1" applyFill="1" applyBorder="1" applyAlignment="1">
      <alignment horizontal="right" wrapText="1"/>
    </xf>
    <xf numFmtId="0" fontId="18" fillId="2" borderId="2" xfId="0" applyFont="1" applyFill="1" applyBorder="1" applyAlignment="1">
      <alignment horizontal="right" wrapText="1"/>
    </xf>
    <xf numFmtId="174" fontId="18" fillId="2" borderId="2" xfId="1" applyNumberFormat="1" applyFont="1" applyFill="1" applyBorder="1" applyAlignment="1">
      <alignment horizontal="right"/>
    </xf>
    <xf numFmtId="174" fontId="18" fillId="2" borderId="2" xfId="1" applyNumberFormat="1" applyFont="1" applyFill="1" applyBorder="1" applyAlignment="1">
      <alignment horizontal="right" vertical="center" wrapText="1"/>
    </xf>
    <xf numFmtId="174" fontId="18" fillId="2" borderId="2" xfId="1" applyNumberFormat="1" applyFont="1" applyFill="1" applyBorder="1" applyAlignment="1">
      <alignment horizontal="right" wrapText="1"/>
    </xf>
    <xf numFmtId="164" fontId="18" fillId="2" borderId="8" xfId="1" applyFont="1" applyFill="1" applyBorder="1"/>
    <xf numFmtId="49" fontId="18" fillId="2" borderId="2" xfId="0" applyNumberFormat="1" applyFont="1" applyFill="1" applyBorder="1" applyAlignment="1">
      <alignment vertical="top" wrapText="1"/>
    </xf>
    <xf numFmtId="164" fontId="18" fillId="2" borderId="2" xfId="1" applyFont="1" applyFill="1" applyBorder="1" applyAlignment="1">
      <alignment vertical="top" wrapText="1"/>
    </xf>
    <xf numFmtId="173" fontId="18" fillId="2" borderId="2" xfId="0" applyNumberFormat="1" applyFont="1" applyFill="1" applyBorder="1" applyAlignment="1">
      <alignment horizontal="center" wrapText="1"/>
    </xf>
    <xf numFmtId="0" fontId="34" fillId="0" borderId="0" xfId="0" applyFont="1"/>
    <xf numFmtId="0" fontId="35" fillId="2" borderId="0" xfId="0" applyFont="1" applyFill="1" applyAlignment="1">
      <alignment horizontal="right"/>
    </xf>
    <xf numFmtId="0" fontId="35" fillId="2" borderId="0" xfId="0" applyFont="1" applyFill="1" applyAlignment="1">
      <alignment horizontal="right" wrapText="1"/>
    </xf>
    <xf numFmtId="0" fontId="35" fillId="0" borderId="0" xfId="0" applyFont="1" applyAlignment="1">
      <alignment horizontal="right"/>
    </xf>
    <xf numFmtId="16" fontId="35" fillId="2" borderId="0" xfId="0" applyNumberFormat="1" applyFont="1" applyFill="1"/>
    <xf numFmtId="164" fontId="34" fillId="0" borderId="0" xfId="1" applyFont="1" applyBorder="1"/>
    <xf numFmtId="4" fontId="34" fillId="2" borderId="0" xfId="0" applyNumberFormat="1" applyFont="1" applyFill="1"/>
    <xf numFmtId="0" fontId="36" fillId="0" borderId="0" xfId="0" applyFont="1" applyAlignment="1">
      <alignment horizontal="right"/>
    </xf>
    <xf numFmtId="164" fontId="33" fillId="2" borderId="0" xfId="1" applyFont="1" applyFill="1" applyBorder="1"/>
    <xf numFmtId="4" fontId="33" fillId="2" borderId="0" xfId="0" applyNumberFormat="1" applyFont="1" applyFill="1" applyAlignment="1">
      <alignment horizontal="right"/>
    </xf>
    <xf numFmtId="173" fontId="37" fillId="2" borderId="2" xfId="0" applyNumberFormat="1" applyFont="1" applyFill="1" applyBorder="1" applyAlignment="1">
      <alignment horizontal="right" wrapText="1"/>
    </xf>
    <xf numFmtId="164" fontId="19" fillId="2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right"/>
    </xf>
    <xf numFmtId="49" fontId="30" fillId="5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0" fillId="2" borderId="2" xfId="0" applyFont="1" applyFill="1" applyBorder="1" applyAlignment="1">
      <alignment horizontal="center" wrapText="1"/>
    </xf>
    <xf numFmtId="2" fontId="30" fillId="2" borderId="2" xfId="0" applyNumberFormat="1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72" fontId="30" fillId="2" borderId="2" xfId="0" applyNumberFormat="1" applyFont="1" applyFill="1" applyBorder="1" applyAlignment="1">
      <alignment horizontal="center" wrapText="1"/>
    </xf>
    <xf numFmtId="164" fontId="7" fillId="29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49" fontId="26" fillId="4" borderId="2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0" fillId="0" borderId="2" xfId="0" applyFont="1" applyBorder="1" applyAlignment="1">
      <alignment horizontal="right"/>
    </xf>
    <xf numFmtId="16" fontId="40" fillId="2" borderId="2" xfId="0" quotePrefix="1" applyNumberFormat="1" applyFont="1" applyFill="1" applyBorder="1" applyAlignment="1">
      <alignment horizontal="right"/>
    </xf>
    <xf numFmtId="0" fontId="39" fillId="0" borderId="0" xfId="0" applyFont="1"/>
    <xf numFmtId="164" fontId="27" fillId="2" borderId="2" xfId="1" applyFont="1" applyFill="1" applyBorder="1" applyAlignment="1">
      <alignment horizontal="right" vertical="top" wrapText="1"/>
    </xf>
    <xf numFmtId="164" fontId="27" fillId="2" borderId="2" xfId="1" applyFont="1" applyFill="1" applyBorder="1"/>
    <xf numFmtId="4" fontId="27" fillId="2" borderId="2" xfId="0" applyNumberFormat="1" applyFont="1" applyFill="1" applyBorder="1"/>
    <xf numFmtId="4" fontId="27" fillId="2" borderId="2" xfId="0" applyNumberFormat="1" applyFont="1" applyFill="1" applyBorder="1" applyAlignment="1">
      <alignment horizontal="right"/>
    </xf>
    <xf numFmtId="0" fontId="41" fillId="0" borderId="0" xfId="0" applyFont="1" applyAlignment="1">
      <alignment horizontal="right"/>
    </xf>
    <xf numFmtId="0" fontId="42" fillId="0" borderId="1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41" fillId="0" borderId="1" xfId="0" applyFont="1" applyBorder="1" applyAlignment="1">
      <alignment horizontal="right"/>
    </xf>
    <xf numFmtId="171" fontId="39" fillId="0" borderId="0" xfId="200" applyNumberFormat="1" applyFont="1"/>
    <xf numFmtId="174" fontId="39" fillId="0" borderId="0" xfId="1" applyNumberFormat="1" applyFont="1"/>
    <xf numFmtId="16" fontId="40" fillId="2" borderId="0" xfId="0" quotePrefix="1" applyNumberFormat="1" applyFont="1" applyFill="1" applyAlignment="1">
      <alignment horizontal="right" wrapText="1"/>
    </xf>
    <xf numFmtId="2" fontId="27" fillId="0" borderId="0" xfId="0" applyNumberFormat="1" applyFont="1"/>
    <xf numFmtId="0" fontId="27" fillId="0" borderId="0" xfId="0" applyFont="1"/>
    <xf numFmtId="0" fontId="43" fillId="9" borderId="0" xfId="0" applyFont="1" applyFill="1" applyAlignment="1">
      <alignment horizontal="right" vertical="center"/>
    </xf>
    <xf numFmtId="0" fontId="22" fillId="9" borderId="0" xfId="0" applyFont="1" applyFill="1" applyAlignment="1">
      <alignment horizontal="center"/>
    </xf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NAV BY CLASS OF FUNDS (N'Bn)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0.00</c:formatCode>
                <c:ptCount val="9"/>
                <c:pt idx="0">
                  <c:v>100.45174506524002</c:v>
                </c:pt>
                <c:pt idx="1">
                  <c:v>5189.288413032009</c:v>
                </c:pt>
                <c:pt idx="2">
                  <c:v>240.76536151262999</c:v>
                </c:pt>
                <c:pt idx="3">
                  <c:v>1875.9569024292011</c:v>
                </c:pt>
                <c:pt idx="4">
                  <c:v>513.36709383830998</c:v>
                </c:pt>
                <c:pt idx="5">
                  <c:v>94.530140413209992</c:v>
                </c:pt>
                <c:pt idx="6">
                  <c:v>9.6636794293600001</c:v>
                </c:pt>
                <c:pt idx="7">
                  <c:v>85.494358341669994</c:v>
                </c:pt>
                <c:pt idx="8">
                  <c:v>20.4383178947628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C-4909-84B8-1CC556B8322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1120378092855158E-2"/>
                  <c:y val="-3.958828186856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7C-4909-84B8-1CC556B83229}"/>
                </c:ext>
              </c:extLst>
            </c:dLbl>
            <c:dLbl>
              <c:idx val="1"/>
              <c:layout>
                <c:manualLayout>
                  <c:x val="1.3900472616068946E-2"/>
                  <c:y val="-3.167062549485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D7C-4909-84B8-1CC556B83229}"/>
                </c:ext>
              </c:extLst>
            </c:dLbl>
            <c:dLbl>
              <c:idx val="2"/>
              <c:layout>
                <c:manualLayout>
                  <c:x val="1.2510425354462052E-2"/>
                  <c:y val="-4.7505938242280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7C-4909-84B8-1CC556B83229}"/>
                </c:ext>
              </c:extLst>
            </c:dLbl>
            <c:dLbl>
              <c:idx val="3"/>
              <c:layout>
                <c:manualLayout>
                  <c:x val="3.1971087016958527E-2"/>
                  <c:y val="-1.8474531538664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7C-4909-84B8-1CC556B83229}"/>
                </c:ext>
              </c:extLst>
            </c:dLbl>
            <c:dLbl>
              <c:idx val="4"/>
              <c:layout>
                <c:manualLayout>
                  <c:x val="9.7303308312483641E-3"/>
                  <c:y val="-2.6392187912377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7C-4909-84B8-1CC556B83229}"/>
                </c:ext>
              </c:extLst>
            </c:dLbl>
            <c:dLbl>
              <c:idx val="5"/>
              <c:layout>
                <c:manualLayout>
                  <c:x val="1.3900472616068946E-2"/>
                  <c:y val="-3.958828186856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D7C-4909-84B8-1CC556B83229}"/>
                </c:ext>
              </c:extLst>
            </c:dLbl>
            <c:dLbl>
              <c:idx val="6"/>
              <c:layout>
                <c:manualLayout>
                  <c:x val="1.6680567139282839E-2"/>
                  <c:y val="-4.486671945104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D7C-4909-84B8-1CC556B83229}"/>
                </c:ext>
              </c:extLst>
            </c:dLbl>
            <c:dLbl>
              <c:idx val="7"/>
              <c:layout>
                <c:manualLayout>
                  <c:x val="1.8070614400889733E-2"/>
                  <c:y val="-3.4309844286091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D7C-4909-84B8-1CC556B83229}"/>
                </c:ext>
              </c:extLst>
            </c:dLbl>
            <c:dLbl>
              <c:idx val="8"/>
              <c:layout>
                <c:manualLayout>
                  <c:x val="1.6680567139282735E-2"/>
                  <c:y val="-4.7505938242280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D7C-4909-84B8-1CC556B83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0.00</c:formatCode>
                <c:ptCount val="9"/>
                <c:pt idx="0">
                  <c:v>148.292010503</c:v>
                </c:pt>
                <c:pt idx="1">
                  <c:v>5317.5723324362407</c:v>
                </c:pt>
                <c:pt idx="2">
                  <c:v>245.02251479789004</c:v>
                </c:pt>
                <c:pt idx="3">
                  <c:v>1836.1119737791648</c:v>
                </c:pt>
                <c:pt idx="4">
                  <c:v>501.58741494934998</c:v>
                </c:pt>
                <c:pt idx="5">
                  <c:v>115.15745344782</c:v>
                </c:pt>
                <c:pt idx="6">
                  <c:v>13.45514408373</c:v>
                </c:pt>
                <c:pt idx="7">
                  <c:v>104.38107421831002</c:v>
                </c:pt>
                <c:pt idx="8">
                  <c:v>30.015611170228798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C-4909-84B8-1CC556B83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97205503"/>
        <c:axId val="1697205919"/>
        <c:axId val="0"/>
      </c:bar3DChart>
      <c:catAx>
        <c:axId val="169720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205919"/>
        <c:crosses val="autoZero"/>
        <c:auto val="1"/>
        <c:lblAlgn val="ctr"/>
        <c:lblOffset val="100"/>
        <c:noMultiLvlLbl val="0"/>
      </c:catAx>
      <c:valAx>
        <c:axId val="169720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20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effectLst/>
              </a:rPr>
              <a:t>PERCENTAGE MARKET SHARE OF FUNDS BY CLASS</a:t>
            </a:r>
            <a:endParaRPr lang="en-US" sz="20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010363131023611E-2"/>
          <c:y val="0.11060682602431793"/>
          <c:w val="0.79554680420597801"/>
          <c:h val="0.86153508943437462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Feb 2026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h="165100"/>
              <a:bevelB w="165100" h="67945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  <c:extLst>
              <c:ext xmlns:c16="http://schemas.microsoft.com/office/drawing/2014/chart" uri="{C3380CC4-5D6E-409C-BE32-E72D297353CC}">
                <c16:uniqueId val="{00000003-120C-4903-A6EE-40EFD50097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  <c:extLst>
              <c:ext xmlns:c16="http://schemas.microsoft.com/office/drawing/2014/chart" uri="{C3380CC4-5D6E-409C-BE32-E72D297353CC}">
                <c16:uniqueId val="{00000004-120C-4903-A6EE-40EFD50097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</c:dPt>
          <c:dPt>
            <c:idx val="5"/>
            <c:bubble3D val="0"/>
            <c:explosion val="7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  <c:extLst>
              <c:ext xmlns:c16="http://schemas.microsoft.com/office/drawing/2014/chart" uri="{C3380CC4-5D6E-409C-BE32-E72D297353CC}">
                <c16:uniqueId val="{00000006-120C-4903-A6EE-40EFD50097E3}"/>
              </c:ext>
            </c:extLst>
          </c:dPt>
          <c:dPt>
            <c:idx val="6"/>
            <c:bubble3D val="0"/>
            <c:explosion val="8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  <c:extLst>
              <c:ext xmlns:c16="http://schemas.microsoft.com/office/drawing/2014/chart" uri="{C3380CC4-5D6E-409C-BE32-E72D297353CC}">
                <c16:uniqueId val="{00000005-120C-4903-A6EE-40EFD50097E3}"/>
              </c:ext>
            </c:extLst>
          </c:dPt>
          <c:dPt>
            <c:idx val="7"/>
            <c:bubble3D val="0"/>
            <c:explosion val="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  <c:extLst>
              <c:ext xmlns:c16="http://schemas.microsoft.com/office/drawing/2014/chart" uri="{C3380CC4-5D6E-409C-BE32-E72D297353CC}">
                <c16:uniqueId val="{00000002-120C-4903-A6EE-40EFD50097E3}"/>
              </c:ext>
            </c:extLst>
          </c:dPt>
          <c:dPt>
            <c:idx val="8"/>
            <c:bubble3D val="0"/>
            <c:explosion val="4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165100"/>
                <a:bevelB w="165100" h="679450"/>
              </a:sp3d>
            </c:spPr>
            <c:extLst>
              <c:ext xmlns:c16="http://schemas.microsoft.com/office/drawing/2014/chart" uri="{C3380CC4-5D6E-409C-BE32-E72D297353CC}">
                <c16:uniqueId val="{00000001-120C-4903-A6EE-40EFD50097E3}"/>
              </c:ext>
            </c:extLst>
          </c:dPt>
          <c:dLbls>
            <c:dLbl>
              <c:idx val="3"/>
              <c:layout>
                <c:manualLayout>
                  <c:x val="-1.1825881366082629E-2"/>
                  <c:y val="0.12180589313976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20C-4903-A6EE-40EFD50097E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13455144083.73</c:v>
                </c:pt>
                <c:pt idx="1">
                  <c:v>30015611170.228798</c:v>
                </c:pt>
                <c:pt idx="2">
                  <c:v>104381074218.31001</c:v>
                </c:pt>
                <c:pt idx="3" formatCode="#,##0.00">
                  <c:v>148292010503</c:v>
                </c:pt>
                <c:pt idx="4" formatCode="#,##0.00">
                  <c:v>115157453447.82001</c:v>
                </c:pt>
                <c:pt idx="5" formatCode="#,##0.00">
                  <c:v>245022514797.89005</c:v>
                </c:pt>
                <c:pt idx="6" formatCode="#,##0.00">
                  <c:v>501587414949.34998</c:v>
                </c:pt>
                <c:pt idx="7" formatCode="#,##0.00">
                  <c:v>1836111973779.1648</c:v>
                </c:pt>
                <c:pt idx="8" formatCode="#,##0.00">
                  <c:v>5317572332436.2402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C-4903-A6EE-40EFD50097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75649</c:v>
                </c:pt>
                <c:pt idx="1">
                  <c:v>611230</c:v>
                </c:pt>
                <c:pt idx="2">
                  <c:v>56018</c:v>
                </c:pt>
                <c:pt idx="3">
                  <c:v>26845</c:v>
                </c:pt>
                <c:pt idx="4">
                  <c:v>223577</c:v>
                </c:pt>
                <c:pt idx="5">
                  <c:v>81735</c:v>
                </c:pt>
                <c:pt idx="6">
                  <c:v>14783</c:v>
                </c:pt>
                <c:pt idx="7">
                  <c:v>43380</c:v>
                </c:pt>
                <c:pt idx="8" formatCode="_-* #,##0_-;\-* #,##0_-;_-* &quot;-&quot;??_-;_-@_-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8697840"/>
        <c:axId val="251602304"/>
      </c:barChart>
      <c:catAx>
        <c:axId val="32869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02304"/>
        <c:crosses val="autoZero"/>
        <c:auto val="1"/>
        <c:lblAlgn val="ctr"/>
        <c:lblOffset val="100"/>
        <c:noMultiLvlLbl val="0"/>
      </c:catAx>
      <c:valAx>
        <c:axId val="2516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86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15</xdr:col>
      <xdr:colOff>441960</xdr:colOff>
      <xdr:row>24</xdr:row>
      <xdr:rowOff>118110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600635</xdr:colOff>
      <xdr:row>29</xdr:row>
      <xdr:rowOff>62753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42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77734375" style="5" customWidth="1"/>
    <col min="2" max="2" width="44.77734375" style="15" customWidth="1"/>
    <col min="3" max="3" width="43.77734375" style="15" customWidth="1"/>
    <col min="4" max="4" width="21.5546875" style="4" customWidth="1"/>
    <col min="5" max="6" width="19.21875" style="4" customWidth="1"/>
    <col min="7" max="7" width="19.7773437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21875" style="4" customWidth="1"/>
    <col min="15" max="15" width="12.5546875" style="4" customWidth="1"/>
    <col min="16" max="17" width="12.21875" style="4" customWidth="1"/>
    <col min="18" max="18" width="14.44140625" style="4" customWidth="1"/>
    <col min="19" max="19" width="13.21875" style="4" customWidth="1"/>
    <col min="20" max="20" width="16.44140625" style="4" customWidth="1"/>
    <col min="21" max="22" width="20.21875" style="4" customWidth="1"/>
    <col min="23" max="16384" width="9" style="4"/>
  </cols>
  <sheetData>
    <row r="1" spans="1:23" ht="40.049999999999997" customHeight="1">
      <c r="A1" s="122" t="s">
        <v>325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326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08" t="s">
        <v>316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3" ht="16.5" customHeight="1">
      <c r="A4" s="108" t="s">
        <v>20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3" ht="15" customHeight="1">
      <c r="A5" s="60">
        <v>1</v>
      </c>
      <c r="B5" s="19" t="s">
        <v>21</v>
      </c>
      <c r="C5" s="19" t="s">
        <v>22</v>
      </c>
      <c r="D5" s="10">
        <v>8666991923.4400005</v>
      </c>
      <c r="E5" s="10">
        <v>19820953.149999999</v>
      </c>
      <c r="F5" s="10">
        <v>2721235609.0799999</v>
      </c>
      <c r="G5" s="10">
        <v>11600781.25</v>
      </c>
      <c r="H5" s="12">
        <f>(E5+F5)-G5</f>
        <v>2729455780.98</v>
      </c>
      <c r="I5" s="29">
        <v>6118874831.1999998</v>
      </c>
      <c r="J5" s="13">
        <f t="shared" ref="J5:J24" si="0">(I5/$I$25)</f>
        <v>6.0913574246281105E-2</v>
      </c>
      <c r="K5" s="29">
        <v>9075103571.3500004</v>
      </c>
      <c r="L5" s="13">
        <f>(K5/$K$25)</f>
        <v>6.1197521974161971E-2</v>
      </c>
      <c r="M5" s="13">
        <f t="shared" ref="M5:M25" si="1">((K5-I5)/I5)</f>
        <v>0.48313273627959497</v>
      </c>
      <c r="N5" s="20">
        <f t="shared" ref="N5" si="2">(G5/K5)</f>
        <v>1.278308413649794E-3</v>
      </c>
      <c r="O5" s="21">
        <f t="shared" ref="O5" si="3">H5/K5</f>
        <v>0.30076304468820181</v>
      </c>
      <c r="P5" s="22">
        <f t="shared" ref="P5" si="4">K5/V5</f>
        <v>773.27035581412474</v>
      </c>
      <c r="Q5" s="22">
        <f t="shared" ref="Q5" si="5">H5/V5</f>
        <v>232.57114658178534</v>
      </c>
      <c r="R5" s="10">
        <v>773.27</v>
      </c>
      <c r="S5" s="10">
        <v>778.52</v>
      </c>
      <c r="T5" s="10">
        <v>1695</v>
      </c>
      <c r="U5" s="10">
        <v>9259358.6899999995</v>
      </c>
      <c r="V5" s="10">
        <v>11736003.460000001</v>
      </c>
    </row>
    <row r="6" spans="1:23">
      <c r="A6" s="60">
        <v>2</v>
      </c>
      <c r="B6" s="19" t="s">
        <v>23</v>
      </c>
      <c r="C6" s="19" t="s">
        <v>24</v>
      </c>
      <c r="D6" s="10">
        <v>1672233419.27</v>
      </c>
      <c r="E6" s="10">
        <v>2805255.88</v>
      </c>
      <c r="F6" s="10">
        <v>0</v>
      </c>
      <c r="G6" s="10">
        <v>1911774.35</v>
      </c>
      <c r="H6" s="12">
        <f t="shared" ref="H6:H24" si="6">(E6+F6)-G6</f>
        <v>893481.5299999998</v>
      </c>
      <c r="I6" s="29">
        <v>1389170442.6600001</v>
      </c>
      <c r="J6" s="13">
        <f t="shared" si="0"/>
        <v>1.3829231555487471E-2</v>
      </c>
      <c r="K6" s="29">
        <v>1720896225.02</v>
      </c>
      <c r="L6" s="13">
        <f t="shared" ref="L6:L24" si="7">(K6/$K$25)</f>
        <v>1.1604780454340024E-2</v>
      </c>
      <c r="M6" s="13">
        <f t="shared" ref="M6:M24" si="8">((K6-I6)/I6)</f>
        <v>0.23879415525484937</v>
      </c>
      <c r="N6" s="20">
        <f t="shared" ref="N6:N24" si="9">(G6/K6)</f>
        <v>1.1109178590811202E-3</v>
      </c>
      <c r="O6" s="21">
        <f t="shared" ref="O6:O24" si="10">H6/K6</f>
        <v>5.1919547327126936E-4</v>
      </c>
      <c r="P6" s="22">
        <f t="shared" ref="P6:P24" si="11">K6/V6</f>
        <v>57.314073559151552</v>
      </c>
      <c r="Q6" s="22">
        <f t="shared" ref="Q6:Q24" si="12">H6/V6</f>
        <v>2.9757207546648037E-2</v>
      </c>
      <c r="R6" s="10">
        <v>493.73</v>
      </c>
      <c r="S6" s="10">
        <v>499.85</v>
      </c>
      <c r="T6" s="10">
        <v>513</v>
      </c>
      <c r="U6" s="10">
        <v>29851070.82</v>
      </c>
      <c r="V6" s="10">
        <v>30025718.260000002</v>
      </c>
    </row>
    <row r="7" spans="1:23">
      <c r="A7" s="60">
        <v>3</v>
      </c>
      <c r="B7" s="19" t="s">
        <v>25</v>
      </c>
      <c r="C7" s="76" t="s">
        <v>26</v>
      </c>
      <c r="D7" s="10">
        <v>9038493726</v>
      </c>
      <c r="E7" s="10">
        <v>9967616</v>
      </c>
      <c r="F7" s="10">
        <v>1363800394</v>
      </c>
      <c r="G7" s="10">
        <v>18828751</v>
      </c>
      <c r="H7" s="12">
        <f t="shared" si="6"/>
        <v>1354939259</v>
      </c>
      <c r="I7" s="29">
        <v>8873617690</v>
      </c>
      <c r="J7" s="13">
        <f t="shared" si="0"/>
        <v>8.8337118327181718E-2</v>
      </c>
      <c r="K7" s="29">
        <v>11470467645</v>
      </c>
      <c r="L7" s="13">
        <f t="shared" si="7"/>
        <v>7.7350543741990394E-2</v>
      </c>
      <c r="M7" s="13">
        <f t="shared" si="8"/>
        <v>0.29264839276617516</v>
      </c>
      <c r="N7" s="20">
        <f t="shared" si="9"/>
        <v>1.6414981134799235E-3</v>
      </c>
      <c r="O7" s="21">
        <f t="shared" si="10"/>
        <v>0.11812415159818011</v>
      </c>
      <c r="P7" s="22">
        <f t="shared" si="11"/>
        <v>64.851723427891812</v>
      </c>
      <c r="Q7" s="22">
        <f t="shared" si="12"/>
        <v>7.6605548095995406</v>
      </c>
      <c r="R7" s="10">
        <v>64.5274</v>
      </c>
      <c r="S7" s="10">
        <v>66.472999999999999</v>
      </c>
      <c r="T7" s="10">
        <v>9277</v>
      </c>
      <c r="U7" s="10">
        <v>157639187</v>
      </c>
      <c r="V7" s="10">
        <v>176872210</v>
      </c>
    </row>
    <row r="8" spans="1:23">
      <c r="A8" s="60">
        <v>4</v>
      </c>
      <c r="B8" s="80" t="s">
        <v>27</v>
      </c>
      <c r="C8" s="80" t="s">
        <v>28</v>
      </c>
      <c r="D8" s="10">
        <v>1181413050.7</v>
      </c>
      <c r="E8" s="10">
        <v>7132126.6100000003</v>
      </c>
      <c r="F8" s="10">
        <v>0</v>
      </c>
      <c r="G8" s="10">
        <v>2264661.19</v>
      </c>
      <c r="H8" s="12">
        <f t="shared" si="6"/>
        <v>4867465.42</v>
      </c>
      <c r="I8" s="29">
        <v>1252759259.8800001</v>
      </c>
      <c r="J8" s="13">
        <f t="shared" si="0"/>
        <v>1.2471254322823115E-2</v>
      </c>
      <c r="K8" s="29">
        <v>1825932338.46</v>
      </c>
      <c r="L8" s="13">
        <f t="shared" si="7"/>
        <v>1.2313086404766633E-2</v>
      </c>
      <c r="M8" s="13">
        <f t="shared" si="8"/>
        <v>0.45752851081292611</v>
      </c>
      <c r="N8" s="20">
        <f t="shared" si="9"/>
        <v>1.2402766204962588E-3</v>
      </c>
      <c r="O8" s="21">
        <f t="shared" si="10"/>
        <v>2.6657424908226573E-3</v>
      </c>
      <c r="P8" s="22">
        <f t="shared" si="11"/>
        <v>315.53604876323413</v>
      </c>
      <c r="Q8" s="22">
        <f t="shared" si="12"/>
        <v>0.84113785257444329</v>
      </c>
      <c r="R8" s="10">
        <v>315.536</v>
      </c>
      <c r="S8" s="10">
        <v>315.536</v>
      </c>
      <c r="T8" s="10">
        <v>2402</v>
      </c>
      <c r="U8" s="10">
        <v>4696752.17</v>
      </c>
      <c r="V8" s="10">
        <v>5786763.0199999996</v>
      </c>
    </row>
    <row r="9" spans="1:23">
      <c r="A9" s="60">
        <v>5</v>
      </c>
      <c r="B9" s="19" t="s">
        <v>206</v>
      </c>
      <c r="C9" s="76" t="s">
        <v>103</v>
      </c>
      <c r="D9" s="10">
        <v>4408210560.2700005</v>
      </c>
      <c r="E9" s="10">
        <v>105550432.08</v>
      </c>
      <c r="F9" s="10">
        <v>576510461.51999998</v>
      </c>
      <c r="G9" s="10">
        <v>5456196.0899999999</v>
      </c>
      <c r="H9" s="12">
        <f t="shared" si="6"/>
        <v>676604697.50999999</v>
      </c>
      <c r="I9" s="29">
        <v>3503088471.5</v>
      </c>
      <c r="J9" s="13">
        <f t="shared" si="0"/>
        <v>3.4873346094932069E-2</v>
      </c>
      <c r="K9" s="29">
        <v>4688856602.9300003</v>
      </c>
      <c r="L9" s="13">
        <f t="shared" ref="L9:L24" si="13">(K9/$K$25)</f>
        <v>3.1619077703684807E-2</v>
      </c>
      <c r="M9" s="13">
        <f t="shared" ref="M9:M24" si="14">((K9-I9)/I9)</f>
        <v>0.33849220226009935</v>
      </c>
      <c r="N9" s="20">
        <f t="shared" ref="N9:N24" si="15">(G9/K9)</f>
        <v>1.1636517283532407E-3</v>
      </c>
      <c r="O9" s="21">
        <f t="shared" ref="O9:O24" si="16">H9/K9</f>
        <v>0.14430057363818702</v>
      </c>
      <c r="P9" s="22">
        <f t="shared" ref="P9:P24" si="17">K9/V9</f>
        <v>2.3255175393602907</v>
      </c>
      <c r="Q9" s="22">
        <f t="shared" ref="Q9:Q24" si="18">H9/V9</f>
        <v>0.33557351493535514</v>
      </c>
      <c r="R9" s="10">
        <v>2.3338999999999999</v>
      </c>
      <c r="S9" s="10">
        <v>2.3610000000000002</v>
      </c>
      <c r="T9" s="10">
        <v>1511</v>
      </c>
      <c r="U9" s="10">
        <v>1756709262.79</v>
      </c>
      <c r="V9" s="10">
        <v>2016263701.98</v>
      </c>
    </row>
    <row r="10" spans="1:23">
      <c r="A10" s="60">
        <v>6</v>
      </c>
      <c r="B10" s="71" t="s">
        <v>205</v>
      </c>
      <c r="C10" s="72" t="s">
        <v>48</v>
      </c>
      <c r="D10" s="10">
        <v>463890966.94</v>
      </c>
      <c r="E10" s="10">
        <v>1711554.31</v>
      </c>
      <c r="F10" s="17">
        <v>0</v>
      </c>
      <c r="G10" s="10">
        <v>1045084.27</v>
      </c>
      <c r="H10" s="12">
        <f t="shared" si="6"/>
        <v>666470.04</v>
      </c>
      <c r="I10" s="17">
        <v>333713961.98000002</v>
      </c>
      <c r="J10" s="13">
        <f t="shared" si="0"/>
        <v>3.3221320521934594E-3</v>
      </c>
      <c r="K10" s="17">
        <v>500184612.32999998</v>
      </c>
      <c r="L10" s="13">
        <f t="shared" si="13"/>
        <v>3.3729707395118301E-3</v>
      </c>
      <c r="M10" s="13">
        <f t="shared" si="14"/>
        <v>0.49884233000708794</v>
      </c>
      <c r="N10" s="20">
        <f t="shared" si="15"/>
        <v>2.0893970830723977E-3</v>
      </c>
      <c r="O10" s="21">
        <f t="shared" si="16"/>
        <v>1.3324481073006143E-3</v>
      </c>
      <c r="P10" s="22">
        <f t="shared" si="17"/>
        <v>277.17250013219018</v>
      </c>
      <c r="Q10" s="22">
        <f t="shared" si="18"/>
        <v>0.36931797319691612</v>
      </c>
      <c r="R10" s="10">
        <v>277.17</v>
      </c>
      <c r="S10" s="10">
        <v>277.17</v>
      </c>
      <c r="T10" s="10">
        <v>166</v>
      </c>
      <c r="U10" s="10">
        <v>1729652.38</v>
      </c>
      <c r="V10" s="10">
        <v>1804596.82</v>
      </c>
    </row>
    <row r="11" spans="1:23">
      <c r="A11" s="60">
        <v>7</v>
      </c>
      <c r="B11" s="19" t="s">
        <v>29</v>
      </c>
      <c r="C11" s="19" t="s">
        <v>30</v>
      </c>
      <c r="D11" s="10">
        <v>4851730351.4899998</v>
      </c>
      <c r="E11" s="10">
        <v>11624080.15</v>
      </c>
      <c r="F11" s="10">
        <v>699694846.79999995</v>
      </c>
      <c r="G11" s="10">
        <v>4985574.46</v>
      </c>
      <c r="H11" s="12">
        <f t="shared" si="6"/>
        <v>706333352.48999989</v>
      </c>
      <c r="I11" s="29">
        <v>3293402223.5</v>
      </c>
      <c r="J11" s="13">
        <f t="shared" si="0"/>
        <v>3.2785913488720841E-2</v>
      </c>
      <c r="K11" s="29">
        <v>4792426921.9499998</v>
      </c>
      <c r="L11" s="13">
        <f t="shared" si="13"/>
        <v>3.2317499140340045E-2</v>
      </c>
      <c r="M11" s="13">
        <f t="shared" si="14"/>
        <v>0.45515992178354092</v>
      </c>
      <c r="N11" s="20">
        <f t="shared" si="15"/>
        <v>1.0403026569200996E-3</v>
      </c>
      <c r="O11" s="21">
        <f t="shared" si="16"/>
        <v>0.14738531520530698</v>
      </c>
      <c r="P11" s="22">
        <f t="shared" si="17"/>
        <v>568.32522449440671</v>
      </c>
      <c r="Q11" s="22">
        <f t="shared" si="18"/>
        <v>83.762792351234992</v>
      </c>
      <c r="R11" s="10">
        <v>564.38</v>
      </c>
      <c r="S11" s="10">
        <v>572.64</v>
      </c>
      <c r="T11" s="10">
        <v>1964</v>
      </c>
      <c r="U11" s="10">
        <v>6857549.3799999999</v>
      </c>
      <c r="V11" s="10">
        <v>8432543.0500000007</v>
      </c>
    </row>
    <row r="12" spans="1:23">
      <c r="A12" s="60">
        <v>8</v>
      </c>
      <c r="B12" s="19" t="s">
        <v>31</v>
      </c>
      <c r="C12" s="76" t="s">
        <v>32</v>
      </c>
      <c r="D12" s="10">
        <v>626495135.72000003</v>
      </c>
      <c r="E12" s="10">
        <v>2711369.41</v>
      </c>
      <c r="F12" s="10">
        <v>110188954.2</v>
      </c>
      <c r="G12" s="10">
        <v>1988865.32</v>
      </c>
      <c r="H12" s="12">
        <f t="shared" si="6"/>
        <v>110911458.29000001</v>
      </c>
      <c r="I12" s="29">
        <v>529439345.81999999</v>
      </c>
      <c r="J12" s="13">
        <f t="shared" si="0"/>
        <v>5.2705838557224362E-3</v>
      </c>
      <c r="K12" s="29">
        <v>597591858.87</v>
      </c>
      <c r="L12" s="13">
        <f t="shared" si="13"/>
        <v>4.0298317950036187E-3</v>
      </c>
      <c r="M12" s="13">
        <f t="shared" si="14"/>
        <v>0.12872581833608313</v>
      </c>
      <c r="N12" s="20">
        <f t="shared" si="15"/>
        <v>3.3281332241720807E-3</v>
      </c>
      <c r="O12" s="21">
        <f t="shared" si="16"/>
        <v>0.18559733812258586</v>
      </c>
      <c r="P12" s="22">
        <f t="shared" si="17"/>
        <v>298.48416272703162</v>
      </c>
      <c r="Q12" s="22">
        <f t="shared" si="18"/>
        <v>55.39786607388583</v>
      </c>
      <c r="R12" s="10">
        <v>298.49</v>
      </c>
      <c r="S12" s="10">
        <v>312.61</v>
      </c>
      <c r="T12" s="10">
        <v>2475</v>
      </c>
      <c r="U12" s="10">
        <v>2002082</v>
      </c>
      <c r="V12" s="10">
        <v>2002089</v>
      </c>
    </row>
    <row r="13" spans="1:23">
      <c r="A13" s="60">
        <v>9</v>
      </c>
      <c r="B13" s="19" t="s">
        <v>33</v>
      </c>
      <c r="C13" s="19" t="s">
        <v>34</v>
      </c>
      <c r="D13" s="10">
        <v>113476017.89</v>
      </c>
      <c r="E13" s="10">
        <v>595767.12</v>
      </c>
      <c r="F13" s="10">
        <v>17676698.620000001</v>
      </c>
      <c r="G13" s="10">
        <v>2060737.79</v>
      </c>
      <c r="H13" s="12">
        <f t="shared" si="6"/>
        <v>16211727.950000003</v>
      </c>
      <c r="I13" s="29">
        <v>99720235.629999995</v>
      </c>
      <c r="J13" s="13">
        <f t="shared" si="0"/>
        <v>9.9271780261492781E-4</v>
      </c>
      <c r="K13" s="29">
        <v>113753795.33</v>
      </c>
      <c r="L13" s="13">
        <f t="shared" si="13"/>
        <v>7.6709321658093455E-4</v>
      </c>
      <c r="M13" s="13">
        <f t="shared" si="14"/>
        <v>0.14072930746042206</v>
      </c>
      <c r="N13" s="20">
        <f t="shared" si="15"/>
        <v>1.8115771733345647E-2</v>
      </c>
      <c r="O13" s="21">
        <f t="shared" si="16"/>
        <v>0.14251593015397637</v>
      </c>
      <c r="P13" s="22">
        <f t="shared" si="17"/>
        <v>410.398776796297</v>
      </c>
      <c r="Q13" s="22">
        <f t="shared" si="18"/>
        <v>58.488363409178397</v>
      </c>
      <c r="R13" s="10">
        <v>402.85</v>
      </c>
      <c r="S13" s="10">
        <v>416.83</v>
      </c>
      <c r="T13" s="10">
        <v>36</v>
      </c>
      <c r="U13" s="10">
        <v>273408.46999999997</v>
      </c>
      <c r="V13" s="10">
        <v>277178.69</v>
      </c>
      <c r="W13" s="6"/>
    </row>
    <row r="14" spans="1:23">
      <c r="A14" s="60">
        <v>10</v>
      </c>
      <c r="B14" s="76" t="s">
        <v>35</v>
      </c>
      <c r="C14" s="76" t="s">
        <v>36</v>
      </c>
      <c r="D14" s="10">
        <v>12895957631.120001</v>
      </c>
      <c r="E14" s="10">
        <v>26527270.359999999</v>
      </c>
      <c r="F14" s="10">
        <v>1470223844.78</v>
      </c>
      <c r="G14" s="10">
        <v>14415009.4</v>
      </c>
      <c r="H14" s="12">
        <f t="shared" si="6"/>
        <v>1482336105.7399998</v>
      </c>
      <c r="I14" s="29">
        <v>5856168998.4200001</v>
      </c>
      <c r="J14" s="13">
        <f t="shared" si="0"/>
        <v>5.8298330154609217E-2</v>
      </c>
      <c r="K14" s="29">
        <v>12862701261.450001</v>
      </c>
      <c r="L14" s="13">
        <f t="shared" si="13"/>
        <v>8.6739003792721411E-2</v>
      </c>
      <c r="M14" s="13">
        <f t="shared" si="14"/>
        <v>1.196436145357207</v>
      </c>
      <c r="N14" s="20">
        <f t="shared" si="15"/>
        <v>1.1206829037693914E-3</v>
      </c>
      <c r="O14" s="21">
        <f t="shared" si="16"/>
        <v>0.11524298633776225</v>
      </c>
      <c r="P14" s="22">
        <f t="shared" si="17"/>
        <v>5.1803930897681862</v>
      </c>
      <c r="Q14" s="22">
        <f t="shared" si="18"/>
        <v>0.59700397006839301</v>
      </c>
      <c r="R14" s="10">
        <v>5.16</v>
      </c>
      <c r="S14" s="10">
        <v>5.19</v>
      </c>
      <c r="T14" s="10">
        <v>6698</v>
      </c>
      <c r="U14" s="10">
        <v>1364759034.46</v>
      </c>
      <c r="V14" s="10">
        <v>2482958539.7399998</v>
      </c>
    </row>
    <row r="15" spans="1:23">
      <c r="A15" s="60">
        <v>11</v>
      </c>
      <c r="B15" s="71" t="s">
        <v>250</v>
      </c>
      <c r="C15" s="72" t="s">
        <v>273</v>
      </c>
      <c r="D15" s="17">
        <v>342327048.19</v>
      </c>
      <c r="E15" s="10">
        <v>4599334.63</v>
      </c>
      <c r="F15" s="10">
        <v>73287540.840000004</v>
      </c>
      <c r="G15" s="10">
        <v>1133035.71</v>
      </c>
      <c r="H15" s="12">
        <f t="shared" si="6"/>
        <v>76753839.760000005</v>
      </c>
      <c r="I15" s="17">
        <v>294306270.81</v>
      </c>
      <c r="J15" s="13">
        <f t="shared" si="0"/>
        <v>2.9298273575920257E-3</v>
      </c>
      <c r="K15" s="17">
        <v>363044974.49000001</v>
      </c>
      <c r="L15" s="13">
        <f t="shared" si="13"/>
        <v>2.4481762251288342E-3</v>
      </c>
      <c r="M15" s="13">
        <f t="shared" si="14"/>
        <v>0.23356180447944566</v>
      </c>
      <c r="N15" s="20">
        <f t="shared" si="15"/>
        <v>3.1209238238090781E-3</v>
      </c>
      <c r="O15" s="21">
        <f t="shared" si="16"/>
        <v>0.21141689089023369</v>
      </c>
      <c r="P15" s="22">
        <f t="shared" si="17"/>
        <v>36.36951523137914</v>
      </c>
      <c r="Q15" s="22">
        <f t="shared" si="18"/>
        <v>7.6891298334031752</v>
      </c>
      <c r="R15" s="10">
        <v>36.369515</v>
      </c>
      <c r="S15" s="10">
        <v>36.678379</v>
      </c>
      <c r="T15" s="10">
        <v>101</v>
      </c>
      <c r="U15" s="17">
        <v>5663104</v>
      </c>
      <c r="V15" s="17">
        <v>9982123</v>
      </c>
    </row>
    <row r="16" spans="1:23">
      <c r="A16" s="60">
        <v>12</v>
      </c>
      <c r="B16" s="19" t="s">
        <v>37</v>
      </c>
      <c r="C16" s="76" t="s">
        <v>38</v>
      </c>
      <c r="D16" s="10">
        <v>3704778907.1900001</v>
      </c>
      <c r="E16" s="10">
        <v>6960358.6399999997</v>
      </c>
      <c r="F16" s="10">
        <v>0</v>
      </c>
      <c r="G16" s="10">
        <v>5342256.37</v>
      </c>
      <c r="H16" s="12">
        <f t="shared" si="6"/>
        <v>1618102.2699999996</v>
      </c>
      <c r="I16" s="29">
        <v>2938230322.8000002</v>
      </c>
      <c r="J16" s="13">
        <f t="shared" si="0"/>
        <v>2.9250167041814143E-2</v>
      </c>
      <c r="K16" s="29">
        <v>3684901733.7600002</v>
      </c>
      <c r="L16" s="13">
        <f t="shared" si="13"/>
        <v>2.4848956604344191E-2</v>
      </c>
      <c r="M16" s="13">
        <f t="shared" si="14"/>
        <v>0.25412283208909781</v>
      </c>
      <c r="N16" s="20">
        <f t="shared" si="15"/>
        <v>1.4497690185482554E-3</v>
      </c>
      <c r="O16" s="21">
        <f t="shared" si="16"/>
        <v>4.3911680335337474E-4</v>
      </c>
      <c r="P16" s="22">
        <f t="shared" si="17"/>
        <v>7.3253534571533052</v>
      </c>
      <c r="Q16" s="22">
        <f t="shared" si="18"/>
        <v>3.2166857935387511E-3</v>
      </c>
      <c r="R16" s="10">
        <v>7.22</v>
      </c>
      <c r="S16" s="10">
        <v>7.38</v>
      </c>
      <c r="T16" s="10">
        <v>3726</v>
      </c>
      <c r="U16" s="10">
        <v>488256143</v>
      </c>
      <c r="V16" s="10">
        <v>503033984</v>
      </c>
    </row>
    <row r="17" spans="1:23">
      <c r="A17" s="60">
        <v>13</v>
      </c>
      <c r="B17" s="19" t="s">
        <v>39</v>
      </c>
      <c r="C17" s="19" t="s">
        <v>40</v>
      </c>
      <c r="D17" s="10">
        <v>6191258412.4200001</v>
      </c>
      <c r="E17" s="10">
        <v>174114986.72999999</v>
      </c>
      <c r="F17" s="10">
        <v>613617540.91999996</v>
      </c>
      <c r="G17" s="10">
        <v>7182478.9000000004</v>
      </c>
      <c r="H17" s="12">
        <f t="shared" si="6"/>
        <v>780550048.75</v>
      </c>
      <c r="I17" s="29">
        <v>4506727740.5699997</v>
      </c>
      <c r="J17" s="13">
        <f t="shared" si="0"/>
        <v>4.4864603772119954E-2</v>
      </c>
      <c r="K17" s="29">
        <v>6498211746.1000004</v>
      </c>
      <c r="L17" s="13">
        <f t="shared" si="13"/>
        <v>4.3820376593845828E-2</v>
      </c>
      <c r="M17" s="13">
        <f t="shared" si="14"/>
        <v>0.44189135003707208</v>
      </c>
      <c r="N17" s="20">
        <f t="shared" si="15"/>
        <v>1.1053008397749848E-3</v>
      </c>
      <c r="O17" s="21">
        <f t="shared" si="16"/>
        <v>0.12011766917544028</v>
      </c>
      <c r="P17" s="22">
        <f t="shared" si="17"/>
        <v>41.262074190244661</v>
      </c>
      <c r="Q17" s="22">
        <f t="shared" si="18"/>
        <v>4.956304177076281</v>
      </c>
      <c r="R17" s="10">
        <v>41.96</v>
      </c>
      <c r="S17" s="10">
        <v>42.12</v>
      </c>
      <c r="T17" s="10">
        <v>1508</v>
      </c>
      <c r="U17" s="10">
        <v>131575190.81999999</v>
      </c>
      <c r="V17" s="10">
        <v>157486308.52000001</v>
      </c>
    </row>
    <row r="18" spans="1:23">
      <c r="A18" s="60">
        <v>14</v>
      </c>
      <c r="B18" s="80" t="s">
        <v>41</v>
      </c>
      <c r="C18" s="80" t="s">
        <v>42</v>
      </c>
      <c r="D18" s="10">
        <v>236714759.37</v>
      </c>
      <c r="E18" s="10">
        <v>2871541.32</v>
      </c>
      <c r="F18" s="10">
        <v>145548907.25999999</v>
      </c>
      <c r="G18" s="10">
        <v>350375.93</v>
      </c>
      <c r="H18" s="12">
        <f>(E18+F18)-G18</f>
        <v>148070072.64999998</v>
      </c>
      <c r="I18" s="29">
        <v>190324445.05000001</v>
      </c>
      <c r="J18" s="13">
        <f t="shared" si="0"/>
        <v>1.8946853031412316E-3</v>
      </c>
      <c r="K18" s="29">
        <v>237369106.91999999</v>
      </c>
      <c r="L18" s="13">
        <f t="shared" si="13"/>
        <v>1.6006870910634657E-3</v>
      </c>
      <c r="M18" s="13">
        <f t="shared" si="14"/>
        <v>0.24718139520985286</v>
      </c>
      <c r="N18" s="20">
        <f t="shared" si="15"/>
        <v>1.476080584143102E-3</v>
      </c>
      <c r="O18" s="21">
        <f t="shared" si="16"/>
        <v>0.62379672979055245</v>
      </c>
      <c r="P18" s="22">
        <f t="shared" si="17"/>
        <v>2.5524199196447399</v>
      </c>
      <c r="Q18" s="22">
        <f t="shared" si="18"/>
        <v>1.5921911989266533</v>
      </c>
      <c r="R18" s="10">
        <v>2.4700000000000002</v>
      </c>
      <c r="S18" s="10">
        <v>2.5499999999999998</v>
      </c>
      <c r="T18" s="10">
        <v>25</v>
      </c>
      <c r="U18" s="10">
        <v>92592152.469999999</v>
      </c>
      <c r="V18" s="10">
        <v>92997670.599999994</v>
      </c>
    </row>
    <row r="19" spans="1:23">
      <c r="A19" s="60">
        <v>15</v>
      </c>
      <c r="B19" s="19" t="s">
        <v>43</v>
      </c>
      <c r="C19" s="19" t="s">
        <v>44</v>
      </c>
      <c r="D19" s="10">
        <v>14231226908.450001</v>
      </c>
      <c r="E19" s="10">
        <v>30607377.579999998</v>
      </c>
      <c r="F19" s="10">
        <v>2468433671.5300002</v>
      </c>
      <c r="G19" s="10">
        <v>18866143.57</v>
      </c>
      <c r="H19" s="12">
        <f t="shared" si="6"/>
        <v>2480174905.54</v>
      </c>
      <c r="I19" s="29">
        <v>9737470867.9699993</v>
      </c>
      <c r="J19" s="13">
        <f t="shared" si="0"/>
        <v>9.6936801462690778E-2</v>
      </c>
      <c r="K19" s="29">
        <v>14194488535.290001</v>
      </c>
      <c r="L19" s="13">
        <f t="shared" si="13"/>
        <v>9.5719846855828031E-2</v>
      </c>
      <c r="M19" s="13">
        <f t="shared" si="14"/>
        <v>0.45771820298643623</v>
      </c>
      <c r="N19" s="20">
        <f t="shared" si="15"/>
        <v>1.3291175319981021E-3</v>
      </c>
      <c r="O19" s="21">
        <f t="shared" si="16"/>
        <v>0.17472802203290722</v>
      </c>
      <c r="P19" s="22">
        <f t="shared" si="17"/>
        <v>64.364370618448447</v>
      </c>
      <c r="Q19" s="22">
        <f t="shared" si="18"/>
        <v>11.246259167554465</v>
      </c>
      <c r="R19" s="10">
        <v>64.364400000000003</v>
      </c>
      <c r="S19" s="10">
        <v>64.531000000000006</v>
      </c>
      <c r="T19" s="10">
        <v>14276</v>
      </c>
      <c r="U19" s="10">
        <v>186632203</v>
      </c>
      <c r="V19" s="10">
        <v>220533323</v>
      </c>
    </row>
    <row r="20" spans="1:23">
      <c r="A20" s="60">
        <v>16</v>
      </c>
      <c r="B20" s="76" t="s">
        <v>45</v>
      </c>
      <c r="C20" s="19" t="s">
        <v>46</v>
      </c>
      <c r="D20" s="10">
        <v>2626319899.4699998</v>
      </c>
      <c r="E20" s="10">
        <v>7004995.5599999996</v>
      </c>
      <c r="F20" s="10">
        <v>382431658.05000001</v>
      </c>
      <c r="G20" s="10">
        <v>7337956.79</v>
      </c>
      <c r="H20" s="12">
        <f>(E20+F20)-G20</f>
        <v>382098696.81999999</v>
      </c>
      <c r="I20" s="29">
        <v>1970050229.5599999</v>
      </c>
      <c r="J20" s="13">
        <f t="shared" si="0"/>
        <v>1.9611906475895651E-2</v>
      </c>
      <c r="K20" s="29">
        <v>3305730376.0999999</v>
      </c>
      <c r="L20" s="13">
        <f t="shared" si="13"/>
        <v>2.2292032894335356E-2</v>
      </c>
      <c r="M20" s="13">
        <f t="shared" si="14"/>
        <v>0.677992939722312</v>
      </c>
      <c r="N20" s="20">
        <f t="shared" si="15"/>
        <v>2.2197686910742846E-3</v>
      </c>
      <c r="O20" s="21">
        <f t="shared" si="16"/>
        <v>0.11558677004710481</v>
      </c>
      <c r="P20" s="22">
        <f t="shared" si="17"/>
        <v>15782.929756462325</v>
      </c>
      <c r="Q20" s="22">
        <f t="shared" si="18"/>
        <v>1824.2978724298187</v>
      </c>
      <c r="R20" s="10">
        <v>15710.33</v>
      </c>
      <c r="S20" s="10">
        <v>15877.58</v>
      </c>
      <c r="T20" s="10">
        <v>53</v>
      </c>
      <c r="U20" s="10">
        <v>146273.06</v>
      </c>
      <c r="V20" s="10">
        <v>209449.73</v>
      </c>
    </row>
    <row r="21" spans="1:23">
      <c r="A21" s="60">
        <v>17</v>
      </c>
      <c r="B21" s="19" t="s">
        <v>47</v>
      </c>
      <c r="C21" s="19" t="s">
        <v>46</v>
      </c>
      <c r="D21" s="10">
        <v>39363235710.370003</v>
      </c>
      <c r="E21" s="10">
        <v>266120867.34999999</v>
      </c>
      <c r="F21" s="10">
        <v>6597398359.6300001</v>
      </c>
      <c r="G21" s="10">
        <v>134773110.94999999</v>
      </c>
      <c r="H21" s="12">
        <f t="shared" si="6"/>
        <v>6728746116.0300007</v>
      </c>
      <c r="I21" s="29">
        <v>30343482945.82</v>
      </c>
      <c r="J21" s="13">
        <f t="shared" si="0"/>
        <v>0.3020702420461977</v>
      </c>
      <c r="K21" s="29">
        <v>44888033399.040001</v>
      </c>
      <c r="L21" s="13">
        <f t="shared" si="13"/>
        <v>0.30270028200967647</v>
      </c>
      <c r="M21" s="13">
        <f t="shared" si="14"/>
        <v>0.47933028911645104</v>
      </c>
      <c r="N21" s="20">
        <f t="shared" si="15"/>
        <v>3.0024285036484204E-3</v>
      </c>
      <c r="O21" s="21">
        <f t="shared" si="16"/>
        <v>0.1499006663137509</v>
      </c>
      <c r="P21" s="22">
        <f t="shared" si="17"/>
        <v>55030.494100525291</v>
      </c>
      <c r="Q21" s="22">
        <f t="shared" si="18"/>
        <v>8249.1077332436798</v>
      </c>
      <c r="R21" s="10">
        <v>54667.43</v>
      </c>
      <c r="S21" s="10">
        <v>55355.94</v>
      </c>
      <c r="T21" s="10">
        <v>24457</v>
      </c>
      <c r="U21" s="10">
        <v>664031.06999999995</v>
      </c>
      <c r="V21" s="10">
        <v>815693.81</v>
      </c>
    </row>
    <row r="22" spans="1:23">
      <c r="A22" s="60">
        <v>18</v>
      </c>
      <c r="B22" s="19" t="s">
        <v>49</v>
      </c>
      <c r="C22" s="19" t="s">
        <v>50</v>
      </c>
      <c r="D22" s="10">
        <v>8840991020</v>
      </c>
      <c r="E22" s="10">
        <v>32603585</v>
      </c>
      <c r="F22" s="10">
        <v>1626639402</v>
      </c>
      <c r="G22" s="10">
        <v>13904859</v>
      </c>
      <c r="H22" s="12">
        <f t="shared" ref="H22" si="19">(E22+F22)-G22</f>
        <v>1645338128</v>
      </c>
      <c r="I22" s="29">
        <v>8033470092</v>
      </c>
      <c r="J22" s="13">
        <f t="shared" si="0"/>
        <v>7.9973424919423067E-2</v>
      </c>
      <c r="K22" s="29">
        <v>11031916289</v>
      </c>
      <c r="L22" s="13">
        <f t="shared" si="13"/>
        <v>7.4393193885363237E-2</v>
      </c>
      <c r="M22" s="13">
        <f t="shared" si="14"/>
        <v>0.37324420986964946</v>
      </c>
      <c r="N22" s="20">
        <f t="shared" si="15"/>
        <v>1.2604210035444732E-3</v>
      </c>
      <c r="O22" s="21">
        <f t="shared" si="16"/>
        <v>0.14914345657613248</v>
      </c>
      <c r="P22" s="22">
        <f t="shared" si="17"/>
        <v>2.5073540722096639</v>
      </c>
      <c r="Q22" s="22">
        <f t="shared" si="18"/>
        <v>0.37395545318959095</v>
      </c>
      <c r="R22" s="10">
        <v>2.5099999999999998</v>
      </c>
      <c r="S22" s="10">
        <v>2.5299999999999998</v>
      </c>
      <c r="T22" s="10">
        <v>3965</v>
      </c>
      <c r="U22" s="10">
        <v>3885016066</v>
      </c>
      <c r="V22" s="10">
        <v>4399823866.6300001</v>
      </c>
    </row>
    <row r="23" spans="1:23">
      <c r="A23" s="60">
        <v>19</v>
      </c>
      <c r="B23" s="71" t="s">
        <v>318</v>
      </c>
      <c r="C23" s="71" t="s">
        <v>290</v>
      </c>
      <c r="D23" s="10">
        <v>1546842305.5</v>
      </c>
      <c r="E23" s="10">
        <v>32485030.530000001</v>
      </c>
      <c r="F23" s="10">
        <v>0</v>
      </c>
      <c r="G23" s="10">
        <v>1479487.5</v>
      </c>
      <c r="H23" s="12">
        <f t="shared" si="6"/>
        <v>31005543.030000001</v>
      </c>
      <c r="I23" s="29">
        <v>405546211.06999999</v>
      </c>
      <c r="J23" s="13">
        <f t="shared" si="0"/>
        <v>4.0372241498304621E-3</v>
      </c>
      <c r="K23" s="29">
        <v>1627216971.6099999</v>
      </c>
      <c r="L23" s="13">
        <f t="shared" si="13"/>
        <v>1.097305894019881E-2</v>
      </c>
      <c r="M23" s="13">
        <f t="shared" si="14"/>
        <v>3.0124082710986824</v>
      </c>
      <c r="N23" s="20">
        <f t="shared" si="15"/>
        <v>9.0921341518222147E-4</v>
      </c>
      <c r="O23" s="21">
        <f t="shared" si="16"/>
        <v>1.9054338524580727E-2</v>
      </c>
      <c r="P23" s="22">
        <f t="shared" si="17"/>
        <v>1.468781147286133</v>
      </c>
      <c r="Q23" s="22">
        <f t="shared" si="18"/>
        <v>2.798665319891204E-2</v>
      </c>
      <c r="R23" s="10">
        <v>1.4688000000000001</v>
      </c>
      <c r="S23" s="10">
        <v>1.4688000000000001</v>
      </c>
      <c r="T23" s="10">
        <v>700</v>
      </c>
      <c r="U23" s="10">
        <v>1107868912</v>
      </c>
      <c r="V23" s="10">
        <v>1107868912</v>
      </c>
    </row>
    <row r="24" spans="1:23">
      <c r="A24" s="60">
        <v>20</v>
      </c>
      <c r="B24" s="72" t="s">
        <v>251</v>
      </c>
      <c r="C24" s="72" t="s">
        <v>252</v>
      </c>
      <c r="D24" s="10">
        <v>15291864405.950001</v>
      </c>
      <c r="E24" s="10">
        <v>2011965</v>
      </c>
      <c r="F24" s="10">
        <v>3057355150.6500001</v>
      </c>
      <c r="G24" s="10">
        <v>24939502.449999999</v>
      </c>
      <c r="H24" s="12">
        <f t="shared" si="6"/>
        <v>3034427613.2000003</v>
      </c>
      <c r="I24" s="29">
        <v>10782180479</v>
      </c>
      <c r="J24" s="13">
        <f t="shared" si="0"/>
        <v>0.10733691557072839</v>
      </c>
      <c r="K24" s="29">
        <v>14813182538</v>
      </c>
      <c r="L24" s="13">
        <f t="shared" si="13"/>
        <v>9.989197993711417E-2</v>
      </c>
      <c r="M24" s="13">
        <f t="shared" si="14"/>
        <v>0.373857780144843</v>
      </c>
      <c r="N24" s="20">
        <f t="shared" si="15"/>
        <v>1.6836019124197739E-3</v>
      </c>
      <c r="O24" s="21">
        <f t="shared" si="16"/>
        <v>0.2048464336016812</v>
      </c>
      <c r="P24" s="22">
        <f t="shared" si="17"/>
        <v>288.70623386900837</v>
      </c>
      <c r="Q24" s="22">
        <f t="shared" si="18"/>
        <v>59.14044236663927</v>
      </c>
      <c r="R24" s="10">
        <v>285.8</v>
      </c>
      <c r="S24" s="10">
        <v>290.72000000000003</v>
      </c>
      <c r="T24" s="10">
        <v>101</v>
      </c>
      <c r="U24" s="10">
        <v>45733132</v>
      </c>
      <c r="V24" s="10">
        <v>51308842</v>
      </c>
    </row>
    <row r="25" spans="1:23">
      <c r="A25" s="109" t="s">
        <v>51</v>
      </c>
      <c r="B25" s="109"/>
      <c r="C25" s="109"/>
      <c r="D25" s="109"/>
      <c r="E25" s="109"/>
      <c r="F25" s="109"/>
      <c r="G25" s="109"/>
      <c r="H25" s="109"/>
      <c r="I25" s="49">
        <f>SUM(I5:I24)</f>
        <v>100451745065.24002</v>
      </c>
      <c r="J25" s="34">
        <f>(I25/$I$240)</f>
        <v>1.2355755051750558E-2</v>
      </c>
      <c r="K25" s="49">
        <f>SUM(K5:K24)</f>
        <v>148292010503</v>
      </c>
      <c r="L25" s="34">
        <f>(K25/$K$240)</f>
        <v>1.7841581676912938E-2</v>
      </c>
      <c r="M25" s="34">
        <f t="shared" si="1"/>
        <v>0.47625121302461537</v>
      </c>
      <c r="N25" s="20"/>
      <c r="O25" s="20"/>
      <c r="P25" s="35"/>
      <c r="Q25" s="35"/>
      <c r="R25" s="36"/>
      <c r="S25" s="36"/>
      <c r="T25" s="36">
        <f>SUM(T5:T24)</f>
        <v>75649</v>
      </c>
      <c r="U25" s="36"/>
      <c r="V25" s="36"/>
    </row>
    <row r="26" spans="1:23" ht="6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5"/>
    </row>
    <row r="27" spans="1:23">
      <c r="A27" s="108" t="s">
        <v>52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</row>
    <row r="28" spans="1:23" ht="13.05" customHeight="1">
      <c r="A28" s="95">
        <v>21</v>
      </c>
      <c r="B28" s="19" t="s">
        <v>53</v>
      </c>
      <c r="C28" s="19" t="s">
        <v>22</v>
      </c>
      <c r="D28" s="10">
        <v>6067818673.5299997</v>
      </c>
      <c r="E28" s="10">
        <v>83997236.260000005</v>
      </c>
      <c r="F28" s="10">
        <v>0</v>
      </c>
      <c r="G28" s="10">
        <v>10533001.34</v>
      </c>
      <c r="H28" s="12">
        <f>(E28+F28)-G28</f>
        <v>73464234.920000002</v>
      </c>
      <c r="I28" s="43">
        <v>5994309277.3000002</v>
      </c>
      <c r="J28" s="13">
        <f>(I28/$I$72)</f>
        <v>1.1551312627462215E-3</v>
      </c>
      <c r="K28" s="43">
        <v>5819500892.6599998</v>
      </c>
      <c r="L28" s="13">
        <f t="shared" ref="L28" si="20">(K28/$K$72)</f>
        <v>1.0943905468219182E-3</v>
      </c>
      <c r="M28" s="13">
        <f t="shared" ref="M28:M72" si="21">((K28-I28)/I28)</f>
        <v>-2.91623899524148E-2</v>
      </c>
      <c r="N28" s="20">
        <f t="shared" ref="N28" si="22">(G28/K28)</f>
        <v>1.8099492609898948E-3</v>
      </c>
      <c r="O28" s="21">
        <f t="shared" ref="O28" si="23">H28/K28</f>
        <v>1.2623803359607475E-2</v>
      </c>
      <c r="P28" s="24">
        <f t="shared" ref="P28" si="24">K28/V28</f>
        <v>100.16316451627283</v>
      </c>
      <c r="Q28" s="24">
        <f t="shared" ref="Q28" si="25">H28/V28</f>
        <v>1.264440092729441</v>
      </c>
      <c r="R28" s="10">
        <v>100</v>
      </c>
      <c r="S28" s="10">
        <v>100</v>
      </c>
      <c r="T28" s="10">
        <v>919</v>
      </c>
      <c r="U28" s="18">
        <v>59916237</v>
      </c>
      <c r="V28" s="18">
        <v>58100210</v>
      </c>
    </row>
    <row r="29" spans="1:23" ht="15" customHeight="1">
      <c r="A29" s="95">
        <v>22</v>
      </c>
      <c r="B29" s="19" t="s">
        <v>54</v>
      </c>
      <c r="C29" s="19" t="s">
        <v>55</v>
      </c>
      <c r="D29" s="10">
        <v>37493734998.150002</v>
      </c>
      <c r="E29" s="10">
        <v>574572916.36000001</v>
      </c>
      <c r="F29" s="10">
        <v>0</v>
      </c>
      <c r="G29" s="10">
        <v>58030813.189999998</v>
      </c>
      <c r="H29" s="12">
        <f t="shared" ref="H29:H71" si="26">(E29+F29)-G29</f>
        <v>516542103.17000002</v>
      </c>
      <c r="I29" s="43">
        <v>36423662683.379997</v>
      </c>
      <c r="J29" s="13">
        <f t="shared" ref="J29:J71" si="27">(I29/$I$72)</f>
        <v>7.0190091173017496E-3</v>
      </c>
      <c r="K29" s="43">
        <v>38200625371.370003</v>
      </c>
      <c r="L29" s="13">
        <f t="shared" ref="L29:L71" si="28">(K29/$K$72)</f>
        <v>7.1838468728207079E-3</v>
      </c>
      <c r="M29" s="13">
        <f t="shared" ref="M29:M71" si="29">((K29-I29)/I29)</f>
        <v>4.8785941804826455E-2</v>
      </c>
      <c r="N29" s="20">
        <f t="shared" ref="N29:N71" si="30">(G29/K29)</f>
        <v>1.5191063660830017E-3</v>
      </c>
      <c r="O29" s="21">
        <f t="shared" ref="O29:O71" si="31">H29/K29</f>
        <v>1.3521823220127956E-2</v>
      </c>
      <c r="P29" s="24">
        <f t="shared" ref="P29:P71" si="32">K29/V29</f>
        <v>103.84019759900376</v>
      </c>
      <c r="Q29" s="24">
        <f t="shared" ref="Q29:Q71" si="33">H29/V29</f>
        <v>1.4041087950768842</v>
      </c>
      <c r="R29" s="10">
        <v>100</v>
      </c>
      <c r="S29" s="10">
        <v>100</v>
      </c>
      <c r="T29" s="10">
        <v>4362</v>
      </c>
      <c r="U29" s="18">
        <v>358410435.07999998</v>
      </c>
      <c r="V29" s="18">
        <v>367878974.18000001</v>
      </c>
    </row>
    <row r="30" spans="1:23">
      <c r="A30" s="95">
        <v>23</v>
      </c>
      <c r="B30" s="19" t="s">
        <v>56</v>
      </c>
      <c r="C30" s="19" t="s">
        <v>24</v>
      </c>
      <c r="D30" s="10">
        <v>3533033958.3499999</v>
      </c>
      <c r="E30" s="10">
        <v>47657197.520000003</v>
      </c>
      <c r="F30" s="10">
        <v>0</v>
      </c>
      <c r="G30" s="10">
        <v>4093921.08</v>
      </c>
      <c r="H30" s="12">
        <f t="shared" si="26"/>
        <v>43563276.440000005</v>
      </c>
      <c r="I30" s="43">
        <v>3275741999.7199998</v>
      </c>
      <c r="J30" s="13">
        <f t="shared" si="27"/>
        <v>6.3125071088620459E-4</v>
      </c>
      <c r="K30" s="43">
        <v>3547230144.8200002</v>
      </c>
      <c r="L30" s="13">
        <f t="shared" si="28"/>
        <v>6.6707698984789176E-4</v>
      </c>
      <c r="M30" s="13">
        <f t="shared" si="29"/>
        <v>8.2878366221517549E-2</v>
      </c>
      <c r="N30" s="20">
        <f t="shared" si="30"/>
        <v>1.1541176954583366E-3</v>
      </c>
      <c r="O30" s="21">
        <f t="shared" si="31"/>
        <v>1.2280927557975116E-2</v>
      </c>
      <c r="P30" s="24">
        <f t="shared" si="32"/>
        <v>128.03884759832573</v>
      </c>
      <c r="Q30" s="24">
        <f t="shared" si="33"/>
        <v>1.5724358119616546</v>
      </c>
      <c r="R30" s="10">
        <v>100</v>
      </c>
      <c r="S30" s="10">
        <v>100</v>
      </c>
      <c r="T30" s="10">
        <v>1876</v>
      </c>
      <c r="U30" s="18">
        <v>25603474.309999999</v>
      </c>
      <c r="V30" s="18">
        <v>27704327.329999998</v>
      </c>
    </row>
    <row r="31" spans="1:23">
      <c r="A31" s="95">
        <v>24</v>
      </c>
      <c r="B31" s="19" t="s">
        <v>321</v>
      </c>
      <c r="C31" s="19" t="s">
        <v>322</v>
      </c>
      <c r="D31" s="10">
        <v>181704077.18000001</v>
      </c>
      <c r="E31" s="10">
        <v>16085770.58</v>
      </c>
      <c r="F31" s="10">
        <v>0</v>
      </c>
      <c r="G31" s="10">
        <v>2010959.37</v>
      </c>
      <c r="H31" s="12">
        <f t="shared" si="26"/>
        <v>14074811.210000001</v>
      </c>
      <c r="I31" s="43">
        <v>717788854.44000006</v>
      </c>
      <c r="J31" s="13">
        <f t="shared" si="27"/>
        <v>1.3832124894761993E-4</v>
      </c>
      <c r="K31" s="43">
        <v>675707696.84000003</v>
      </c>
      <c r="L31" s="13">
        <f t="shared" si="28"/>
        <v>1.2707071095550575E-4</v>
      </c>
      <c r="M31" s="13">
        <f t="shared" si="29"/>
        <v>-5.862609504132052E-2</v>
      </c>
      <c r="N31" s="20">
        <f t="shared" si="30"/>
        <v>2.9760788272864274E-3</v>
      </c>
      <c r="O31" s="21">
        <f t="shared" si="31"/>
        <v>2.0829733442170272E-2</v>
      </c>
      <c r="P31" s="24">
        <f t="shared" si="32"/>
        <v>99.999999976321135</v>
      </c>
      <c r="Q31" s="24">
        <f t="shared" si="33"/>
        <v>2.0829733437238027</v>
      </c>
      <c r="R31" s="10">
        <v>100</v>
      </c>
      <c r="S31" s="10">
        <v>100</v>
      </c>
      <c r="T31" s="10">
        <v>107</v>
      </c>
      <c r="U31" s="18">
        <v>7177888.5439999998</v>
      </c>
      <c r="V31" s="18">
        <v>6757076.9699999997</v>
      </c>
    </row>
    <row r="32" spans="1:23">
      <c r="A32" s="95">
        <v>25</v>
      </c>
      <c r="B32" s="19" t="s">
        <v>57</v>
      </c>
      <c r="C32" s="76" t="s">
        <v>58</v>
      </c>
      <c r="D32" s="10">
        <v>145446433257</v>
      </c>
      <c r="E32" s="10">
        <v>5266300491</v>
      </c>
      <c r="F32" s="10">
        <v>0</v>
      </c>
      <c r="G32" s="10">
        <v>5266300491</v>
      </c>
      <c r="H32" s="12">
        <f t="shared" si="26"/>
        <v>0</v>
      </c>
      <c r="I32" s="43">
        <v>359972000819</v>
      </c>
      <c r="J32" s="13">
        <f t="shared" si="27"/>
        <v>6.9368277915521512E-2</v>
      </c>
      <c r="K32" s="43">
        <v>371643810156</v>
      </c>
      <c r="L32" s="13">
        <f t="shared" si="28"/>
        <v>6.9889751736716244E-2</v>
      </c>
      <c r="M32" s="13">
        <f t="shared" si="29"/>
        <v>3.2424214412355871E-2</v>
      </c>
      <c r="N32" s="20">
        <f t="shared" si="30"/>
        <v>1.4170289796537805E-2</v>
      </c>
      <c r="O32" s="21">
        <f t="shared" si="31"/>
        <v>0</v>
      </c>
      <c r="P32" s="24">
        <f t="shared" si="32"/>
        <v>1</v>
      </c>
      <c r="Q32" s="24">
        <f t="shared" si="33"/>
        <v>0</v>
      </c>
      <c r="R32" s="10">
        <v>1</v>
      </c>
      <c r="S32" s="10">
        <v>1</v>
      </c>
      <c r="T32" s="10">
        <v>81102</v>
      </c>
      <c r="U32" s="18">
        <v>359972000819</v>
      </c>
      <c r="V32" s="18">
        <v>371643810156</v>
      </c>
    </row>
    <row r="33" spans="1:22">
      <c r="A33" s="95">
        <v>26</v>
      </c>
      <c r="B33" s="19" t="s">
        <v>268</v>
      </c>
      <c r="C33" s="76" t="s">
        <v>101</v>
      </c>
      <c r="D33" s="10">
        <v>1116562645.5999999</v>
      </c>
      <c r="E33" s="10">
        <v>32750222.489999998</v>
      </c>
      <c r="F33" s="10">
        <v>0</v>
      </c>
      <c r="G33" s="10">
        <v>4181214.75</v>
      </c>
      <c r="H33" s="12">
        <f t="shared" si="26"/>
        <v>28569007.739999998</v>
      </c>
      <c r="I33" s="43">
        <v>1936242241.1199999</v>
      </c>
      <c r="J33" s="13">
        <f t="shared" si="27"/>
        <v>3.7312288063570703E-4</v>
      </c>
      <c r="K33" s="43">
        <v>2185631304.23</v>
      </c>
      <c r="L33" s="13">
        <f t="shared" si="28"/>
        <v>4.1102051229243087E-4</v>
      </c>
      <c r="M33" s="13">
        <f t="shared" si="29"/>
        <v>0.12880054871943272</v>
      </c>
      <c r="N33" s="20">
        <f t="shared" si="30"/>
        <v>1.913046698181808E-3</v>
      </c>
      <c r="O33" s="21">
        <f t="shared" si="31"/>
        <v>1.307128411123526E-2</v>
      </c>
      <c r="P33" s="24">
        <f t="shared" si="32"/>
        <v>0.98510348230224631</v>
      </c>
      <c r="Q33" s="24">
        <f t="shared" si="33"/>
        <v>1.2876567496139878E-2</v>
      </c>
      <c r="R33" s="10">
        <v>1</v>
      </c>
      <c r="S33" s="10">
        <v>1</v>
      </c>
      <c r="T33" s="10">
        <v>408</v>
      </c>
      <c r="U33" s="18">
        <v>1996374745</v>
      </c>
      <c r="V33" s="18">
        <v>2218681939</v>
      </c>
    </row>
    <row r="34" spans="1:22" ht="15" customHeight="1">
      <c r="A34" s="95">
        <v>27</v>
      </c>
      <c r="B34" s="19" t="s">
        <v>59</v>
      </c>
      <c r="C34" s="19" t="s">
        <v>28</v>
      </c>
      <c r="D34" s="10">
        <v>59129020657.099998</v>
      </c>
      <c r="E34" s="10">
        <v>2307900299.27</v>
      </c>
      <c r="F34" s="10">
        <v>0</v>
      </c>
      <c r="G34" s="10">
        <v>209240792.69</v>
      </c>
      <c r="H34" s="12">
        <f t="shared" si="26"/>
        <v>2098659506.5799999</v>
      </c>
      <c r="I34" s="43">
        <v>168238360936.72</v>
      </c>
      <c r="J34" s="13">
        <f t="shared" si="27"/>
        <v>3.2420314221544941E-2</v>
      </c>
      <c r="K34" s="43">
        <v>169738858414.42999</v>
      </c>
      <c r="L34" s="13">
        <f t="shared" si="28"/>
        <v>3.1920366626524914E-2</v>
      </c>
      <c r="M34" s="13">
        <f t="shared" si="29"/>
        <v>8.9188783661199485E-3</v>
      </c>
      <c r="N34" s="20">
        <f t="shared" si="30"/>
        <v>1.2327218095170825E-3</v>
      </c>
      <c r="O34" s="21">
        <f t="shared" si="31"/>
        <v>1.2364048669727514E-2</v>
      </c>
      <c r="P34" s="24">
        <f t="shared" si="32"/>
        <v>1.0249678353025768</v>
      </c>
      <c r="Q34" s="24">
        <f t="shared" si="33"/>
        <v>1.2672752200586314E-2</v>
      </c>
      <c r="R34" s="10">
        <v>1</v>
      </c>
      <c r="S34" s="10">
        <v>1</v>
      </c>
      <c r="T34" s="10">
        <v>39102</v>
      </c>
      <c r="U34" s="18">
        <v>166084373272.66</v>
      </c>
      <c r="V34" s="18">
        <v>165604082946</v>
      </c>
    </row>
    <row r="35" spans="1:22" ht="15" customHeight="1">
      <c r="A35" s="95">
        <v>28</v>
      </c>
      <c r="B35" s="19" t="s">
        <v>263</v>
      </c>
      <c r="C35" s="19" t="s">
        <v>103</v>
      </c>
      <c r="D35" s="10">
        <v>19746613130.200001</v>
      </c>
      <c r="E35" s="10">
        <v>261470905.37</v>
      </c>
      <c r="F35" s="10">
        <v>0</v>
      </c>
      <c r="G35" s="10">
        <v>23546510</v>
      </c>
      <c r="H35" s="12">
        <f t="shared" si="26"/>
        <v>237924395.37</v>
      </c>
      <c r="I35" s="43">
        <v>18386635303.360001</v>
      </c>
      <c r="J35" s="13">
        <f t="shared" si="27"/>
        <v>3.5431900946544261E-3</v>
      </c>
      <c r="K35" s="43">
        <v>19532539162.040001</v>
      </c>
      <c r="L35" s="13">
        <f t="shared" si="28"/>
        <v>3.6732061062705258E-3</v>
      </c>
      <c r="M35" s="13">
        <f t="shared" si="29"/>
        <v>6.2322651196034556E-2</v>
      </c>
      <c r="N35" s="20">
        <f t="shared" si="30"/>
        <v>1.205501742741202E-3</v>
      </c>
      <c r="O35" s="21">
        <f t="shared" si="31"/>
        <v>1.2180925039811922E-2</v>
      </c>
      <c r="P35" s="24">
        <f t="shared" si="32"/>
        <v>0.99856136266819528</v>
      </c>
      <c r="Q35" s="24">
        <f t="shared" si="33"/>
        <v>1.2163401106313733E-2</v>
      </c>
      <c r="R35" s="10">
        <v>1</v>
      </c>
      <c r="S35" s="10">
        <v>1</v>
      </c>
      <c r="T35" s="10">
        <v>1669</v>
      </c>
      <c r="U35" s="18">
        <v>18386635303.360001</v>
      </c>
      <c r="V35" s="18">
        <v>19560679886.360001</v>
      </c>
    </row>
    <row r="36" spans="1:22">
      <c r="A36" s="95">
        <v>29</v>
      </c>
      <c r="B36" s="76" t="s">
        <v>258</v>
      </c>
      <c r="C36" s="76" t="s">
        <v>44</v>
      </c>
      <c r="D36" s="10">
        <v>39797046764.989998</v>
      </c>
      <c r="E36" s="10">
        <v>544097293.02999997</v>
      </c>
      <c r="F36" s="10">
        <v>0</v>
      </c>
      <c r="G36" s="10">
        <v>59029929.130000003</v>
      </c>
      <c r="H36" s="12">
        <f t="shared" si="26"/>
        <v>485067363.89999998</v>
      </c>
      <c r="I36" s="43">
        <v>37198331158.910004</v>
      </c>
      <c r="J36" s="13">
        <f t="shared" si="27"/>
        <v>7.1682913336427335E-3</v>
      </c>
      <c r="K36" s="43">
        <v>38744526463.099998</v>
      </c>
      <c r="L36" s="13">
        <f t="shared" si="28"/>
        <v>7.2861305951148637E-3</v>
      </c>
      <c r="M36" s="13">
        <f t="shared" si="29"/>
        <v>4.1566254614614329E-2</v>
      </c>
      <c r="N36" s="20">
        <f t="shared" si="30"/>
        <v>1.5235682177254036E-3</v>
      </c>
      <c r="O36" s="21">
        <f t="shared" si="31"/>
        <v>1.2519635886167677E-2</v>
      </c>
      <c r="P36" s="24">
        <f t="shared" si="32"/>
        <v>100.00036640174265</v>
      </c>
      <c r="Q36" s="24">
        <f t="shared" si="33"/>
        <v>1.251968175833174</v>
      </c>
      <c r="R36" s="10">
        <v>100</v>
      </c>
      <c r="S36" s="10">
        <v>100</v>
      </c>
      <c r="T36" s="10">
        <v>9287</v>
      </c>
      <c r="U36" s="18">
        <v>371958541.12</v>
      </c>
      <c r="V36" s="18">
        <v>387443845.02999997</v>
      </c>
    </row>
    <row r="37" spans="1:22">
      <c r="A37" s="95">
        <v>30</v>
      </c>
      <c r="B37" s="25" t="s">
        <v>212</v>
      </c>
      <c r="C37" s="25" t="s">
        <v>213</v>
      </c>
      <c r="D37" s="10">
        <v>2768651998.5300002</v>
      </c>
      <c r="E37" s="10">
        <v>92095779.329999998</v>
      </c>
      <c r="F37" s="10">
        <v>0</v>
      </c>
      <c r="G37" s="10">
        <v>3237683.89</v>
      </c>
      <c r="H37" s="12">
        <f t="shared" si="26"/>
        <v>88858095.439999998</v>
      </c>
      <c r="I37" s="43">
        <v>2436251957.8600001</v>
      </c>
      <c r="J37" s="13">
        <f t="shared" si="27"/>
        <v>4.6947707738536379E-4</v>
      </c>
      <c r="K37" s="43">
        <v>2679245478.0100002</v>
      </c>
      <c r="L37" s="13">
        <f t="shared" si="28"/>
        <v>5.0384749101899042E-4</v>
      </c>
      <c r="M37" s="13">
        <f t="shared" si="29"/>
        <v>9.9740718264397094E-2</v>
      </c>
      <c r="N37" s="20">
        <f t="shared" si="30"/>
        <v>1.2084312231086709E-3</v>
      </c>
      <c r="O37" s="21">
        <f t="shared" si="31"/>
        <v>3.3165343067406809E-2</v>
      </c>
      <c r="P37" s="24">
        <f t="shared" si="32"/>
        <v>1.0013183191814687</v>
      </c>
      <c r="Q37" s="24">
        <f t="shared" si="33"/>
        <v>3.3209065575332562E-2</v>
      </c>
      <c r="R37" s="10">
        <v>1</v>
      </c>
      <c r="S37" s="10">
        <v>1</v>
      </c>
      <c r="T37" s="10">
        <v>668</v>
      </c>
      <c r="U37" s="18">
        <v>2418388705.46</v>
      </c>
      <c r="V37" s="18">
        <v>2675718027.6100001</v>
      </c>
    </row>
    <row r="38" spans="1:22">
      <c r="A38" s="95">
        <v>31</v>
      </c>
      <c r="B38" s="19" t="s">
        <v>228</v>
      </c>
      <c r="C38" s="19" t="s">
        <v>60</v>
      </c>
      <c r="D38" s="10">
        <v>93365648369.570007</v>
      </c>
      <c r="E38" s="10">
        <v>1249298482.22</v>
      </c>
      <c r="F38" s="10">
        <v>0</v>
      </c>
      <c r="G38" s="10">
        <v>133025766.83</v>
      </c>
      <c r="H38" s="12">
        <f t="shared" si="26"/>
        <v>1116272715.3900001</v>
      </c>
      <c r="I38" s="43">
        <v>89328149100.600006</v>
      </c>
      <c r="J38" s="13">
        <f t="shared" si="27"/>
        <v>1.7213949580498874E-2</v>
      </c>
      <c r="K38" s="43">
        <v>90605036998.740005</v>
      </c>
      <c r="L38" s="13">
        <f t="shared" si="28"/>
        <v>1.7038797280869222E-2</v>
      </c>
      <c r="M38" s="13">
        <f t="shared" si="29"/>
        <v>1.4294350784118314E-2</v>
      </c>
      <c r="N38" s="20">
        <f t="shared" si="30"/>
        <v>1.46819394634594E-3</v>
      </c>
      <c r="O38" s="21">
        <f t="shared" si="31"/>
        <v>1.2320205944019684E-2</v>
      </c>
      <c r="P38" s="24">
        <f t="shared" si="32"/>
        <v>99.99999999971304</v>
      </c>
      <c r="Q38" s="24">
        <f t="shared" si="33"/>
        <v>1.2320205943984333</v>
      </c>
      <c r="R38" s="10">
        <v>100</v>
      </c>
      <c r="S38" s="10">
        <v>100</v>
      </c>
      <c r="T38" s="10">
        <v>5860</v>
      </c>
      <c r="U38" s="18">
        <v>893281491.00999999</v>
      </c>
      <c r="V38" s="18">
        <v>906050369.99000001</v>
      </c>
    </row>
    <row r="39" spans="1:22">
      <c r="A39" s="95">
        <v>32</v>
      </c>
      <c r="B39" s="19" t="s">
        <v>61</v>
      </c>
      <c r="C39" s="19" t="s">
        <v>62</v>
      </c>
      <c r="D39" s="10">
        <v>16045223529.07</v>
      </c>
      <c r="E39" s="10">
        <v>519919558.76999998</v>
      </c>
      <c r="F39" s="10">
        <v>0</v>
      </c>
      <c r="G39" s="10">
        <v>41173030.5</v>
      </c>
      <c r="H39" s="12">
        <f t="shared" si="26"/>
        <v>478746528.26999998</v>
      </c>
      <c r="I39" s="43">
        <v>38813786400</v>
      </c>
      <c r="J39" s="13">
        <f t="shared" si="27"/>
        <v>7.4795970681694668E-3</v>
      </c>
      <c r="K39" s="43">
        <v>40801107700</v>
      </c>
      <c r="L39" s="13">
        <f t="shared" si="28"/>
        <v>7.6728825014980122E-3</v>
      </c>
      <c r="M39" s="13">
        <f t="shared" si="29"/>
        <v>5.1201428263643975E-2</v>
      </c>
      <c r="N39" s="20">
        <f t="shared" si="30"/>
        <v>1.0091155074204027E-3</v>
      </c>
      <c r="O39" s="21">
        <f t="shared" si="31"/>
        <v>1.1733664972777197E-2</v>
      </c>
      <c r="P39" s="24">
        <f t="shared" si="32"/>
        <v>100</v>
      </c>
      <c r="Q39" s="24">
        <f t="shared" si="33"/>
        <v>1.1733664972777198</v>
      </c>
      <c r="R39" s="10">
        <v>100</v>
      </c>
      <c r="S39" s="10">
        <v>100</v>
      </c>
      <c r="T39" s="10">
        <v>5772</v>
      </c>
      <c r="U39" s="18">
        <v>388137864</v>
      </c>
      <c r="V39" s="18">
        <v>408011077</v>
      </c>
    </row>
    <row r="40" spans="1:22">
      <c r="A40" s="95">
        <v>33</v>
      </c>
      <c r="B40" s="19" t="s">
        <v>63</v>
      </c>
      <c r="C40" s="19" t="s">
        <v>64</v>
      </c>
      <c r="D40" s="10">
        <v>71356993578.339996</v>
      </c>
      <c r="E40" s="10">
        <v>998685991.89999998</v>
      </c>
      <c r="F40" s="10">
        <v>0</v>
      </c>
      <c r="G40" s="10">
        <v>117822882.03</v>
      </c>
      <c r="H40" s="12">
        <f t="shared" si="26"/>
        <v>880863109.87</v>
      </c>
      <c r="I40" s="43">
        <v>81822377103.009995</v>
      </c>
      <c r="J40" s="13">
        <f t="shared" si="27"/>
        <v>1.5767552425401354E-2</v>
      </c>
      <c r="K40" s="43">
        <v>70316441695.190002</v>
      </c>
      <c r="L40" s="13">
        <f t="shared" si="28"/>
        <v>1.3223410477422617E-2</v>
      </c>
      <c r="M40" s="13">
        <f t="shared" si="29"/>
        <v>-0.14062088899390732</v>
      </c>
      <c r="N40" s="20">
        <f t="shared" si="30"/>
        <v>1.6756092769987204E-3</v>
      </c>
      <c r="O40" s="21">
        <f t="shared" si="31"/>
        <v>1.2527128629295465E-2</v>
      </c>
      <c r="P40" s="24">
        <f t="shared" si="32"/>
        <v>1</v>
      </c>
      <c r="Q40" s="24">
        <f t="shared" si="33"/>
        <v>1.2527128629295465E-2</v>
      </c>
      <c r="R40" s="10">
        <v>1</v>
      </c>
      <c r="S40" s="10">
        <v>1</v>
      </c>
      <c r="T40" s="10">
        <v>15270</v>
      </c>
      <c r="U40" s="18">
        <v>81822377103.009995</v>
      </c>
      <c r="V40" s="18">
        <v>70316441695.190002</v>
      </c>
    </row>
    <row r="41" spans="1:22">
      <c r="A41" s="95">
        <v>34</v>
      </c>
      <c r="B41" s="71" t="s">
        <v>304</v>
      </c>
      <c r="C41" s="72" t="s">
        <v>110</v>
      </c>
      <c r="D41" s="10">
        <v>891441031.27999997</v>
      </c>
      <c r="E41" s="10">
        <v>12765485.789999999</v>
      </c>
      <c r="F41" s="10">
        <v>0</v>
      </c>
      <c r="G41" s="10">
        <v>1282566.8799999999</v>
      </c>
      <c r="H41" s="12">
        <f t="shared" ref="H41" si="34">(E41+F41)-G41</f>
        <v>11482918.91</v>
      </c>
      <c r="I41" s="43">
        <v>848794115.79999995</v>
      </c>
      <c r="J41" s="13">
        <f t="shared" si="27"/>
        <v>1.6356657179978645E-4</v>
      </c>
      <c r="K41" s="43">
        <v>834429088.10000002</v>
      </c>
      <c r="L41" s="13">
        <f t="shared" si="28"/>
        <v>1.5691917964333682E-4</v>
      </c>
      <c r="M41" s="13">
        <f t="shared" si="29"/>
        <v>-1.6924042512312536E-2</v>
      </c>
      <c r="N41" s="20">
        <f t="shared" si="30"/>
        <v>1.5370591681078763E-3</v>
      </c>
      <c r="O41" s="21">
        <f t="shared" si="31"/>
        <v>1.3761407738249723E-2</v>
      </c>
      <c r="P41" s="24">
        <f t="shared" si="32"/>
        <v>999.99999772299407</v>
      </c>
      <c r="Q41" s="24">
        <f t="shared" si="33"/>
        <v>13.761407706914916</v>
      </c>
      <c r="R41" s="10">
        <v>1000</v>
      </c>
      <c r="S41" s="10">
        <v>1000</v>
      </c>
      <c r="T41" s="10">
        <v>86</v>
      </c>
      <c r="U41" s="18">
        <v>848794.12</v>
      </c>
      <c r="V41" s="18">
        <v>834429.09</v>
      </c>
    </row>
    <row r="42" spans="1:22">
      <c r="A42" s="95">
        <v>35</v>
      </c>
      <c r="B42" s="19" t="s">
        <v>65</v>
      </c>
      <c r="C42" s="19" t="s">
        <v>66</v>
      </c>
      <c r="D42" s="10">
        <v>36189267451.739998</v>
      </c>
      <c r="E42" s="10">
        <v>1187027480.3</v>
      </c>
      <c r="F42" s="10"/>
      <c r="G42" s="10">
        <v>122746570.27</v>
      </c>
      <c r="H42" s="12">
        <f t="shared" si="26"/>
        <v>1064280910.03</v>
      </c>
      <c r="I42" s="43">
        <v>87348468300.050003</v>
      </c>
      <c r="J42" s="13">
        <f t="shared" si="27"/>
        <v>1.6832455887533498E-2</v>
      </c>
      <c r="K42" s="43">
        <v>86618994072.630005</v>
      </c>
      <c r="L42" s="13">
        <f t="shared" si="28"/>
        <v>1.6289199028712713E-2</v>
      </c>
      <c r="M42" s="13">
        <f t="shared" si="29"/>
        <v>-8.3513110374664763E-3</v>
      </c>
      <c r="N42" s="20">
        <f t="shared" si="30"/>
        <v>1.4170860742977116E-3</v>
      </c>
      <c r="O42" s="21">
        <f t="shared" si="31"/>
        <v>1.228692299448318E-2</v>
      </c>
      <c r="P42" s="24">
        <f t="shared" si="32"/>
        <v>102.58214354040042</v>
      </c>
      <c r="Q42" s="24">
        <f t="shared" si="33"/>
        <v>1.2604188982899203</v>
      </c>
      <c r="R42" s="10">
        <v>100</v>
      </c>
      <c r="S42" s="10">
        <v>100</v>
      </c>
      <c r="T42" s="10">
        <v>8395</v>
      </c>
      <c r="U42" s="18">
        <v>861329002</v>
      </c>
      <c r="V42" s="18">
        <v>844386665</v>
      </c>
    </row>
    <row r="43" spans="1:22">
      <c r="A43" s="95">
        <v>36</v>
      </c>
      <c r="B43" s="19" t="s">
        <v>67</v>
      </c>
      <c r="C43" s="19" t="s">
        <v>66</v>
      </c>
      <c r="D43" s="10">
        <v>5157644569.5699997</v>
      </c>
      <c r="E43" s="10">
        <v>119423260.8</v>
      </c>
      <c r="F43" s="10">
        <v>0</v>
      </c>
      <c r="G43" s="10">
        <v>7091952.4800000004</v>
      </c>
      <c r="H43" s="12">
        <f t="shared" si="26"/>
        <v>112331308.31999999</v>
      </c>
      <c r="I43" s="43">
        <v>9752904974.8999996</v>
      </c>
      <c r="J43" s="13">
        <f t="shared" si="27"/>
        <v>1.8794301257966796E-3</v>
      </c>
      <c r="K43" s="43">
        <v>8705872613.3600006</v>
      </c>
      <c r="L43" s="13">
        <f t="shared" si="28"/>
        <v>1.6371893166841822E-3</v>
      </c>
      <c r="M43" s="13">
        <f t="shared" si="29"/>
        <v>-0.10735594822615757</v>
      </c>
      <c r="N43" s="20">
        <f t="shared" si="30"/>
        <v>8.1461707458442654E-4</v>
      </c>
      <c r="O43" s="21">
        <f t="shared" si="31"/>
        <v>1.2902934985243957E-2</v>
      </c>
      <c r="P43" s="24">
        <f t="shared" si="32"/>
        <v>1012781.830311773</v>
      </c>
      <c r="Q43" s="24">
        <f t="shared" si="33"/>
        <v>13067.858110749185</v>
      </c>
      <c r="R43" s="10">
        <v>1034910.8</v>
      </c>
      <c r="S43" s="10">
        <v>1038519.14</v>
      </c>
      <c r="T43" s="10">
        <v>91</v>
      </c>
      <c r="U43" s="18">
        <v>8889</v>
      </c>
      <c r="V43" s="18">
        <v>8596</v>
      </c>
    </row>
    <row r="44" spans="1:22">
      <c r="A44" s="95">
        <v>37</v>
      </c>
      <c r="B44" s="76" t="s">
        <v>68</v>
      </c>
      <c r="C44" s="76" t="s">
        <v>69</v>
      </c>
      <c r="D44" s="10">
        <v>7813236606.7200003</v>
      </c>
      <c r="E44" s="10">
        <v>119481029.01000001</v>
      </c>
      <c r="F44" s="10">
        <v>0</v>
      </c>
      <c r="G44" s="10">
        <v>11457470.640000001</v>
      </c>
      <c r="H44" s="12">
        <f t="shared" si="26"/>
        <v>108023558.37</v>
      </c>
      <c r="I44" s="43">
        <v>7158853368</v>
      </c>
      <c r="J44" s="13">
        <f t="shared" si="27"/>
        <v>1.3795443224974288E-3</v>
      </c>
      <c r="K44" s="43">
        <v>7472035736</v>
      </c>
      <c r="L44" s="13">
        <f t="shared" si="28"/>
        <v>1.4051592096682762E-3</v>
      </c>
      <c r="M44" s="13">
        <f t="shared" si="29"/>
        <v>4.3747560105075196E-2</v>
      </c>
      <c r="N44" s="20">
        <f t="shared" si="30"/>
        <v>1.5333800646587271E-3</v>
      </c>
      <c r="O44" s="21">
        <f t="shared" si="31"/>
        <v>1.4457045199817015E-2</v>
      </c>
      <c r="P44" s="24">
        <f t="shared" si="32"/>
        <v>0.94636669592264089</v>
      </c>
      <c r="Q44" s="24">
        <f t="shared" si="33"/>
        <v>1.3681666098555105E-2</v>
      </c>
      <c r="R44" s="10">
        <v>1</v>
      </c>
      <c r="S44" s="10">
        <v>1</v>
      </c>
      <c r="T44" s="10">
        <v>1182</v>
      </c>
      <c r="U44" s="18">
        <v>7189229145</v>
      </c>
      <c r="V44" s="18">
        <v>7895497346</v>
      </c>
    </row>
    <row r="45" spans="1:22">
      <c r="A45" s="95">
        <v>38</v>
      </c>
      <c r="B45" s="19" t="s">
        <v>70</v>
      </c>
      <c r="C45" s="19" t="s">
        <v>71</v>
      </c>
      <c r="D45" s="10">
        <v>2835883403.2199998</v>
      </c>
      <c r="E45" s="10">
        <v>80112359.620000005</v>
      </c>
      <c r="F45" s="10">
        <v>0</v>
      </c>
      <c r="G45" s="10">
        <v>5369267.8799999999</v>
      </c>
      <c r="H45" s="12">
        <f>(E45+F45)-G45</f>
        <v>74743091.74000001</v>
      </c>
      <c r="I45" s="43">
        <v>5497257245.4200001</v>
      </c>
      <c r="J45" s="13">
        <f t="shared" si="27"/>
        <v>1.0593470256181137E-3</v>
      </c>
      <c r="K45" s="43">
        <v>5706538947.4799995</v>
      </c>
      <c r="L45" s="13">
        <f t="shared" si="28"/>
        <v>1.0731474046288252E-3</v>
      </c>
      <c r="M45" s="13">
        <f t="shared" si="29"/>
        <v>3.8070203506368742E-2</v>
      </c>
      <c r="N45" s="20">
        <f t="shared" si="30"/>
        <v>9.4089743878311076E-4</v>
      </c>
      <c r="O45" s="21">
        <f t="shared" si="31"/>
        <v>1.3097797531550444E-2</v>
      </c>
      <c r="P45" s="24">
        <f t="shared" si="32"/>
        <v>1.0208633060738459</v>
      </c>
      <c r="Q45" s="24">
        <f t="shared" si="33"/>
        <v>1.3371060890344446E-2</v>
      </c>
      <c r="R45" s="10">
        <v>1</v>
      </c>
      <c r="S45" s="10">
        <v>1</v>
      </c>
      <c r="T45" s="10">
        <v>1999</v>
      </c>
      <c r="U45" s="18">
        <v>5407794310.5799999</v>
      </c>
      <c r="V45" s="18">
        <v>5589914843.1800003</v>
      </c>
    </row>
    <row r="46" spans="1:22">
      <c r="A46" s="95">
        <v>39</v>
      </c>
      <c r="B46" s="19" t="s">
        <v>72</v>
      </c>
      <c r="C46" s="19" t="s">
        <v>73</v>
      </c>
      <c r="D46" s="10">
        <v>761271041930.38</v>
      </c>
      <c r="E46" s="10">
        <v>10537521786.25</v>
      </c>
      <c r="F46" s="10">
        <v>0</v>
      </c>
      <c r="G46" s="10">
        <v>1091110225.79</v>
      </c>
      <c r="H46" s="12">
        <f t="shared" ref="H46" si="35">(E46+F46)-G46</f>
        <v>9446411560.4599991</v>
      </c>
      <c r="I46" s="43">
        <v>733006617627.78003</v>
      </c>
      <c r="J46" s="13">
        <f t="shared" si="27"/>
        <v>0.14125378265485486</v>
      </c>
      <c r="K46" s="43">
        <v>740047519512.06995</v>
      </c>
      <c r="L46" s="13">
        <f t="shared" si="28"/>
        <v>0.13917018391981476</v>
      </c>
      <c r="M46" s="13">
        <f t="shared" si="29"/>
        <v>9.6055093023256714E-3</v>
      </c>
      <c r="N46" s="20">
        <f t="shared" si="30"/>
        <v>1.4743786000517827E-3</v>
      </c>
      <c r="O46" s="21">
        <f t="shared" si="31"/>
        <v>1.2764601341665507E-2</v>
      </c>
      <c r="P46" s="24">
        <f t="shared" si="32"/>
        <v>100.04518195237198</v>
      </c>
      <c r="Q46" s="24">
        <f t="shared" si="33"/>
        <v>1.2770368637764173</v>
      </c>
      <c r="R46" s="10">
        <v>100</v>
      </c>
      <c r="S46" s="10">
        <v>100</v>
      </c>
      <c r="T46" s="10">
        <v>39531</v>
      </c>
      <c r="U46" s="18">
        <v>7326805457</v>
      </c>
      <c r="V46" s="18">
        <v>7397133026</v>
      </c>
    </row>
    <row r="47" spans="1:22">
      <c r="A47" s="95">
        <v>40</v>
      </c>
      <c r="B47" s="19" t="s">
        <v>264</v>
      </c>
      <c r="C47" s="19" t="s">
        <v>265</v>
      </c>
      <c r="D47" s="10">
        <v>4111539366.4299998</v>
      </c>
      <c r="E47" s="10">
        <v>60667919.689999998</v>
      </c>
      <c r="F47" s="10">
        <v>0</v>
      </c>
      <c r="G47" s="10">
        <v>4580059.8600000003</v>
      </c>
      <c r="H47" s="12">
        <f>(E47+F47)-G47</f>
        <v>56087859.829999998</v>
      </c>
      <c r="I47" s="43">
        <v>3905797142.79</v>
      </c>
      <c r="J47" s="13">
        <f t="shared" si="27"/>
        <v>7.5266526581587942E-4</v>
      </c>
      <c r="K47" s="43">
        <v>4140041769.7199998</v>
      </c>
      <c r="L47" s="13">
        <f t="shared" si="28"/>
        <v>7.7855861865131295E-4</v>
      </c>
      <c r="M47" s="13">
        <f t="shared" si="29"/>
        <v>5.9973577317605789E-2</v>
      </c>
      <c r="N47" s="20">
        <f t="shared" si="30"/>
        <v>1.1062834905430821E-3</v>
      </c>
      <c r="O47" s="21">
        <f t="shared" si="31"/>
        <v>1.3547655543048626E-2</v>
      </c>
      <c r="P47" s="24">
        <f t="shared" si="32"/>
        <v>0.98260926510063218</v>
      </c>
      <c r="Q47" s="24">
        <f t="shared" si="33"/>
        <v>1.3312051856991516E-2</v>
      </c>
      <c r="R47" s="10">
        <v>1</v>
      </c>
      <c r="S47" s="10">
        <v>1</v>
      </c>
      <c r="T47" s="10">
        <v>601</v>
      </c>
      <c r="U47" s="18">
        <v>3908533901.5599999</v>
      </c>
      <c r="V47" s="18">
        <v>4213314403.5599999</v>
      </c>
    </row>
    <row r="48" spans="1:22">
      <c r="A48" s="95">
        <v>41</v>
      </c>
      <c r="B48" s="19" t="s">
        <v>319</v>
      </c>
      <c r="C48" s="19" t="s">
        <v>320</v>
      </c>
      <c r="D48" s="10">
        <v>7398998.5899999999</v>
      </c>
      <c r="E48" s="10">
        <v>610000</v>
      </c>
      <c r="F48" s="10">
        <v>0</v>
      </c>
      <c r="G48" s="10">
        <v>0</v>
      </c>
      <c r="H48" s="12">
        <f t="shared" si="26"/>
        <v>610000</v>
      </c>
      <c r="I48" s="43">
        <v>7398998.5899999999</v>
      </c>
      <c r="J48" s="13">
        <f t="shared" si="27"/>
        <v>1.4258214231104756E-6</v>
      </c>
      <c r="K48" s="43">
        <v>7398998.5899999999</v>
      </c>
      <c r="L48" s="13">
        <f t="shared" si="28"/>
        <v>1.391424155129481E-6</v>
      </c>
      <c r="M48" s="13">
        <f t="shared" si="29"/>
        <v>0</v>
      </c>
      <c r="N48" s="20">
        <f t="shared" si="30"/>
        <v>0</v>
      </c>
      <c r="O48" s="21">
        <f t="shared" si="31"/>
        <v>8.2443589166841566E-2</v>
      </c>
      <c r="P48" s="24">
        <f t="shared" si="32"/>
        <v>7.4738114425398237E-3</v>
      </c>
      <c r="Q48" s="24">
        <f t="shared" si="33"/>
        <v>6.1616784007919277E-4</v>
      </c>
      <c r="R48" s="10">
        <v>1</v>
      </c>
      <c r="S48" s="10">
        <v>1</v>
      </c>
      <c r="T48" s="10">
        <v>21</v>
      </c>
      <c r="U48" s="18">
        <v>1000000000</v>
      </c>
      <c r="V48" s="18">
        <v>989990000</v>
      </c>
    </row>
    <row r="49" spans="1:22" ht="15.6" customHeight="1">
      <c r="A49" s="60">
        <v>42</v>
      </c>
      <c r="B49" s="19" t="s">
        <v>74</v>
      </c>
      <c r="C49" s="19" t="s">
        <v>75</v>
      </c>
      <c r="D49" s="10">
        <v>2030540375.4200001</v>
      </c>
      <c r="E49" s="10">
        <v>26374026.66</v>
      </c>
      <c r="F49" s="10">
        <v>0</v>
      </c>
      <c r="G49" s="10">
        <v>1542997.25</v>
      </c>
      <c r="H49" s="12">
        <f t="shared" si="26"/>
        <v>24831029.41</v>
      </c>
      <c r="I49" s="43">
        <v>1832814225.4400001</v>
      </c>
      <c r="J49" s="13">
        <f t="shared" si="27"/>
        <v>3.5319182122103701E-4</v>
      </c>
      <c r="K49" s="43">
        <v>1975244360.3599999</v>
      </c>
      <c r="L49" s="13">
        <f t="shared" si="28"/>
        <v>3.7145603987582128E-4</v>
      </c>
      <c r="M49" s="13">
        <f t="shared" si="29"/>
        <v>7.7711168400500005E-2</v>
      </c>
      <c r="N49" s="20">
        <f t="shared" si="30"/>
        <v>7.8116777901787282E-4</v>
      </c>
      <c r="O49" s="21">
        <f t="shared" si="31"/>
        <v>1.2571117735263093E-2</v>
      </c>
      <c r="P49" s="24">
        <f t="shared" si="32"/>
        <v>10.039172734430638</v>
      </c>
      <c r="Q49" s="24">
        <f t="shared" si="33"/>
        <v>0.12620362240917068</v>
      </c>
      <c r="R49" s="10">
        <v>10</v>
      </c>
      <c r="S49" s="10">
        <v>10</v>
      </c>
      <c r="T49" s="10">
        <v>569</v>
      </c>
      <c r="U49" s="18">
        <v>183923607</v>
      </c>
      <c r="V49" s="18">
        <v>196753698</v>
      </c>
    </row>
    <row r="50" spans="1:22">
      <c r="A50" s="60">
        <v>43</v>
      </c>
      <c r="B50" s="19" t="s">
        <v>76</v>
      </c>
      <c r="C50" s="19" t="s">
        <v>77</v>
      </c>
      <c r="D50" s="10">
        <v>2307622273.9699998</v>
      </c>
      <c r="E50" s="10">
        <v>204442669.02000001</v>
      </c>
      <c r="F50" s="10">
        <v>0</v>
      </c>
      <c r="G50" s="10">
        <v>17604389.309999999</v>
      </c>
      <c r="H50" s="12">
        <f t="shared" si="26"/>
        <v>186838279.71000001</v>
      </c>
      <c r="I50" s="43">
        <v>10864794837.879999</v>
      </c>
      <c r="J50" s="13">
        <f t="shared" si="27"/>
        <v>2.0936964710989909E-3</v>
      </c>
      <c r="K50" s="43">
        <v>10878982700.23</v>
      </c>
      <c r="L50" s="13">
        <f t="shared" si="28"/>
        <v>2.0458551421802295E-3</v>
      </c>
      <c r="M50" s="13">
        <f t="shared" si="29"/>
        <v>1.3058564438358782E-3</v>
      </c>
      <c r="N50" s="20">
        <f t="shared" si="30"/>
        <v>1.6182017928595303E-3</v>
      </c>
      <c r="O50" s="21">
        <f t="shared" si="31"/>
        <v>1.7174241825575285E-2</v>
      </c>
      <c r="P50" s="24">
        <f t="shared" si="32"/>
        <v>100.93610102093331</v>
      </c>
      <c r="Q50" s="24">
        <f t="shared" si="33"/>
        <v>1.733501007864205</v>
      </c>
      <c r="R50" s="10">
        <v>100</v>
      </c>
      <c r="S50" s="10">
        <v>100</v>
      </c>
      <c r="T50" s="10">
        <v>1981</v>
      </c>
      <c r="U50" s="18">
        <v>109487207</v>
      </c>
      <c r="V50" s="18">
        <v>107780889</v>
      </c>
    </row>
    <row r="51" spans="1:22">
      <c r="A51" s="60">
        <v>44</v>
      </c>
      <c r="B51" s="71" t="s">
        <v>248</v>
      </c>
      <c r="C51" s="71" t="s">
        <v>224</v>
      </c>
      <c r="D51" s="10">
        <v>216256213.46000001</v>
      </c>
      <c r="E51" s="10">
        <v>3101450</v>
      </c>
      <c r="F51" s="10">
        <v>0</v>
      </c>
      <c r="G51" s="10">
        <v>291802.94</v>
      </c>
      <c r="H51" s="12">
        <f t="shared" si="26"/>
        <v>2809647.06</v>
      </c>
      <c r="I51" s="43">
        <v>203434216.03999999</v>
      </c>
      <c r="J51" s="13">
        <f t="shared" si="27"/>
        <v>3.9202719110602874E-5</v>
      </c>
      <c r="K51" s="43">
        <v>216844588.63999999</v>
      </c>
      <c r="L51" s="13">
        <f t="shared" si="28"/>
        <v>4.0778869582513582E-5</v>
      </c>
      <c r="M51" s="13">
        <f t="shared" si="29"/>
        <v>6.591994631504465E-2</v>
      </c>
      <c r="N51" s="20">
        <f t="shared" si="30"/>
        <v>1.3456777585741095E-3</v>
      </c>
      <c r="O51" s="21">
        <f t="shared" si="31"/>
        <v>1.2956961838990165E-2</v>
      </c>
      <c r="P51" s="24">
        <f t="shared" si="32"/>
        <v>1.0071438739197638</v>
      </c>
      <c r="Q51" s="24">
        <f t="shared" si="33"/>
        <v>1.3049524740751101E-2</v>
      </c>
      <c r="R51" s="10">
        <v>1</v>
      </c>
      <c r="S51" s="10">
        <v>1</v>
      </c>
      <c r="T51" s="10">
        <v>127</v>
      </c>
      <c r="U51" s="18">
        <v>212070079.27000001</v>
      </c>
      <c r="V51" s="18">
        <v>215306466.38999999</v>
      </c>
    </row>
    <row r="52" spans="1:22">
      <c r="A52" s="60">
        <v>45</v>
      </c>
      <c r="B52" s="76" t="s">
        <v>266</v>
      </c>
      <c r="C52" s="76" t="s">
        <v>36</v>
      </c>
      <c r="D52" s="10">
        <v>2183011793.0500002</v>
      </c>
      <c r="E52" s="10">
        <v>27172799.050000001</v>
      </c>
      <c r="F52" s="10">
        <v>0</v>
      </c>
      <c r="G52" s="10">
        <v>3165512.2</v>
      </c>
      <c r="H52" s="12">
        <f t="shared" si="26"/>
        <v>24007286.850000001</v>
      </c>
      <c r="I52" s="43">
        <v>1736437905</v>
      </c>
      <c r="J52" s="13">
        <f t="shared" si="27"/>
        <v>3.3461965625946591E-4</v>
      </c>
      <c r="K52" s="43">
        <v>2156935767.8800001</v>
      </c>
      <c r="L52" s="13">
        <f t="shared" si="28"/>
        <v>4.0562415196932584E-4</v>
      </c>
      <c r="M52" s="13">
        <f t="shared" si="29"/>
        <v>0.24216118622450833</v>
      </c>
      <c r="N52" s="20">
        <f t="shared" si="30"/>
        <v>1.4675968784695454E-3</v>
      </c>
      <c r="O52" s="21">
        <f t="shared" si="31"/>
        <v>1.1130274349150499E-2</v>
      </c>
      <c r="P52" s="24">
        <f t="shared" si="32"/>
        <v>99.999999994436564</v>
      </c>
      <c r="Q52" s="24">
        <f t="shared" si="33"/>
        <v>1.1130274348531273</v>
      </c>
      <c r="R52" s="10">
        <v>100</v>
      </c>
      <c r="S52" s="10">
        <v>100</v>
      </c>
      <c r="T52" s="10">
        <v>7696</v>
      </c>
      <c r="U52" s="18">
        <v>17364379.050000001</v>
      </c>
      <c r="V52" s="18">
        <v>21569357.68</v>
      </c>
    </row>
    <row r="53" spans="1:22">
      <c r="A53" s="95">
        <v>46</v>
      </c>
      <c r="B53" s="76" t="s">
        <v>78</v>
      </c>
      <c r="C53" s="76" t="s">
        <v>36</v>
      </c>
      <c r="D53" s="10">
        <v>374005920044.90997</v>
      </c>
      <c r="E53" s="10">
        <v>5017505386.2299995</v>
      </c>
      <c r="F53" s="10">
        <v>0</v>
      </c>
      <c r="G53" s="10">
        <v>356682117.35000002</v>
      </c>
      <c r="H53" s="12">
        <f t="shared" si="26"/>
        <v>4660823268.8799992</v>
      </c>
      <c r="I53" s="43">
        <v>332141987889.41998</v>
      </c>
      <c r="J53" s="13">
        <f t="shared" si="27"/>
        <v>6.4005305054022882E-2</v>
      </c>
      <c r="K53" s="43">
        <v>364282688987.53003</v>
      </c>
      <c r="L53" s="13">
        <f t="shared" si="28"/>
        <v>6.8505450648122038E-2</v>
      </c>
      <c r="M53" s="13">
        <f t="shared" si="29"/>
        <v>9.6767955482974496E-2</v>
      </c>
      <c r="N53" s="20">
        <f t="shared" si="30"/>
        <v>9.7913551242675111E-4</v>
      </c>
      <c r="O53" s="21">
        <f t="shared" si="31"/>
        <v>1.2794523071722319E-2</v>
      </c>
      <c r="P53" s="24">
        <f t="shared" si="32"/>
        <v>99.99999999987098</v>
      </c>
      <c r="Q53" s="24">
        <f t="shared" si="33"/>
        <v>1.2794523071705812</v>
      </c>
      <c r="R53" s="10">
        <v>100</v>
      </c>
      <c r="S53" s="10">
        <v>100</v>
      </c>
      <c r="T53" s="10">
        <v>33586</v>
      </c>
      <c r="U53" s="18">
        <v>3321419878.8899999</v>
      </c>
      <c r="V53" s="18">
        <v>3642826889.8800001</v>
      </c>
    </row>
    <row r="54" spans="1:22">
      <c r="A54" s="95">
        <v>47</v>
      </c>
      <c r="B54" s="19" t="s">
        <v>79</v>
      </c>
      <c r="C54" s="19" t="s">
        <v>38</v>
      </c>
      <c r="D54" s="10">
        <v>55751561116.239998</v>
      </c>
      <c r="E54" s="10">
        <v>777041982.99000001</v>
      </c>
      <c r="F54" s="10">
        <v>0</v>
      </c>
      <c r="G54" s="10">
        <v>59008853.350000001</v>
      </c>
      <c r="H54" s="12">
        <f t="shared" si="26"/>
        <v>718033129.63999999</v>
      </c>
      <c r="I54" s="43">
        <v>54367627309.589996</v>
      </c>
      <c r="J54" s="13">
        <f t="shared" si="27"/>
        <v>1.0476894514680474E-2</v>
      </c>
      <c r="K54" s="43">
        <v>55560160966.709999</v>
      </c>
      <c r="L54" s="13">
        <f t="shared" si="28"/>
        <v>1.044840718532458E-2</v>
      </c>
      <c r="M54" s="13">
        <f t="shared" si="29"/>
        <v>2.1934627574038894E-2</v>
      </c>
      <c r="N54" s="20">
        <f t="shared" si="30"/>
        <v>1.0620713173483489E-3</v>
      </c>
      <c r="O54" s="21">
        <f t="shared" si="31"/>
        <v>1.2923525006888014E-2</v>
      </c>
      <c r="P54" s="24">
        <f t="shared" si="32"/>
        <v>1.0003206825218669</v>
      </c>
      <c r="Q54" s="24">
        <f t="shared" si="33"/>
        <v>1.2927669355478634E-2</v>
      </c>
      <c r="R54" s="10">
        <v>1</v>
      </c>
      <c r="S54" s="10">
        <v>1</v>
      </c>
      <c r="T54" s="10">
        <v>3322</v>
      </c>
      <c r="U54" s="18">
        <v>54341954470</v>
      </c>
      <c r="V54" s="18">
        <v>55542349506</v>
      </c>
    </row>
    <row r="55" spans="1:22">
      <c r="A55" s="95">
        <v>48</v>
      </c>
      <c r="B55" s="19" t="s">
        <v>274</v>
      </c>
      <c r="C55" s="76" t="s">
        <v>275</v>
      </c>
      <c r="D55" s="10">
        <v>2675381564.2800002</v>
      </c>
      <c r="E55" s="10">
        <v>78622745.439999998</v>
      </c>
      <c r="F55" s="10"/>
      <c r="G55" s="10">
        <v>78622745.349999994</v>
      </c>
      <c r="H55" s="12">
        <f t="shared" si="26"/>
        <v>9.0000003576278687E-2</v>
      </c>
      <c r="I55" s="43">
        <v>5258331411.6700001</v>
      </c>
      <c r="J55" s="13">
        <f t="shared" si="27"/>
        <v>1.0133049067892626E-3</v>
      </c>
      <c r="K55" s="43">
        <v>5681465181.8299999</v>
      </c>
      <c r="L55" s="13">
        <f t="shared" si="28"/>
        <v>1.0684321390748328E-3</v>
      </c>
      <c r="M55" s="13">
        <f t="shared" si="29"/>
        <v>8.0469209152721752E-2</v>
      </c>
      <c r="N55" s="20">
        <f t="shared" si="30"/>
        <v>1.3838462937596602E-2</v>
      </c>
      <c r="O55" s="21">
        <f t="shared" si="31"/>
        <v>1.5840984798095637E-11</v>
      </c>
      <c r="P55" s="24">
        <f t="shared" si="32"/>
        <v>102.52841959088991</v>
      </c>
      <c r="Q55" s="24">
        <f t="shared" si="33"/>
        <v>1.6241511361120579E-9</v>
      </c>
      <c r="R55" s="10">
        <v>100</v>
      </c>
      <c r="S55" s="10">
        <v>100</v>
      </c>
      <c r="T55" s="10">
        <v>951</v>
      </c>
      <c r="U55" s="18">
        <v>51868259.670000002</v>
      </c>
      <c r="V55" s="18">
        <v>55413564.399999999</v>
      </c>
    </row>
    <row r="56" spans="1:22">
      <c r="A56" s="95">
        <v>49</v>
      </c>
      <c r="B56" s="19" t="s">
        <v>80</v>
      </c>
      <c r="C56" s="19" t="s">
        <v>40</v>
      </c>
      <c r="D56" s="10">
        <v>97168026978.940002</v>
      </c>
      <c r="E56" s="10">
        <v>1328523584.3699999</v>
      </c>
      <c r="F56" s="10">
        <v>0</v>
      </c>
      <c r="G56" s="10">
        <v>126328512.78</v>
      </c>
      <c r="H56" s="12">
        <f t="shared" si="26"/>
        <v>1202195071.5899999</v>
      </c>
      <c r="I56" s="43">
        <v>90706721139.899994</v>
      </c>
      <c r="J56" s="13">
        <f t="shared" si="27"/>
        <v>1.7479606820870779E-2</v>
      </c>
      <c r="K56" s="43">
        <v>96974148730.830002</v>
      </c>
      <c r="L56" s="13">
        <f t="shared" si="28"/>
        <v>1.8236545300814252E-2</v>
      </c>
      <c r="M56" s="13">
        <f t="shared" si="29"/>
        <v>6.9095514777383987E-2</v>
      </c>
      <c r="N56" s="20">
        <f t="shared" si="30"/>
        <v>1.3027029825304118E-3</v>
      </c>
      <c r="O56" s="21">
        <f t="shared" si="31"/>
        <v>1.2397067541442602E-2</v>
      </c>
      <c r="P56" s="24">
        <f t="shared" si="32"/>
        <v>10.041182049244176</v>
      </c>
      <c r="Q56" s="24">
        <f t="shared" si="33"/>
        <v>0.12448121206040108</v>
      </c>
      <c r="R56" s="10">
        <v>10</v>
      </c>
      <c r="S56" s="10">
        <v>10</v>
      </c>
      <c r="T56" s="10">
        <v>9260</v>
      </c>
      <c r="U56" s="18">
        <v>8990735625.9599991</v>
      </c>
      <c r="V56" s="18">
        <v>9657642721.2700005</v>
      </c>
    </row>
    <row r="57" spans="1:22" ht="14.1" customHeight="1">
      <c r="A57" s="60">
        <v>50</v>
      </c>
      <c r="B57" s="19" t="s">
        <v>81</v>
      </c>
      <c r="C57" s="19" t="s">
        <v>259</v>
      </c>
      <c r="D57" s="10">
        <v>15908493855.9</v>
      </c>
      <c r="E57" s="10">
        <v>656043890.36000001</v>
      </c>
      <c r="F57" s="10">
        <v>73596376.280000001</v>
      </c>
      <c r="G57" s="10">
        <v>45781058.729999997</v>
      </c>
      <c r="H57" s="12">
        <f t="shared" si="26"/>
        <v>683859207.90999997</v>
      </c>
      <c r="I57" s="43">
        <v>39191388528</v>
      </c>
      <c r="J57" s="13">
        <f t="shared" si="27"/>
        <v>7.552362753547778E-3</v>
      </c>
      <c r="K57" s="43">
        <v>39579985426</v>
      </c>
      <c r="L57" s="13">
        <f t="shared" si="28"/>
        <v>7.4432434486258262E-3</v>
      </c>
      <c r="M57" s="13">
        <f t="shared" si="29"/>
        <v>9.91536438476452E-3</v>
      </c>
      <c r="N57" s="20">
        <f t="shared" si="30"/>
        <v>1.1566719451070471E-3</v>
      </c>
      <c r="O57" s="21">
        <f t="shared" si="31"/>
        <v>1.7277904490100558E-2</v>
      </c>
      <c r="P57" s="24">
        <f t="shared" si="32"/>
        <v>100</v>
      </c>
      <c r="Q57" s="24">
        <f t="shared" si="33"/>
        <v>1.7277904490100557</v>
      </c>
      <c r="R57" s="10">
        <v>100</v>
      </c>
      <c r="S57" s="10">
        <v>100</v>
      </c>
      <c r="T57" s="10">
        <v>5931</v>
      </c>
      <c r="U57" s="18">
        <v>391913885.27999997</v>
      </c>
      <c r="V57" s="18">
        <v>395799854.25999999</v>
      </c>
    </row>
    <row r="58" spans="1:22">
      <c r="A58" s="60">
        <v>51</v>
      </c>
      <c r="B58" s="19" t="s">
        <v>82</v>
      </c>
      <c r="C58" s="76" t="s">
        <v>83</v>
      </c>
      <c r="D58" s="10">
        <v>63754956.840000004</v>
      </c>
      <c r="E58" s="10">
        <v>14420184.07</v>
      </c>
      <c r="F58" s="10">
        <v>0</v>
      </c>
      <c r="G58" s="10">
        <v>9355.35</v>
      </c>
      <c r="H58" s="12">
        <f t="shared" si="26"/>
        <v>14410828.720000001</v>
      </c>
      <c r="I58" s="43">
        <v>175182304.86000001</v>
      </c>
      <c r="J58" s="13">
        <f t="shared" si="27"/>
        <v>3.3758444495021645E-5</v>
      </c>
      <c r="K58" s="43">
        <v>175475609.03</v>
      </c>
      <c r="L58" s="13">
        <f t="shared" si="28"/>
        <v>3.2999195508753149E-5</v>
      </c>
      <c r="M58" s="13">
        <f t="shared" si="29"/>
        <v>1.6742796610330366E-3</v>
      </c>
      <c r="N58" s="20">
        <f t="shared" si="30"/>
        <v>5.3314247214839831E-5</v>
      </c>
      <c r="O58" s="21">
        <f t="shared" si="31"/>
        <v>8.2124397798991361E-2</v>
      </c>
      <c r="P58" s="24">
        <f t="shared" si="32"/>
        <v>1.0220204440887797</v>
      </c>
      <c r="Q58" s="24">
        <f t="shared" si="33"/>
        <v>8.3932813509048756E-2</v>
      </c>
      <c r="R58" s="10">
        <v>1</v>
      </c>
      <c r="S58" s="10">
        <v>1</v>
      </c>
      <c r="T58" s="10">
        <v>93</v>
      </c>
      <c r="U58" s="18">
        <v>173369274</v>
      </c>
      <c r="V58" s="18">
        <v>171694813</v>
      </c>
    </row>
    <row r="59" spans="1:22" ht="15" customHeight="1">
      <c r="A59" s="60">
        <v>52</v>
      </c>
      <c r="B59" s="76" t="s">
        <v>84</v>
      </c>
      <c r="C59" s="76" t="s">
        <v>42</v>
      </c>
      <c r="D59" s="10">
        <v>2625452063.4400001</v>
      </c>
      <c r="E59" s="10">
        <v>93316101.819999993</v>
      </c>
      <c r="F59" s="10">
        <v>0</v>
      </c>
      <c r="G59" s="10">
        <v>3099238.91</v>
      </c>
      <c r="H59" s="12">
        <f t="shared" si="26"/>
        <v>90216862.909999996</v>
      </c>
      <c r="I59" s="43">
        <v>2609884706.5700002</v>
      </c>
      <c r="J59" s="13">
        <f t="shared" si="27"/>
        <v>5.0293691520704876E-4</v>
      </c>
      <c r="K59" s="43">
        <v>2631605304.4299998</v>
      </c>
      <c r="L59" s="13">
        <f t="shared" si="28"/>
        <v>4.9488848292249417E-4</v>
      </c>
      <c r="M59" s="13">
        <f t="shared" si="29"/>
        <v>8.3224357786078635E-3</v>
      </c>
      <c r="N59" s="20">
        <f t="shared" si="30"/>
        <v>1.1776989903397725E-3</v>
      </c>
      <c r="O59" s="21">
        <f t="shared" si="31"/>
        <v>3.4282064547495196E-2</v>
      </c>
      <c r="P59" s="24">
        <f t="shared" si="32"/>
        <v>10.832042442479546</v>
      </c>
      <c r="Q59" s="24">
        <f t="shared" si="33"/>
        <v>0.37134477819429129</v>
      </c>
      <c r="R59" s="10">
        <v>10</v>
      </c>
      <c r="S59" s="10">
        <v>10</v>
      </c>
      <c r="T59" s="10">
        <v>944</v>
      </c>
      <c r="U59" s="18">
        <v>246006855.90000001</v>
      </c>
      <c r="V59" s="18">
        <v>242946362</v>
      </c>
    </row>
    <row r="60" spans="1:22" ht="15" customHeight="1">
      <c r="A60" s="60">
        <v>53</v>
      </c>
      <c r="B60" s="10" t="s">
        <v>207</v>
      </c>
      <c r="C60" s="10" t="s">
        <v>208</v>
      </c>
      <c r="D60" s="10">
        <v>726582738.44000006</v>
      </c>
      <c r="E60" s="10">
        <v>20945561.5</v>
      </c>
      <c r="F60" s="10">
        <v>0</v>
      </c>
      <c r="G60" s="10">
        <v>2373971.23</v>
      </c>
      <c r="H60" s="12">
        <f t="shared" si="26"/>
        <v>18571590.27</v>
      </c>
      <c r="I60" s="43">
        <v>1297581539</v>
      </c>
      <c r="J60" s="13">
        <f t="shared" si="27"/>
        <v>2.5004999447349012E-4</v>
      </c>
      <c r="K60" s="43">
        <v>1418414376</v>
      </c>
      <c r="L60" s="13">
        <f t="shared" si="28"/>
        <v>2.6674096511070024E-4</v>
      </c>
      <c r="M60" s="13">
        <f t="shared" si="29"/>
        <v>9.3121575306259044E-2</v>
      </c>
      <c r="N60" s="20">
        <f t="shared" si="30"/>
        <v>1.6736796173024687E-3</v>
      </c>
      <c r="O60" s="21">
        <f t="shared" si="31"/>
        <v>1.3093205049410752E-2</v>
      </c>
      <c r="P60" s="24">
        <f t="shared" si="32"/>
        <v>1</v>
      </c>
      <c r="Q60" s="24">
        <f t="shared" si="33"/>
        <v>1.3093205049410752E-2</v>
      </c>
      <c r="R60" s="10">
        <v>1</v>
      </c>
      <c r="S60" s="10">
        <v>1</v>
      </c>
      <c r="T60" s="10">
        <v>217</v>
      </c>
      <c r="U60" s="18">
        <v>1297581539</v>
      </c>
      <c r="V60" s="18">
        <v>1418414376</v>
      </c>
    </row>
    <row r="61" spans="1:22" ht="15" customHeight="1">
      <c r="A61" s="60">
        <v>54</v>
      </c>
      <c r="B61" s="10" t="s">
        <v>294</v>
      </c>
      <c r="C61" s="10" t="s">
        <v>295</v>
      </c>
      <c r="D61" s="10">
        <v>1757430042.5</v>
      </c>
      <c r="E61" s="10">
        <v>27736589.390000001</v>
      </c>
      <c r="F61" s="10">
        <v>0</v>
      </c>
      <c r="G61" s="10">
        <v>2822249.98</v>
      </c>
      <c r="H61" s="12">
        <f t="shared" si="26"/>
        <v>24914339.41</v>
      </c>
      <c r="I61" s="43">
        <v>2753109495.4200001</v>
      </c>
      <c r="J61" s="13">
        <f t="shared" si="27"/>
        <v>5.3053699780995734E-4</v>
      </c>
      <c r="K61" s="43">
        <v>2092847326.75</v>
      </c>
      <c r="L61" s="13">
        <f t="shared" si="28"/>
        <v>3.9357195274693408E-4</v>
      </c>
      <c r="M61" s="13">
        <f t="shared" si="29"/>
        <v>-0.23982415874428339</v>
      </c>
      <c r="N61" s="20">
        <f t="shared" si="30"/>
        <v>1.34852167376332E-3</v>
      </c>
      <c r="O61" s="21">
        <f t="shared" si="31"/>
        <v>1.1904518352368151E-2</v>
      </c>
      <c r="P61" s="24">
        <f t="shared" si="32"/>
        <v>1</v>
      </c>
      <c r="Q61" s="24">
        <f t="shared" si="33"/>
        <v>1.1904518352368151E-2</v>
      </c>
      <c r="R61" s="10">
        <v>1</v>
      </c>
      <c r="S61" s="10">
        <v>1</v>
      </c>
      <c r="T61" s="10">
        <v>1172</v>
      </c>
      <c r="U61" s="18">
        <v>2753109495.4200001</v>
      </c>
      <c r="V61" s="18">
        <v>2092847326.75</v>
      </c>
    </row>
    <row r="62" spans="1:22" ht="15" customHeight="1">
      <c r="A62" s="60">
        <v>55</v>
      </c>
      <c r="B62" s="71" t="s">
        <v>209</v>
      </c>
      <c r="C62" s="72" t="s">
        <v>210</v>
      </c>
      <c r="D62" s="10">
        <v>13890262783.549999</v>
      </c>
      <c r="E62" s="10">
        <v>192032199.91999999</v>
      </c>
      <c r="F62" s="10">
        <v>0</v>
      </c>
      <c r="G62" s="10">
        <v>191961520</v>
      </c>
      <c r="H62" s="12">
        <f t="shared" si="26"/>
        <v>70679.919999986887</v>
      </c>
      <c r="I62" s="43">
        <v>14333687617.889999</v>
      </c>
      <c r="J62" s="13">
        <f t="shared" si="27"/>
        <v>2.7621682352234264E-3</v>
      </c>
      <c r="K62" s="43">
        <v>13469912540.16</v>
      </c>
      <c r="L62" s="13">
        <f t="shared" si="28"/>
        <v>2.5330943705261784E-3</v>
      </c>
      <c r="M62" s="13">
        <f t="shared" si="29"/>
        <v>-6.0261887991190373E-2</v>
      </c>
      <c r="N62" s="20">
        <f t="shared" si="30"/>
        <v>1.4251133363165832E-2</v>
      </c>
      <c r="O62" s="21">
        <f t="shared" si="31"/>
        <v>5.2472441665272558E-6</v>
      </c>
      <c r="P62" s="24">
        <f t="shared" si="32"/>
        <v>93.090395552777295</v>
      </c>
      <c r="Q62" s="24">
        <f t="shared" si="33"/>
        <v>4.884680350240255E-4</v>
      </c>
      <c r="R62" s="10">
        <v>100</v>
      </c>
      <c r="S62" s="10">
        <v>100</v>
      </c>
      <c r="T62" s="10">
        <v>159</v>
      </c>
      <c r="U62" s="18">
        <v>143349982.87</v>
      </c>
      <c r="V62" s="18">
        <v>144697124.34</v>
      </c>
    </row>
    <row r="63" spans="1:22" ht="15" customHeight="1">
      <c r="A63" s="60">
        <v>56</v>
      </c>
      <c r="B63" s="71" t="s">
        <v>211</v>
      </c>
      <c r="C63" s="72" t="s">
        <v>110</v>
      </c>
      <c r="D63" s="10">
        <v>74764827.400000006</v>
      </c>
      <c r="E63" s="10">
        <v>1148997</v>
      </c>
      <c r="F63" s="10">
        <v>0</v>
      </c>
      <c r="G63" s="10">
        <v>76680.02</v>
      </c>
      <c r="H63" s="12">
        <f t="shared" si="26"/>
        <v>1072316.98</v>
      </c>
      <c r="I63" s="43">
        <v>73107861.799999997</v>
      </c>
      <c r="J63" s="13">
        <f t="shared" si="27"/>
        <v>1.4088224816412617E-5</v>
      </c>
      <c r="K63" s="43">
        <v>73890607.049999997</v>
      </c>
      <c r="L63" s="13">
        <f t="shared" si="28"/>
        <v>1.3895552788117335E-5</v>
      </c>
      <c r="M63" s="13">
        <f t="shared" si="29"/>
        <v>1.0706717864917779E-2</v>
      </c>
      <c r="N63" s="20">
        <f t="shared" si="30"/>
        <v>1.0377505756328741E-3</v>
      </c>
      <c r="O63" s="21">
        <f t="shared" si="31"/>
        <v>1.4512223174379781E-2</v>
      </c>
      <c r="P63" s="24">
        <f t="shared" si="32"/>
        <v>1263.6273116716545</v>
      </c>
      <c r="Q63" s="24">
        <f t="shared" si="33"/>
        <v>18.338041556220606</v>
      </c>
      <c r="R63" s="10">
        <v>1000</v>
      </c>
      <c r="S63" s="10">
        <v>1000</v>
      </c>
      <c r="T63" s="10">
        <v>20</v>
      </c>
      <c r="U63" s="18">
        <v>58630</v>
      </c>
      <c r="V63" s="18">
        <v>58475</v>
      </c>
    </row>
    <row r="64" spans="1:22">
      <c r="A64" s="95">
        <v>57</v>
      </c>
      <c r="B64" s="19" t="s">
        <v>85</v>
      </c>
      <c r="C64" s="19" t="s">
        <v>46</v>
      </c>
      <c r="D64" s="10">
        <v>2597222866505.4902</v>
      </c>
      <c r="E64" s="10">
        <v>34098083705.25</v>
      </c>
      <c r="F64" s="10">
        <v>0</v>
      </c>
      <c r="G64" s="10">
        <v>3976475178.7199998</v>
      </c>
      <c r="H64" s="12">
        <f t="shared" si="26"/>
        <v>30121608526.529999</v>
      </c>
      <c r="I64" s="43">
        <v>2521482311350</v>
      </c>
      <c r="J64" s="13">
        <f t="shared" si="27"/>
        <v>0.48590136270278006</v>
      </c>
      <c r="K64" s="43">
        <v>2591420898406.0298</v>
      </c>
      <c r="L64" s="13">
        <f t="shared" si="28"/>
        <v>0.48733157471104355</v>
      </c>
      <c r="M64" s="13">
        <f t="shared" si="29"/>
        <v>2.7737092083182098E-2</v>
      </c>
      <c r="N64" s="20">
        <f t="shared" si="30"/>
        <v>1.5344767734048568E-3</v>
      </c>
      <c r="O64" s="21">
        <f t="shared" si="31"/>
        <v>1.1623587872220082E-2</v>
      </c>
      <c r="P64" s="24">
        <f t="shared" si="32"/>
        <v>1</v>
      </c>
      <c r="Q64" s="24">
        <f t="shared" si="33"/>
        <v>1.1623587872220082E-2</v>
      </c>
      <c r="R64" s="10">
        <v>100</v>
      </c>
      <c r="S64" s="10">
        <v>100</v>
      </c>
      <c r="T64" s="10">
        <v>295382</v>
      </c>
      <c r="U64" s="18">
        <v>2521482311350</v>
      </c>
      <c r="V64" s="18">
        <v>2591420898406.0298</v>
      </c>
    </row>
    <row r="65" spans="1:23">
      <c r="A65" s="60">
        <v>58</v>
      </c>
      <c r="B65" s="19" t="s">
        <v>296</v>
      </c>
      <c r="C65" s="19" t="s">
        <v>297</v>
      </c>
      <c r="D65" s="10">
        <v>3895147310.9299998</v>
      </c>
      <c r="E65" s="10">
        <v>403296809.25</v>
      </c>
      <c r="F65" s="10">
        <v>0</v>
      </c>
      <c r="G65" s="10">
        <v>48124900.840000004</v>
      </c>
      <c r="H65" s="12">
        <f t="shared" si="26"/>
        <v>355171908.40999997</v>
      </c>
      <c r="I65" s="43">
        <v>8461612065.7600002</v>
      </c>
      <c r="J65" s="13">
        <f t="shared" si="27"/>
        <v>1.6305919795303941E-3</v>
      </c>
      <c r="K65" s="43">
        <v>9014004420.9400005</v>
      </c>
      <c r="L65" s="13">
        <f t="shared" si="28"/>
        <v>1.6951352717773458E-3</v>
      </c>
      <c r="M65" s="13">
        <f t="shared" si="29"/>
        <v>6.5282165016198462E-2</v>
      </c>
      <c r="N65" s="20">
        <f t="shared" si="30"/>
        <v>5.3389036207041746E-3</v>
      </c>
      <c r="O65" s="21">
        <f t="shared" si="31"/>
        <v>3.9402233660427007E-2</v>
      </c>
      <c r="P65" s="24">
        <f t="shared" si="32"/>
        <v>99.999999999334378</v>
      </c>
      <c r="Q65" s="24">
        <f t="shared" si="33"/>
        <v>3.940223366016474</v>
      </c>
      <c r="R65" s="10">
        <v>100</v>
      </c>
      <c r="S65" s="10">
        <v>100</v>
      </c>
      <c r="T65" s="10">
        <v>1053</v>
      </c>
      <c r="U65" s="18">
        <v>84616120.659999996</v>
      </c>
      <c r="V65" s="18">
        <v>90140044.209999993</v>
      </c>
    </row>
    <row r="66" spans="1:23">
      <c r="A66" s="60">
        <v>59</v>
      </c>
      <c r="B66" s="19" t="s">
        <v>86</v>
      </c>
      <c r="C66" s="19" t="s">
        <v>87</v>
      </c>
      <c r="D66" s="10">
        <v>15658555921.620001</v>
      </c>
      <c r="E66" s="10">
        <v>245765427.24000001</v>
      </c>
      <c r="F66" s="10">
        <v>0</v>
      </c>
      <c r="G66" s="10">
        <v>19457865.77</v>
      </c>
      <c r="H66" s="12">
        <f t="shared" si="26"/>
        <v>226307561.47</v>
      </c>
      <c r="I66" s="43">
        <v>14003105244.629999</v>
      </c>
      <c r="J66" s="13">
        <f t="shared" si="27"/>
        <v>2.6984634751584819E-3</v>
      </c>
      <c r="K66" s="43">
        <v>15728297488.83</v>
      </c>
      <c r="L66" s="13">
        <f t="shared" si="28"/>
        <v>2.9577966232617464E-3</v>
      </c>
      <c r="M66" s="13">
        <f t="shared" si="29"/>
        <v>0.12320069113681685</v>
      </c>
      <c r="N66" s="20">
        <f t="shared" si="30"/>
        <v>1.237124729095357E-3</v>
      </c>
      <c r="O66" s="21">
        <f t="shared" si="31"/>
        <v>1.4388560594731897E-2</v>
      </c>
      <c r="P66" s="24">
        <f t="shared" si="32"/>
        <v>1.0279137199753776</v>
      </c>
      <c r="Q66" s="24">
        <f t="shared" si="33"/>
        <v>1.4790198846021998E-2</v>
      </c>
      <c r="R66" s="10">
        <v>1</v>
      </c>
      <c r="S66" s="10">
        <v>1</v>
      </c>
      <c r="T66" s="10">
        <v>776</v>
      </c>
      <c r="U66" s="18">
        <v>13786858231.58</v>
      </c>
      <c r="V66" s="18">
        <v>15301184509.15</v>
      </c>
    </row>
    <row r="67" spans="1:23">
      <c r="A67" s="60">
        <v>60</v>
      </c>
      <c r="B67" s="19" t="s">
        <v>88</v>
      </c>
      <c r="C67" s="19" t="s">
        <v>50</v>
      </c>
      <c r="D67" s="10">
        <v>75908025942</v>
      </c>
      <c r="E67" s="10">
        <v>3035166754</v>
      </c>
      <c r="F67" s="10">
        <v>0</v>
      </c>
      <c r="G67" s="10">
        <v>309425888</v>
      </c>
      <c r="H67" s="12">
        <f t="shared" si="26"/>
        <v>2725740866</v>
      </c>
      <c r="I67" s="43">
        <v>229681176846</v>
      </c>
      <c r="J67" s="13">
        <f t="shared" si="27"/>
        <v>4.4260630468947355E-2</v>
      </c>
      <c r="K67" s="43">
        <v>221068629964</v>
      </c>
      <c r="L67" s="13">
        <f t="shared" si="28"/>
        <v>4.157322479950501E-2</v>
      </c>
      <c r="M67" s="13">
        <f t="shared" si="29"/>
        <v>-3.749783504363819E-2</v>
      </c>
      <c r="N67" s="20">
        <f t="shared" si="30"/>
        <v>1.399682478922444E-3</v>
      </c>
      <c r="O67" s="21">
        <f t="shared" si="31"/>
        <v>1.2329840133554336E-2</v>
      </c>
      <c r="P67" s="24">
        <f t="shared" si="32"/>
        <v>1.0179091596139513</v>
      </c>
      <c r="Q67" s="24">
        <f t="shared" si="33"/>
        <v>1.2550657208520664E-2</v>
      </c>
      <c r="R67" s="10">
        <v>1</v>
      </c>
      <c r="S67" s="10">
        <v>1</v>
      </c>
      <c r="T67" s="10">
        <v>18649</v>
      </c>
      <c r="U67" s="18">
        <v>227991427109.42001</v>
      </c>
      <c r="V67" s="18">
        <v>217179134185.06</v>
      </c>
    </row>
    <row r="68" spans="1:23">
      <c r="A68" s="60">
        <v>61</v>
      </c>
      <c r="B68" s="93" t="s">
        <v>89</v>
      </c>
      <c r="C68" s="19" t="s">
        <v>90</v>
      </c>
      <c r="D68" s="10">
        <v>1063223562.45</v>
      </c>
      <c r="E68" s="10">
        <v>32058094.68</v>
      </c>
      <c r="F68" s="10">
        <v>0</v>
      </c>
      <c r="G68" s="10">
        <v>4811442.6100000003</v>
      </c>
      <c r="H68" s="12">
        <f t="shared" si="26"/>
        <v>27246652.07</v>
      </c>
      <c r="I68" s="43">
        <v>2454328442.4099998</v>
      </c>
      <c r="J68" s="13">
        <f t="shared" si="27"/>
        <v>4.7296049998808595E-4</v>
      </c>
      <c r="K68" s="43">
        <v>2699422807.96</v>
      </c>
      <c r="L68" s="13">
        <f t="shared" si="28"/>
        <v>5.0764195373403833E-4</v>
      </c>
      <c r="M68" s="13">
        <f t="shared" si="29"/>
        <v>9.9862089081008479E-2</v>
      </c>
      <c r="N68" s="20">
        <f t="shared" si="30"/>
        <v>1.7823968130565252E-3</v>
      </c>
      <c r="O68" s="21">
        <f t="shared" si="31"/>
        <v>1.0093510356975446E-2</v>
      </c>
      <c r="P68" s="24">
        <f t="shared" si="32"/>
        <v>1.0199851398966848</v>
      </c>
      <c r="Q68" s="24">
        <f t="shared" si="33"/>
        <v>1.0295230573508236E-2</v>
      </c>
      <c r="R68" s="10">
        <v>1</v>
      </c>
      <c r="S68" s="10">
        <v>1</v>
      </c>
      <c r="T68" s="10">
        <v>157</v>
      </c>
      <c r="U68" s="18">
        <v>2427300765.1300001</v>
      </c>
      <c r="V68" s="18">
        <v>2646531505.5799999</v>
      </c>
    </row>
    <row r="69" spans="1:23">
      <c r="A69" s="60">
        <v>62</v>
      </c>
      <c r="B69" s="19" t="s">
        <v>91</v>
      </c>
      <c r="C69" s="19" t="s">
        <v>92</v>
      </c>
      <c r="D69" s="10">
        <v>9296197733.9599991</v>
      </c>
      <c r="E69" s="10">
        <v>112991621.06</v>
      </c>
      <c r="F69" s="10">
        <v>0</v>
      </c>
      <c r="G69" s="10">
        <v>12275047.140000001</v>
      </c>
      <c r="H69" s="12">
        <f t="shared" si="26"/>
        <v>100716573.92</v>
      </c>
      <c r="I69" s="43">
        <v>8513240999.9099998</v>
      </c>
      <c r="J69" s="13">
        <f t="shared" si="27"/>
        <v>1.6405411151421943E-3</v>
      </c>
      <c r="K69" s="43">
        <v>9263175684.2299995</v>
      </c>
      <c r="L69" s="13">
        <f t="shared" si="28"/>
        <v>1.7419933580830268E-3</v>
      </c>
      <c r="M69" s="13">
        <f t="shared" si="29"/>
        <v>8.809038582696388E-2</v>
      </c>
      <c r="N69" s="20">
        <f t="shared" si="30"/>
        <v>1.3251445895490822E-3</v>
      </c>
      <c r="O69" s="21">
        <f t="shared" si="31"/>
        <v>1.0872791076548826E-2</v>
      </c>
      <c r="P69" s="24">
        <f t="shared" si="32"/>
        <v>1.0228865923237001</v>
      </c>
      <c r="Q69" s="24">
        <f t="shared" si="33"/>
        <v>1.1121632213338563E-2</v>
      </c>
      <c r="R69" s="10">
        <v>1</v>
      </c>
      <c r="S69" s="10">
        <v>1</v>
      </c>
      <c r="T69" s="10">
        <v>598</v>
      </c>
      <c r="U69" s="18">
        <v>8402300644.71</v>
      </c>
      <c r="V69" s="18">
        <v>9055916612.6000004</v>
      </c>
    </row>
    <row r="70" spans="1:23">
      <c r="A70" s="60">
        <v>63</v>
      </c>
      <c r="B70" s="71" t="s">
        <v>292</v>
      </c>
      <c r="C70" s="71" t="s">
        <v>290</v>
      </c>
      <c r="D70" s="10">
        <v>5025033326.0699997</v>
      </c>
      <c r="E70" s="10">
        <v>210890771.91</v>
      </c>
      <c r="F70" s="10"/>
      <c r="G70" s="10">
        <v>23271275.239999998</v>
      </c>
      <c r="H70" s="12">
        <f t="shared" si="26"/>
        <v>187619496.66999999</v>
      </c>
      <c r="I70" s="43">
        <v>12182055371.059999</v>
      </c>
      <c r="J70" s="13">
        <f t="shared" si="27"/>
        <v>2.347538699230294E-3</v>
      </c>
      <c r="K70" s="43">
        <v>14757539434.43</v>
      </c>
      <c r="L70" s="13">
        <f t="shared" si="28"/>
        <v>2.7752399989769108E-3</v>
      </c>
      <c r="M70" s="13">
        <f t="shared" si="29"/>
        <v>0.21141621712608419</v>
      </c>
      <c r="N70" s="20">
        <f t="shared" si="30"/>
        <v>1.5769075423039069E-3</v>
      </c>
      <c r="O70" s="21">
        <f t="shared" si="31"/>
        <v>1.2713467411259312E-2</v>
      </c>
      <c r="P70" s="24">
        <f t="shared" si="32"/>
        <v>0.99902036973451669</v>
      </c>
      <c r="Q70" s="24">
        <f t="shared" si="33"/>
        <v>1.2701012913804006E-2</v>
      </c>
      <c r="R70" s="10">
        <v>1</v>
      </c>
      <c r="S70" s="10">
        <v>1</v>
      </c>
      <c r="T70" s="10">
        <v>2405</v>
      </c>
      <c r="U70" s="18">
        <v>12177885542.809999</v>
      </c>
      <c r="V70" s="18">
        <v>14772010543.040001</v>
      </c>
    </row>
    <row r="71" spans="1:23">
      <c r="A71" s="60">
        <v>64</v>
      </c>
      <c r="B71" s="19" t="s">
        <v>93</v>
      </c>
      <c r="C71" s="19" t="s">
        <v>94</v>
      </c>
      <c r="D71" s="10">
        <v>146194780836.73001</v>
      </c>
      <c r="E71" s="10">
        <v>2016887656.5599999</v>
      </c>
      <c r="F71" s="10">
        <v>0</v>
      </c>
      <c r="G71" s="10">
        <v>158192863.22999999</v>
      </c>
      <c r="H71" s="12">
        <f t="shared" si="26"/>
        <v>1858694793.3299999</v>
      </c>
      <c r="I71" s="43">
        <v>142894762115.01001</v>
      </c>
      <c r="J71" s="13">
        <f t="shared" si="27"/>
        <v>2.753648491692123E-2</v>
      </c>
      <c r="K71" s="43">
        <v>148428669541.01001</v>
      </c>
      <c r="L71" s="13">
        <f t="shared" si="28"/>
        <v>2.7912863288313289E-2</v>
      </c>
      <c r="M71" s="13">
        <f t="shared" si="29"/>
        <v>3.8727153774509873E-2</v>
      </c>
      <c r="N71" s="20">
        <f t="shared" si="30"/>
        <v>1.0657837446039506E-3</v>
      </c>
      <c r="O71" s="21">
        <f t="shared" si="31"/>
        <v>1.2522478299358824E-2</v>
      </c>
      <c r="P71" s="24">
        <f t="shared" si="32"/>
        <v>1.0253690763524039</v>
      </c>
      <c r="Q71" s="24">
        <f t="shared" si="33"/>
        <v>1.2840162007456581E-2</v>
      </c>
      <c r="R71" s="10">
        <v>1</v>
      </c>
      <c r="S71" s="10">
        <v>1</v>
      </c>
      <c r="T71" s="10">
        <v>7874</v>
      </c>
      <c r="U71" s="18">
        <v>141036299152.60001</v>
      </c>
      <c r="V71" s="18">
        <v>144756335025.26001</v>
      </c>
    </row>
    <row r="72" spans="1:23" ht="15" customHeight="1">
      <c r="A72" s="109" t="s">
        <v>51</v>
      </c>
      <c r="B72" s="109"/>
      <c r="C72" s="109"/>
      <c r="D72" s="109"/>
      <c r="E72" s="109"/>
      <c r="F72" s="109"/>
      <c r="G72" s="109"/>
      <c r="H72" s="109"/>
      <c r="I72" s="26">
        <f>SUM(I28:I71)</f>
        <v>5189288413032.0088</v>
      </c>
      <c r="J72" s="34">
        <f>(I72/$I$240)</f>
        <v>0.6382923112253418</v>
      </c>
      <c r="K72" s="36">
        <f>SUM(K28:K71)</f>
        <v>5317572332436.2402</v>
      </c>
      <c r="L72" s="34">
        <f>(K72/$K$240)</f>
        <v>0.63977756300049815</v>
      </c>
      <c r="M72" s="34">
        <f t="shared" si="21"/>
        <v>2.4720907606921281E-2</v>
      </c>
      <c r="N72" s="20"/>
      <c r="O72" s="20"/>
      <c r="P72" s="37"/>
      <c r="Q72" s="37"/>
      <c r="R72" s="36"/>
      <c r="S72" s="36"/>
      <c r="T72" s="36">
        <f>SUM(T28:T71)</f>
        <v>611230</v>
      </c>
      <c r="U72" s="36"/>
      <c r="V72" s="36"/>
    </row>
    <row r="73" spans="1:23" ht="6" customHeight="1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5"/>
    </row>
    <row r="74" spans="1:23" ht="12.75" customHeight="1">
      <c r="A74" s="116" t="s">
        <v>95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8"/>
    </row>
    <row r="75" spans="1:23">
      <c r="A75" s="60">
        <v>65</v>
      </c>
      <c r="B75" s="19" t="s">
        <v>96</v>
      </c>
      <c r="C75" s="19" t="s">
        <v>24</v>
      </c>
      <c r="D75" s="10">
        <v>770094333.20000005</v>
      </c>
      <c r="E75" s="10">
        <v>9752495.2599999998</v>
      </c>
      <c r="F75" s="10">
        <v>0</v>
      </c>
      <c r="G75" s="10">
        <v>950546.17</v>
      </c>
      <c r="H75" s="12">
        <f t="shared" ref="H75:H113" si="36">(E75+F75)-G75</f>
        <v>8801949.0899999999</v>
      </c>
      <c r="I75" s="10">
        <v>737407992.50999999</v>
      </c>
      <c r="J75" s="13">
        <f t="shared" ref="J75:J113" si="37">(I75/$I$114)</f>
        <v>3.0627661216595611E-3</v>
      </c>
      <c r="K75" s="10">
        <v>786314248.70000005</v>
      </c>
      <c r="L75" s="13">
        <f t="shared" ref="L75" si="38">(K75/$K$114)</f>
        <v>3.2091510012808473E-3</v>
      </c>
      <c r="M75" s="13">
        <f t="shared" ref="M75:M114" si="39">((K75-I75)/I75)</f>
        <v>6.6321841757548947E-2</v>
      </c>
      <c r="N75" s="20">
        <f t="shared" ref="N75" si="40">(G75/K75)</f>
        <v>1.2088629597791492E-3</v>
      </c>
      <c r="O75" s="21">
        <f t="shared" ref="O75" si="41">H75/K75</f>
        <v>1.1193933092974104E-2</v>
      </c>
      <c r="P75" s="24">
        <f t="shared" ref="P75" si="42">K75/V75</f>
        <v>1.8346570080821254</v>
      </c>
      <c r="Q75" s="24">
        <f t="shared" ref="Q75" si="43">H75/V75</f>
        <v>2.053702779702736E-2</v>
      </c>
      <c r="R75" s="10">
        <v>1.73</v>
      </c>
      <c r="S75" s="10">
        <v>1.73</v>
      </c>
      <c r="T75" s="17">
        <v>420</v>
      </c>
      <c r="U75" s="10">
        <v>425295500.24000001</v>
      </c>
      <c r="V75" s="10">
        <v>428589237.79000002</v>
      </c>
    </row>
    <row r="76" spans="1:23" ht="13.05" customHeight="1">
      <c r="A76" s="95">
        <v>66</v>
      </c>
      <c r="B76" s="19" t="s">
        <v>97</v>
      </c>
      <c r="C76" s="76" t="s">
        <v>26</v>
      </c>
      <c r="D76" s="10">
        <v>983510597</v>
      </c>
      <c r="E76" s="10">
        <v>13807028</v>
      </c>
      <c r="F76" s="10">
        <v>2090259</v>
      </c>
      <c r="G76" s="10">
        <v>1945244</v>
      </c>
      <c r="H76" s="12">
        <f t="shared" si="36"/>
        <v>13952043</v>
      </c>
      <c r="I76" s="10">
        <v>1206501904</v>
      </c>
      <c r="J76" s="13">
        <f t="shared" si="37"/>
        <v>5.0111108027335967E-3</v>
      </c>
      <c r="K76" s="10">
        <v>1224257102</v>
      </c>
      <c r="L76" s="13">
        <f t="shared" ref="L76:L113" si="44">(K76/$K$114)</f>
        <v>4.996508598443878E-3</v>
      </c>
      <c r="M76" s="13">
        <f t="shared" ref="M76:M113" si="45">((K76-I76)/I76)</f>
        <v>1.471626189824894E-2</v>
      </c>
      <c r="N76" s="20">
        <f t="shared" ref="N76:N113" si="46">(G76/K76)</f>
        <v>1.5889178807475686E-3</v>
      </c>
      <c r="O76" s="21">
        <f t="shared" ref="O76:O113" si="47">H76/K76</f>
        <v>1.1396334133743094E-2</v>
      </c>
      <c r="P76" s="24">
        <f t="shared" ref="P76:P113" si="48">K76/V76</f>
        <v>1.3554559939368394</v>
      </c>
      <c r="Q76" s="24">
        <f t="shared" ref="Q76:Q113" si="49">H76/V76</f>
        <v>1.5447229410489075E-2</v>
      </c>
      <c r="R76" s="10">
        <v>1.3554999999999999</v>
      </c>
      <c r="S76" s="10">
        <v>1.3554999999999999</v>
      </c>
      <c r="T76" s="17">
        <v>1495</v>
      </c>
      <c r="U76" s="10">
        <v>900367568</v>
      </c>
      <c r="V76" s="10">
        <v>903206823</v>
      </c>
    </row>
    <row r="77" spans="1:23" ht="15" customHeight="1">
      <c r="A77" s="60">
        <v>67</v>
      </c>
      <c r="B77" s="19" t="s">
        <v>98</v>
      </c>
      <c r="C77" s="19" t="s">
        <v>99</v>
      </c>
      <c r="D77" s="10">
        <v>544081819</v>
      </c>
      <c r="E77" s="10">
        <v>7622334</v>
      </c>
      <c r="F77" s="10">
        <v>11470</v>
      </c>
      <c r="G77" s="10">
        <v>1207225</v>
      </c>
      <c r="H77" s="12">
        <f t="shared" si="36"/>
        <v>6426579</v>
      </c>
      <c r="I77" s="10">
        <v>656352300</v>
      </c>
      <c r="J77" s="13">
        <f t="shared" si="37"/>
        <v>2.7261076754413831E-3</v>
      </c>
      <c r="K77" s="10">
        <v>672913634</v>
      </c>
      <c r="L77" s="13">
        <f t="shared" si="44"/>
        <v>2.7463338810111448E-3</v>
      </c>
      <c r="M77" s="13">
        <f t="shared" si="45"/>
        <v>2.5232385107814812E-2</v>
      </c>
      <c r="N77" s="20">
        <f t="shared" si="46"/>
        <v>1.7940266610796595E-3</v>
      </c>
      <c r="O77" s="21">
        <f t="shared" si="47"/>
        <v>9.550377158801927E-3</v>
      </c>
      <c r="P77" s="24">
        <f t="shared" si="48"/>
        <v>1.205060083196565</v>
      </c>
      <c r="Q77" s="24">
        <f t="shared" si="49"/>
        <v>1.1508778293544426E-2</v>
      </c>
      <c r="R77" s="10">
        <v>1.2051000000000001</v>
      </c>
      <c r="S77" s="10">
        <v>1.2051000000000001</v>
      </c>
      <c r="T77" s="17">
        <v>703</v>
      </c>
      <c r="U77" s="10">
        <v>549908785</v>
      </c>
      <c r="V77" s="10">
        <v>558406708</v>
      </c>
    </row>
    <row r="78" spans="1:23">
      <c r="A78" s="60">
        <v>68</v>
      </c>
      <c r="B78" s="19" t="s">
        <v>100</v>
      </c>
      <c r="C78" s="76" t="s">
        <v>101</v>
      </c>
      <c r="D78" s="10">
        <v>276478869.94999999</v>
      </c>
      <c r="E78" s="10">
        <v>3923306.21</v>
      </c>
      <c r="F78" s="10">
        <v>0</v>
      </c>
      <c r="G78" s="10">
        <v>486910.86</v>
      </c>
      <c r="H78" s="12">
        <f t="shared" si="36"/>
        <v>3436395.35</v>
      </c>
      <c r="I78" s="10">
        <v>313228632.92000002</v>
      </c>
      <c r="J78" s="13">
        <f t="shared" si="37"/>
        <v>1.3009705007070494E-3</v>
      </c>
      <c r="K78" s="10">
        <v>327424080.24000001</v>
      </c>
      <c r="L78" s="13">
        <f t="shared" si="44"/>
        <v>1.3363020149804599E-3</v>
      </c>
      <c r="M78" s="13">
        <f t="shared" si="45"/>
        <v>4.5319762716665733E-2</v>
      </c>
      <c r="N78" s="20">
        <f t="shared" si="46"/>
        <v>1.4870954501669427E-3</v>
      </c>
      <c r="O78" s="21">
        <f t="shared" si="47"/>
        <v>1.0495243194945044E-2</v>
      </c>
      <c r="P78" s="24">
        <f t="shared" si="48"/>
        <v>1272.3107421137302</v>
      </c>
      <c r="Q78" s="24">
        <f t="shared" si="49"/>
        <v>13.353210658024606</v>
      </c>
      <c r="R78" s="10">
        <v>1272.31</v>
      </c>
      <c r="S78" s="10">
        <v>1272.31</v>
      </c>
      <c r="T78" s="17">
        <v>98</v>
      </c>
      <c r="U78" s="10">
        <v>257366</v>
      </c>
      <c r="V78" s="10">
        <v>257346</v>
      </c>
    </row>
    <row r="79" spans="1:23">
      <c r="A79" s="60">
        <v>69</v>
      </c>
      <c r="B79" s="19" t="s">
        <v>102</v>
      </c>
      <c r="C79" s="76" t="s">
        <v>103</v>
      </c>
      <c r="D79" s="10">
        <v>1843795430.1800001</v>
      </c>
      <c r="E79" s="10">
        <v>52692956.240000002</v>
      </c>
      <c r="F79" s="10">
        <v>66088364</v>
      </c>
      <c r="G79" s="10">
        <v>2303894.4700000002</v>
      </c>
      <c r="H79" s="12">
        <f t="shared" si="36"/>
        <v>116477425.77000001</v>
      </c>
      <c r="I79" s="10">
        <v>1811805364.6300001</v>
      </c>
      <c r="J79" s="13">
        <f t="shared" si="37"/>
        <v>7.5251911373262759E-3</v>
      </c>
      <c r="K79" s="10">
        <v>1885562510.5</v>
      </c>
      <c r="L79" s="13">
        <f t="shared" si="44"/>
        <v>7.6954663209433238E-3</v>
      </c>
      <c r="M79" s="13">
        <f t="shared" si="45"/>
        <v>4.0709199404022234E-2</v>
      </c>
      <c r="N79" s="20">
        <f t="shared" si="46"/>
        <v>1.2218605626546266E-3</v>
      </c>
      <c r="O79" s="21">
        <f t="shared" si="47"/>
        <v>6.1773303786737552E-2</v>
      </c>
      <c r="P79" s="24">
        <f t="shared" si="48"/>
        <v>1.1765112189907054</v>
      </c>
      <c r="Q79" s="24">
        <f t="shared" si="49"/>
        <v>7.2676984939217745E-2</v>
      </c>
      <c r="R79" s="10">
        <v>1.1155999999999999</v>
      </c>
      <c r="S79" s="10">
        <v>1.1155999999999999</v>
      </c>
      <c r="T79" s="17">
        <v>1118</v>
      </c>
      <c r="U79" s="10">
        <v>1595829185.54</v>
      </c>
      <c r="V79" s="10">
        <v>1602672783.79</v>
      </c>
    </row>
    <row r="80" spans="1:23">
      <c r="A80" s="60">
        <v>70</v>
      </c>
      <c r="B80" s="19" t="s">
        <v>104</v>
      </c>
      <c r="C80" s="19" t="s">
        <v>105</v>
      </c>
      <c r="D80" s="10">
        <v>501739876.75999999</v>
      </c>
      <c r="E80" s="10">
        <v>6339404.4900000002</v>
      </c>
      <c r="F80" s="10">
        <v>0</v>
      </c>
      <c r="G80" s="10">
        <v>861658.21</v>
      </c>
      <c r="H80" s="12">
        <f t="shared" si="36"/>
        <v>5477746.2800000003</v>
      </c>
      <c r="I80" s="10">
        <v>488200078.35000002</v>
      </c>
      <c r="J80" s="13">
        <f t="shared" si="37"/>
        <v>2.0277006429946535E-3</v>
      </c>
      <c r="K80" s="10">
        <v>493677770.61000001</v>
      </c>
      <c r="L80" s="13">
        <f t="shared" si="44"/>
        <v>2.0148261518628868E-3</v>
      </c>
      <c r="M80" s="13">
        <f t="shared" si="45"/>
        <v>1.1220178985864332E-2</v>
      </c>
      <c r="N80" s="20">
        <f t="shared" si="46"/>
        <v>1.7453858798124828E-3</v>
      </c>
      <c r="O80" s="21">
        <f t="shared" si="47"/>
        <v>1.1095792855391416E-2</v>
      </c>
      <c r="P80" s="24">
        <f t="shared" si="48"/>
        <v>2.8114002038067403</v>
      </c>
      <c r="Q80" s="24">
        <f t="shared" si="49"/>
        <v>3.1194714295044799E-2</v>
      </c>
      <c r="R80" s="10">
        <v>2.8014000000000001</v>
      </c>
      <c r="S80" s="10">
        <v>2.8014000000000001</v>
      </c>
      <c r="T80" s="17">
        <v>1390</v>
      </c>
      <c r="U80" s="10">
        <v>175598539.81</v>
      </c>
      <c r="V80" s="10">
        <v>175598539.81</v>
      </c>
    </row>
    <row r="81" spans="1:24">
      <c r="A81" s="60">
        <v>71</v>
      </c>
      <c r="B81" s="19" t="s">
        <v>306</v>
      </c>
      <c r="C81" s="19" t="s">
        <v>307</v>
      </c>
      <c r="D81" s="10">
        <v>405870037.77999997</v>
      </c>
      <c r="E81" s="10">
        <v>35905939.689999998</v>
      </c>
      <c r="F81" s="10">
        <v>0</v>
      </c>
      <c r="G81" s="10">
        <v>4540219.32</v>
      </c>
      <c r="H81" s="12">
        <f t="shared" ref="H81" si="50">(E81+F81)-G81</f>
        <v>31365720.369999997</v>
      </c>
      <c r="I81" s="10">
        <v>1257613613.8299999</v>
      </c>
      <c r="J81" s="13">
        <f t="shared" si="37"/>
        <v>5.2233992710950172E-3</v>
      </c>
      <c r="K81" s="10">
        <v>1984344509.23</v>
      </c>
      <c r="L81" s="13">
        <f t="shared" si="44"/>
        <v>8.0986211037251486E-3</v>
      </c>
      <c r="M81" s="13">
        <f t="shared" si="45"/>
        <v>0.5778650035337779</v>
      </c>
      <c r="N81" s="20">
        <f t="shared" si="46"/>
        <v>2.2880196956131249E-3</v>
      </c>
      <c r="O81" s="21">
        <f t="shared" si="47"/>
        <v>1.5806590148084252E-2</v>
      </c>
      <c r="P81" s="24">
        <f t="shared" si="48"/>
        <v>1161.0627667991359</v>
      </c>
      <c r="Q81" s="24">
        <f t="shared" si="49"/>
        <v>18.352443290994664</v>
      </c>
      <c r="R81" s="10">
        <v>1161.06</v>
      </c>
      <c r="S81" s="10">
        <v>1161.06</v>
      </c>
      <c r="T81" s="17">
        <v>295</v>
      </c>
      <c r="U81" s="10">
        <v>1097805</v>
      </c>
      <c r="V81" s="10">
        <v>1709076</v>
      </c>
    </row>
    <row r="82" spans="1:24">
      <c r="A82" s="60">
        <v>72</v>
      </c>
      <c r="B82" s="71" t="s">
        <v>244</v>
      </c>
      <c r="C82" s="72" t="s">
        <v>213</v>
      </c>
      <c r="D82" s="10">
        <v>215606045.03</v>
      </c>
      <c r="E82" s="10">
        <v>12436943.16</v>
      </c>
      <c r="F82" s="10">
        <v>0</v>
      </c>
      <c r="G82" s="10">
        <v>457810.86</v>
      </c>
      <c r="H82" s="12">
        <f t="shared" si="36"/>
        <v>11979132.300000001</v>
      </c>
      <c r="I82" s="10">
        <v>233081207.55000001</v>
      </c>
      <c r="J82" s="13">
        <f t="shared" si="37"/>
        <v>9.6808447064663454E-4</v>
      </c>
      <c r="K82" s="10">
        <v>212727765.81999999</v>
      </c>
      <c r="L82" s="13">
        <f t="shared" si="44"/>
        <v>8.6819681038483834E-4</v>
      </c>
      <c r="M82" s="13">
        <f t="shared" si="45"/>
        <v>-8.7323392322969012E-2</v>
      </c>
      <c r="N82" s="20">
        <f t="shared" si="46"/>
        <v>2.152097344863658E-3</v>
      </c>
      <c r="O82" s="21">
        <f t="shared" si="47"/>
        <v>5.6312029855736682E-2</v>
      </c>
      <c r="P82" s="24">
        <f t="shared" si="48"/>
        <v>11.985149757275407</v>
      </c>
      <c r="Q82" s="24">
        <f t="shared" si="49"/>
        <v>0.67490811095716796</v>
      </c>
      <c r="R82" s="10">
        <v>11.985099999999999</v>
      </c>
      <c r="S82" s="10">
        <v>12.0405</v>
      </c>
      <c r="T82" s="17">
        <v>46</v>
      </c>
      <c r="U82" s="10">
        <v>20279855.73</v>
      </c>
      <c r="V82" s="10">
        <v>17749278.91</v>
      </c>
    </row>
    <row r="83" spans="1:24">
      <c r="A83" s="60">
        <v>73</v>
      </c>
      <c r="B83" s="76" t="s">
        <v>106</v>
      </c>
      <c r="C83" s="19" t="s">
        <v>60</v>
      </c>
      <c r="D83" s="10">
        <v>2091942632.6800001</v>
      </c>
      <c r="E83" s="10">
        <v>23268406.789999999</v>
      </c>
      <c r="F83" s="10">
        <v>0</v>
      </c>
      <c r="G83" s="10">
        <v>3476935.83</v>
      </c>
      <c r="H83" s="12">
        <f t="shared" si="36"/>
        <v>19791470.960000001</v>
      </c>
      <c r="I83" s="10">
        <v>2050547784.3599999</v>
      </c>
      <c r="J83" s="13">
        <f t="shared" si="37"/>
        <v>8.5167890076763928E-3</v>
      </c>
      <c r="K83" s="10">
        <v>2082208839.6800001</v>
      </c>
      <c r="L83" s="13">
        <f t="shared" si="44"/>
        <v>8.4980306458675298E-3</v>
      </c>
      <c r="M83" s="13">
        <f t="shared" si="45"/>
        <v>1.5440291399930462E-2</v>
      </c>
      <c r="N83" s="20">
        <f t="shared" si="46"/>
        <v>1.6698305010242611E-3</v>
      </c>
      <c r="O83" s="21">
        <f t="shared" si="47"/>
        <v>9.5050364703290827E-3</v>
      </c>
      <c r="P83" s="24">
        <f t="shared" si="48"/>
        <v>4880.2948576226545</v>
      </c>
      <c r="Q83" s="24">
        <f t="shared" si="49"/>
        <v>46.387380607662806</v>
      </c>
      <c r="R83" s="10">
        <v>4880.29</v>
      </c>
      <c r="S83" s="10">
        <v>4880.29</v>
      </c>
      <c r="T83" s="17">
        <v>1191</v>
      </c>
      <c r="U83" s="10">
        <v>427049.99</v>
      </c>
      <c r="V83" s="10">
        <v>426656.36</v>
      </c>
    </row>
    <row r="84" spans="1:24">
      <c r="A84" s="60">
        <v>74</v>
      </c>
      <c r="B84" s="19" t="s">
        <v>107</v>
      </c>
      <c r="C84" s="19" t="s">
        <v>62</v>
      </c>
      <c r="D84" s="10">
        <v>359544765</v>
      </c>
      <c r="E84" s="10">
        <v>4141595.47</v>
      </c>
      <c r="F84" s="10">
        <v>0</v>
      </c>
      <c r="G84" s="10">
        <v>700919.65</v>
      </c>
      <c r="H84" s="12">
        <f t="shared" si="36"/>
        <v>3440675.8200000003</v>
      </c>
      <c r="I84" s="10">
        <v>368240341.94999999</v>
      </c>
      <c r="J84" s="13">
        <f t="shared" si="37"/>
        <v>1.5294573091265992E-3</v>
      </c>
      <c r="K84" s="10">
        <v>375028498.39999998</v>
      </c>
      <c r="L84" s="13">
        <f t="shared" si="44"/>
        <v>1.5305879082554803E-3</v>
      </c>
      <c r="M84" s="13">
        <f t="shared" si="45"/>
        <v>1.8434037981970183E-2</v>
      </c>
      <c r="N84" s="20">
        <f t="shared" si="46"/>
        <v>1.8689770323865075E-3</v>
      </c>
      <c r="O84" s="21">
        <f t="shared" si="47"/>
        <v>9.1744383018333327E-3</v>
      </c>
      <c r="P84" s="24">
        <f t="shared" si="48"/>
        <v>113.92670919607271</v>
      </c>
      <c r="Q84" s="24">
        <f t="shared" si="49"/>
        <v>1.0452135644502771</v>
      </c>
      <c r="R84" s="10">
        <v>114.18</v>
      </c>
      <c r="S84" s="10">
        <v>114.18</v>
      </c>
      <c r="T84" s="17">
        <v>98</v>
      </c>
      <c r="U84" s="10">
        <v>3265510</v>
      </c>
      <c r="V84" s="10">
        <v>3291840</v>
      </c>
      <c r="W84" s="15"/>
      <c r="X84" s="15"/>
    </row>
    <row r="85" spans="1:24">
      <c r="A85" s="60">
        <v>75</v>
      </c>
      <c r="B85" s="76" t="s">
        <v>108</v>
      </c>
      <c r="C85" s="76" t="s">
        <v>64</v>
      </c>
      <c r="D85" s="10">
        <v>1444984736.98</v>
      </c>
      <c r="E85" s="10">
        <v>20781884.539999999</v>
      </c>
      <c r="F85" s="10">
        <v>18320892.440000001</v>
      </c>
      <c r="G85" s="10">
        <v>3784063.59</v>
      </c>
      <c r="H85" s="12">
        <f t="shared" si="36"/>
        <v>35318713.390000001</v>
      </c>
      <c r="I85" s="10">
        <v>1106761337.55</v>
      </c>
      <c r="J85" s="13">
        <f t="shared" si="37"/>
        <v>4.5968462016158489E-3</v>
      </c>
      <c r="K85" s="10">
        <v>1501855284.99</v>
      </c>
      <c r="L85" s="13">
        <f t="shared" si="44"/>
        <v>6.1294582917362696E-3</v>
      </c>
      <c r="M85" s="13">
        <f t="shared" si="45"/>
        <v>0.35698206472825128</v>
      </c>
      <c r="N85" s="20">
        <f t="shared" si="46"/>
        <v>2.5195926850070617E-3</v>
      </c>
      <c r="O85" s="21">
        <f t="shared" si="47"/>
        <v>2.3516722112300697E-2</v>
      </c>
      <c r="P85" s="24">
        <f t="shared" si="48"/>
        <v>1.5588906712844286</v>
      </c>
      <c r="Q85" s="24">
        <f t="shared" si="49"/>
        <v>3.6659998720053801E-2</v>
      </c>
      <c r="R85" s="10">
        <v>1.5589</v>
      </c>
      <c r="S85" s="10">
        <v>1.5589</v>
      </c>
      <c r="T85" s="17">
        <v>2522</v>
      </c>
      <c r="U85" s="10">
        <v>729961087.00999999</v>
      </c>
      <c r="V85" s="10">
        <v>963412837.50999999</v>
      </c>
    </row>
    <row r="86" spans="1:24">
      <c r="A86" s="60">
        <v>76</v>
      </c>
      <c r="B86" s="71" t="s">
        <v>256</v>
      </c>
      <c r="C86" s="72" t="s">
        <v>64</v>
      </c>
      <c r="D86" s="16">
        <v>131265356.68000001</v>
      </c>
      <c r="E86" s="10">
        <v>1478797.25</v>
      </c>
      <c r="F86" s="10">
        <v>3794117</v>
      </c>
      <c r="G86" s="10">
        <v>180955.73</v>
      </c>
      <c r="H86" s="12">
        <f t="shared" si="36"/>
        <v>5091958.5199999996</v>
      </c>
      <c r="I86" s="10">
        <v>114258984.09</v>
      </c>
      <c r="J86" s="13">
        <f t="shared" si="37"/>
        <v>4.7456570734327264E-4</v>
      </c>
      <c r="K86" s="10">
        <v>132827327.40000001</v>
      </c>
      <c r="L86" s="13">
        <f t="shared" si="44"/>
        <v>5.4210253906488684E-4</v>
      </c>
      <c r="M86" s="13">
        <f t="shared" si="45"/>
        <v>0.16251101353547839</v>
      </c>
      <c r="N86" s="20">
        <f t="shared" si="46"/>
        <v>1.3623381087467397E-3</v>
      </c>
      <c r="O86" s="21">
        <f t="shared" si="47"/>
        <v>3.8335172585878582E-2</v>
      </c>
      <c r="P86" s="24">
        <f t="shared" si="48"/>
        <v>1.0468922488953367</v>
      </c>
      <c r="Q86" s="24">
        <f t="shared" si="49"/>
        <v>4.013279504022129E-2</v>
      </c>
      <c r="R86" s="17">
        <v>1.0468999999999999</v>
      </c>
      <c r="S86" s="18">
        <v>1.0468999999999999</v>
      </c>
      <c r="T86" s="17">
        <v>95</v>
      </c>
      <c r="U86" s="10">
        <v>113828827.39</v>
      </c>
      <c r="V86" s="10">
        <v>126877744.62</v>
      </c>
    </row>
    <row r="87" spans="1:24">
      <c r="A87" s="60">
        <v>77</v>
      </c>
      <c r="B87" s="19" t="s">
        <v>238</v>
      </c>
      <c r="C87" s="19" t="s">
        <v>48</v>
      </c>
      <c r="D87" s="10">
        <v>200493723.34999999</v>
      </c>
      <c r="E87" s="10">
        <v>2998634.98</v>
      </c>
      <c r="F87" s="10">
        <v>0</v>
      </c>
      <c r="G87" s="10">
        <v>530537.25</v>
      </c>
      <c r="H87" s="12">
        <f t="shared" si="36"/>
        <v>2468097.73</v>
      </c>
      <c r="I87" s="10">
        <v>282807778.22000003</v>
      </c>
      <c r="J87" s="13">
        <f t="shared" si="37"/>
        <v>1.1746198724070388E-3</v>
      </c>
      <c r="K87" s="10">
        <v>243333224.80000001</v>
      </c>
      <c r="L87" s="13">
        <f t="shared" si="44"/>
        <v>9.9310557236226456E-4</v>
      </c>
      <c r="M87" s="13">
        <f t="shared" si="45"/>
        <v>-0.13958086184352478</v>
      </c>
      <c r="N87" s="20">
        <f t="shared" si="46"/>
        <v>2.180291040962689E-3</v>
      </c>
      <c r="O87" s="21">
        <f t="shared" si="47"/>
        <v>1.0142871907560401E-2</v>
      </c>
      <c r="P87" s="24">
        <f t="shared" si="48"/>
        <v>146.90292305594554</v>
      </c>
      <c r="Q87" s="24">
        <f t="shared" si="49"/>
        <v>1.4900175314026569</v>
      </c>
      <c r="R87" s="10">
        <v>146.9</v>
      </c>
      <c r="S87" s="10">
        <v>146.9</v>
      </c>
      <c r="T87" s="17">
        <v>405</v>
      </c>
      <c r="U87" s="10">
        <v>1593506.52</v>
      </c>
      <c r="V87" s="10">
        <v>1656421.94</v>
      </c>
    </row>
    <row r="88" spans="1:24">
      <c r="A88" s="60">
        <v>78</v>
      </c>
      <c r="B88" s="19" t="s">
        <v>109</v>
      </c>
      <c r="C88" s="19" t="s">
        <v>110</v>
      </c>
      <c r="D88" s="10">
        <v>2651245811.21</v>
      </c>
      <c r="E88" s="10">
        <v>39155102.710000001</v>
      </c>
      <c r="F88" s="10">
        <v>0</v>
      </c>
      <c r="G88" s="10">
        <v>3925560.5</v>
      </c>
      <c r="H88" s="12">
        <f t="shared" si="36"/>
        <v>35229542.210000001</v>
      </c>
      <c r="I88" s="10">
        <v>2615178639.3800001</v>
      </c>
      <c r="J88" s="13">
        <f t="shared" si="37"/>
        <v>1.0861938872560012E-2</v>
      </c>
      <c r="K88" s="10">
        <v>2656645297.8099999</v>
      </c>
      <c r="L88" s="13">
        <f t="shared" si="44"/>
        <v>1.0842453804710019E-2</v>
      </c>
      <c r="M88" s="13">
        <f t="shared" si="45"/>
        <v>1.5856147570794871E-2</v>
      </c>
      <c r="N88" s="20">
        <f t="shared" si="46"/>
        <v>1.4776381714322298E-3</v>
      </c>
      <c r="O88" s="21">
        <f t="shared" si="47"/>
        <v>1.3260913016518014E-2</v>
      </c>
      <c r="P88" s="24">
        <f t="shared" si="48"/>
        <v>1324.5730277095645</v>
      </c>
      <c r="Q88" s="24">
        <f t="shared" si="49"/>
        <v>17.565047704482438</v>
      </c>
      <c r="R88" s="10">
        <v>1324.57</v>
      </c>
      <c r="S88" s="10">
        <v>1324.57</v>
      </c>
      <c r="T88" s="17">
        <v>315</v>
      </c>
      <c r="U88" s="10">
        <v>2001168.21</v>
      </c>
      <c r="V88" s="10">
        <v>2005661.63</v>
      </c>
    </row>
    <row r="89" spans="1:24">
      <c r="A89" s="60">
        <v>79</v>
      </c>
      <c r="B89" s="19" t="s">
        <v>111</v>
      </c>
      <c r="C89" s="19" t="s">
        <v>66</v>
      </c>
      <c r="D89" s="10">
        <v>136845294.56999999</v>
      </c>
      <c r="E89" s="10">
        <v>1366755.37</v>
      </c>
      <c r="F89" s="10">
        <v>0</v>
      </c>
      <c r="G89" s="10">
        <v>502742.63</v>
      </c>
      <c r="H89" s="12">
        <f t="shared" si="36"/>
        <v>864012.74000000011</v>
      </c>
      <c r="I89" s="10">
        <v>138901875.16999999</v>
      </c>
      <c r="J89" s="13">
        <f t="shared" si="37"/>
        <v>5.7691801801279259E-4</v>
      </c>
      <c r="K89" s="10">
        <v>149429995.81</v>
      </c>
      <c r="L89" s="13">
        <f t="shared" si="44"/>
        <v>6.0986230564672491E-4</v>
      </c>
      <c r="M89" s="13">
        <f t="shared" si="45"/>
        <v>7.5795381647042567E-2</v>
      </c>
      <c r="N89" s="20">
        <f t="shared" si="46"/>
        <v>3.3644023562661171E-3</v>
      </c>
      <c r="O89" s="21">
        <f t="shared" si="47"/>
        <v>5.7820569111076657E-3</v>
      </c>
      <c r="P89" s="24">
        <f t="shared" si="48"/>
        <v>1012.8375163349962</v>
      </c>
      <c r="Q89" s="24">
        <f t="shared" si="49"/>
        <v>5.8562841611538889</v>
      </c>
      <c r="R89" s="10">
        <v>1051.42</v>
      </c>
      <c r="S89" s="10">
        <v>1061.33</v>
      </c>
      <c r="T89" s="17">
        <v>284</v>
      </c>
      <c r="U89" s="10">
        <v>147482</v>
      </c>
      <c r="V89" s="10">
        <v>147536</v>
      </c>
    </row>
    <row r="90" spans="1:24">
      <c r="A90" s="60">
        <v>80</v>
      </c>
      <c r="B90" s="19" t="s">
        <v>112</v>
      </c>
      <c r="C90" s="76" t="s">
        <v>69</v>
      </c>
      <c r="D90" s="10">
        <v>731215083.99000001</v>
      </c>
      <c r="E90" s="10">
        <v>8051012.8700000001</v>
      </c>
      <c r="F90" s="10">
        <v>0</v>
      </c>
      <c r="G90" s="10">
        <v>1155711.18</v>
      </c>
      <c r="H90" s="12">
        <f t="shared" si="36"/>
        <v>6895301.6900000004</v>
      </c>
      <c r="I90" s="10">
        <v>729488145</v>
      </c>
      <c r="J90" s="13">
        <f t="shared" si="37"/>
        <v>3.0298716576874895E-3</v>
      </c>
      <c r="K90" s="10">
        <v>725685698.12</v>
      </c>
      <c r="L90" s="13">
        <f t="shared" si="44"/>
        <v>2.961710268619972E-3</v>
      </c>
      <c r="M90" s="13">
        <f t="shared" si="45"/>
        <v>-5.212486187832422E-3</v>
      </c>
      <c r="N90" s="20">
        <f t="shared" si="46"/>
        <v>1.5925781409142372E-3</v>
      </c>
      <c r="O90" s="21">
        <f t="shared" si="47"/>
        <v>9.5017742637940033E-3</v>
      </c>
      <c r="P90" s="24">
        <f t="shared" si="48"/>
        <v>1.2035174839617018</v>
      </c>
      <c r="Q90" s="24">
        <f t="shared" si="49"/>
        <v>1.1435551455133411E-2</v>
      </c>
      <c r="R90" s="10">
        <v>1.2184999999999999</v>
      </c>
      <c r="S90" s="10">
        <v>1.2184999999999999</v>
      </c>
      <c r="T90" s="17">
        <v>216</v>
      </c>
      <c r="U90" s="10">
        <v>602385851.38999999</v>
      </c>
      <c r="V90" s="10">
        <v>602970632.15999997</v>
      </c>
    </row>
    <row r="91" spans="1:24">
      <c r="A91" s="60">
        <v>81</v>
      </c>
      <c r="B91" s="19" t="s">
        <v>245</v>
      </c>
      <c r="C91" s="19" t="s">
        <v>30</v>
      </c>
      <c r="D91" s="10">
        <v>11961476603.870001</v>
      </c>
      <c r="E91" s="10">
        <v>114759483.34</v>
      </c>
      <c r="F91" s="10">
        <v>0</v>
      </c>
      <c r="G91" s="10">
        <v>12676261.810000001</v>
      </c>
      <c r="H91" s="12">
        <f t="shared" si="36"/>
        <v>102083221.53</v>
      </c>
      <c r="I91" s="10">
        <v>11579539611.629999</v>
      </c>
      <c r="J91" s="13">
        <f t="shared" si="37"/>
        <v>4.8094707390134953E-2</v>
      </c>
      <c r="K91" s="10">
        <v>11542986540.48</v>
      </c>
      <c r="L91" s="13">
        <f t="shared" si="44"/>
        <v>4.7109901512525816E-2</v>
      </c>
      <c r="M91" s="13">
        <f t="shared" si="45"/>
        <v>-3.1566946852780971E-3</v>
      </c>
      <c r="N91" s="20">
        <f t="shared" si="46"/>
        <v>1.0981786875992386E-3</v>
      </c>
      <c r="O91" s="21">
        <f t="shared" si="47"/>
        <v>8.8437443093262944E-3</v>
      </c>
      <c r="P91" s="24">
        <f t="shared" si="48"/>
        <v>1683.5488602145797</v>
      </c>
      <c r="Q91" s="24">
        <f t="shared" si="49"/>
        <v>14.888875651995457</v>
      </c>
      <c r="R91" s="10">
        <v>1685.84</v>
      </c>
      <c r="S91" s="10">
        <v>1685.84</v>
      </c>
      <c r="T91" s="17">
        <v>2029</v>
      </c>
      <c r="U91" s="10">
        <v>6897974.1900000004</v>
      </c>
      <c r="V91" s="10">
        <v>6856341.8700000001</v>
      </c>
    </row>
    <row r="92" spans="1:24" ht="14.55" customHeight="1">
      <c r="A92" s="60">
        <v>82</v>
      </c>
      <c r="B92" s="19" t="s">
        <v>113</v>
      </c>
      <c r="C92" s="19" t="s">
        <v>75</v>
      </c>
      <c r="D92" s="10">
        <v>23557315.059999999</v>
      </c>
      <c r="E92" s="10">
        <v>285101.44</v>
      </c>
      <c r="F92" s="10">
        <v>0</v>
      </c>
      <c r="G92" s="10">
        <v>247249.23</v>
      </c>
      <c r="H92" s="12">
        <f>(E92+F92)-G92</f>
        <v>37852.209999999992</v>
      </c>
      <c r="I92" s="10">
        <v>24084528.379999999</v>
      </c>
      <c r="J92" s="13">
        <f t="shared" si="37"/>
        <v>1.0003319509370777E-4</v>
      </c>
      <c r="K92" s="10">
        <v>24303602.300000001</v>
      </c>
      <c r="L92" s="13">
        <f t="shared" si="44"/>
        <v>9.9189261525811778E-5</v>
      </c>
      <c r="M92" s="13">
        <f t="shared" si="45"/>
        <v>9.0960435904538072E-3</v>
      </c>
      <c r="N92" s="20">
        <f t="shared" si="46"/>
        <v>1.0173357305143196E-2</v>
      </c>
      <c r="O92" s="21">
        <f t="shared" si="47"/>
        <v>1.5574732310362068E-3</v>
      </c>
      <c r="P92" s="24">
        <f t="shared" si="48"/>
        <v>0.74251714279294845</v>
      </c>
      <c r="Q92" s="24">
        <f t="shared" si="49"/>
        <v>1.1564505734855061E-3</v>
      </c>
      <c r="R92" s="10">
        <v>0.74250000000000005</v>
      </c>
      <c r="S92" s="10">
        <v>0.73580000000000001</v>
      </c>
      <c r="T92" s="17">
        <v>728</v>
      </c>
      <c r="U92" s="10">
        <v>32731368.609999999</v>
      </c>
      <c r="V92" s="10">
        <v>32731368.609999999</v>
      </c>
    </row>
    <row r="93" spans="1:24" ht="14.55" customHeight="1">
      <c r="A93" s="60">
        <v>83</v>
      </c>
      <c r="B93" s="19" t="s">
        <v>239</v>
      </c>
      <c r="C93" s="76" t="s">
        <v>36</v>
      </c>
      <c r="D93" s="10">
        <v>13976904971.58</v>
      </c>
      <c r="E93" s="10">
        <v>106386606.26000001</v>
      </c>
      <c r="F93" s="10">
        <v>0</v>
      </c>
      <c r="G93" s="10">
        <v>3005014.36</v>
      </c>
      <c r="H93" s="12">
        <f t="shared" si="36"/>
        <v>103381591.90000001</v>
      </c>
      <c r="I93" s="10">
        <v>10718557531.790001</v>
      </c>
      <c r="J93" s="13">
        <f t="shared" si="37"/>
        <v>4.4518686012180911E-2</v>
      </c>
      <c r="K93" s="10">
        <v>10850619352.99</v>
      </c>
      <c r="L93" s="13">
        <f t="shared" si="44"/>
        <v>4.4284172668541386E-2</v>
      </c>
      <c r="M93" s="13">
        <f t="shared" si="45"/>
        <v>1.2320857616178182E-2</v>
      </c>
      <c r="N93" s="20">
        <f t="shared" si="46"/>
        <v>2.7694403998901107E-4</v>
      </c>
      <c r="O93" s="21">
        <f t="shared" si="47"/>
        <v>9.5277134453631111E-3</v>
      </c>
      <c r="P93" s="24">
        <f t="shared" si="48"/>
        <v>1</v>
      </c>
      <c r="Q93" s="24">
        <f t="shared" si="49"/>
        <v>9.5277134453631111E-3</v>
      </c>
      <c r="R93" s="10">
        <v>1</v>
      </c>
      <c r="S93" s="10">
        <v>1</v>
      </c>
      <c r="T93" s="17">
        <v>5590</v>
      </c>
      <c r="U93" s="10">
        <v>10718557531.790001</v>
      </c>
      <c r="V93" s="10">
        <v>10850619352.99</v>
      </c>
    </row>
    <row r="94" spans="1:24">
      <c r="A94" s="60">
        <v>84</v>
      </c>
      <c r="B94" s="76" t="s">
        <v>114</v>
      </c>
      <c r="C94" s="76" t="s">
        <v>115</v>
      </c>
      <c r="D94" s="10">
        <v>1521435925.25</v>
      </c>
      <c r="E94" s="10">
        <v>18581925.59</v>
      </c>
      <c r="F94" s="10">
        <v>0</v>
      </c>
      <c r="G94" s="10">
        <v>2279368.75</v>
      </c>
      <c r="H94" s="12">
        <f t="shared" si="36"/>
        <v>16302556.84</v>
      </c>
      <c r="I94" s="10">
        <v>1575644343.78</v>
      </c>
      <c r="J94" s="13">
        <f t="shared" si="37"/>
        <v>6.5443149042739074E-3</v>
      </c>
      <c r="K94" s="10">
        <v>1503269101.1400001</v>
      </c>
      <c r="L94" s="13">
        <f t="shared" si="44"/>
        <v>6.1352284396394789E-3</v>
      </c>
      <c r="M94" s="13">
        <f t="shared" si="45"/>
        <v>-4.5933743186213155E-2</v>
      </c>
      <c r="N94" s="20">
        <f t="shared" si="46"/>
        <v>1.5162745966583408E-3</v>
      </c>
      <c r="O94" s="21">
        <f t="shared" si="47"/>
        <v>1.0844736200349625E-2</v>
      </c>
      <c r="P94" s="24">
        <f t="shared" si="48"/>
        <v>276.29373439718393</v>
      </c>
      <c r="Q94" s="24">
        <f t="shared" si="49"/>
        <v>2.9963326633469247</v>
      </c>
      <c r="R94" s="10">
        <v>275.69</v>
      </c>
      <c r="S94" s="10">
        <v>275.69</v>
      </c>
      <c r="T94" s="17">
        <v>565</v>
      </c>
      <c r="U94" s="10">
        <v>5522189.3099999996</v>
      </c>
      <c r="V94" s="10">
        <v>5440836.7400000002</v>
      </c>
    </row>
    <row r="95" spans="1:24">
      <c r="A95" s="60">
        <v>85</v>
      </c>
      <c r="B95" s="19" t="s">
        <v>116</v>
      </c>
      <c r="C95" s="76" t="s">
        <v>38</v>
      </c>
      <c r="D95" s="10">
        <v>1101165223.27</v>
      </c>
      <c r="E95" s="10">
        <v>14501562.619999999</v>
      </c>
      <c r="F95" s="10">
        <v>0</v>
      </c>
      <c r="G95" s="10">
        <v>1503926.33</v>
      </c>
      <c r="H95" s="12">
        <f t="shared" si="36"/>
        <v>12997636.289999999</v>
      </c>
      <c r="I95" s="10">
        <v>1091411416.04</v>
      </c>
      <c r="J95" s="13">
        <f t="shared" si="37"/>
        <v>4.5330915094393548E-3</v>
      </c>
      <c r="K95" s="10">
        <v>1109530020.4400001</v>
      </c>
      <c r="L95" s="13">
        <f t="shared" si="44"/>
        <v>4.5282778252243886E-3</v>
      </c>
      <c r="M95" s="13">
        <f t="shared" si="45"/>
        <v>1.6601076490238995E-2</v>
      </c>
      <c r="N95" s="20">
        <f t="shared" si="46"/>
        <v>1.3554624951955753E-3</v>
      </c>
      <c r="O95" s="21">
        <f t="shared" si="47"/>
        <v>1.1714542239105527E-2</v>
      </c>
      <c r="P95" s="24">
        <f t="shared" si="48"/>
        <v>3.7590151684676578</v>
      </c>
      <c r="Q95" s="24">
        <f t="shared" si="49"/>
        <v>4.4035141968452755E-2</v>
      </c>
      <c r="R95" s="10">
        <v>3.76</v>
      </c>
      <c r="S95" s="10">
        <v>3.76</v>
      </c>
      <c r="T95" s="17">
        <v>802</v>
      </c>
      <c r="U95" s="10">
        <v>300083451</v>
      </c>
      <c r="V95" s="10">
        <v>295165082</v>
      </c>
    </row>
    <row r="96" spans="1:24">
      <c r="A96" s="60">
        <v>86</v>
      </c>
      <c r="B96" s="71" t="s">
        <v>243</v>
      </c>
      <c r="C96" s="72" t="s">
        <v>40</v>
      </c>
      <c r="D96" s="10">
        <v>744154735.38</v>
      </c>
      <c r="E96" s="10">
        <v>10150601.390000001</v>
      </c>
      <c r="F96" s="10">
        <v>0</v>
      </c>
      <c r="G96" s="10">
        <v>1338699.69</v>
      </c>
      <c r="H96" s="12">
        <f t="shared" si="36"/>
        <v>8811901.7000000011</v>
      </c>
      <c r="I96" s="10">
        <v>733308023.38</v>
      </c>
      <c r="J96" s="13">
        <f t="shared" si="37"/>
        <v>3.0457372222188711E-3</v>
      </c>
      <c r="K96" s="10">
        <v>747249224.73000002</v>
      </c>
      <c r="L96" s="13">
        <f t="shared" si="44"/>
        <v>3.0497165754191126E-3</v>
      </c>
      <c r="M96" s="13">
        <f t="shared" si="45"/>
        <v>1.9011385264464369E-2</v>
      </c>
      <c r="N96" s="20">
        <f t="shared" si="46"/>
        <v>1.7915036184663904E-3</v>
      </c>
      <c r="O96" s="21">
        <f t="shared" si="47"/>
        <v>1.1792453452439464E-2</v>
      </c>
      <c r="P96" s="24">
        <f t="shared" si="48"/>
        <v>111.85631641201557</v>
      </c>
      <c r="Q96" s="24">
        <f t="shared" si="49"/>
        <v>1.319060404650034</v>
      </c>
      <c r="R96" s="10">
        <v>111.92</v>
      </c>
      <c r="S96" s="10">
        <v>111.92</v>
      </c>
      <c r="T96" s="17">
        <v>251</v>
      </c>
      <c r="U96" s="10">
        <v>6726846.1500000004</v>
      </c>
      <c r="V96" s="10">
        <v>6680438.3399999999</v>
      </c>
    </row>
    <row r="97" spans="1:22">
      <c r="A97" s="60">
        <v>87</v>
      </c>
      <c r="B97" s="19" t="s">
        <v>242</v>
      </c>
      <c r="C97" s="19" t="s">
        <v>44</v>
      </c>
      <c r="D97" s="10">
        <v>1157448317.9400001</v>
      </c>
      <c r="E97" s="10">
        <v>12703842.970000001</v>
      </c>
      <c r="F97" s="10">
        <v>0</v>
      </c>
      <c r="G97" s="10">
        <v>2153532.0699999998</v>
      </c>
      <c r="H97" s="12">
        <f t="shared" si="36"/>
        <v>10550310.9</v>
      </c>
      <c r="I97" s="10">
        <v>1101608740.1099999</v>
      </c>
      <c r="J97" s="13">
        <f t="shared" si="37"/>
        <v>4.5754452932475174E-3</v>
      </c>
      <c r="K97" s="10">
        <v>1153348344.6300001</v>
      </c>
      <c r="L97" s="13">
        <f t="shared" si="44"/>
        <v>4.7071116937206945E-3</v>
      </c>
      <c r="M97" s="13">
        <f t="shared" si="45"/>
        <v>4.6967314833426088E-2</v>
      </c>
      <c r="N97" s="20">
        <f t="shared" si="46"/>
        <v>1.8672000354679173E-3</v>
      </c>
      <c r="O97" s="21">
        <f t="shared" si="47"/>
        <v>9.1475493497886733E-3</v>
      </c>
      <c r="P97" s="24">
        <f t="shared" si="48"/>
        <v>116.18751137145283</v>
      </c>
      <c r="Q97" s="24">
        <f t="shared" si="49"/>
        <v>1.0628309940994973</v>
      </c>
      <c r="R97" s="10">
        <v>115.91</v>
      </c>
      <c r="S97" s="10">
        <v>116.59</v>
      </c>
      <c r="T97" s="17">
        <v>2814</v>
      </c>
      <c r="U97" s="10">
        <v>9827755</v>
      </c>
      <c r="V97" s="10">
        <v>9926612</v>
      </c>
    </row>
    <row r="98" spans="1:22">
      <c r="A98" s="60">
        <v>88</v>
      </c>
      <c r="B98" s="19" t="s">
        <v>119</v>
      </c>
      <c r="C98" s="19" t="s">
        <v>22</v>
      </c>
      <c r="D98" s="10">
        <v>1687978135.1400001</v>
      </c>
      <c r="E98" s="10">
        <v>18176151.370000001</v>
      </c>
      <c r="F98" s="10">
        <v>76527765.879999995</v>
      </c>
      <c r="G98" s="10">
        <v>2314210.27</v>
      </c>
      <c r="H98" s="12">
        <f>(E98+F98)-G98</f>
        <v>92389706.980000004</v>
      </c>
      <c r="I98" s="10">
        <v>1636196702.78</v>
      </c>
      <c r="J98" s="13">
        <f t="shared" si="37"/>
        <v>6.7958143667363417E-3</v>
      </c>
      <c r="K98" s="10">
        <v>1669269394.45</v>
      </c>
      <c r="L98" s="13">
        <f t="shared" si="44"/>
        <v>6.8127183978456763E-3</v>
      </c>
      <c r="M98" s="13">
        <f t="shared" si="45"/>
        <v>2.0213151397877476E-2</v>
      </c>
      <c r="N98" s="20">
        <f t="shared" si="46"/>
        <v>1.3863611695597515E-3</v>
      </c>
      <c r="O98" s="21">
        <f t="shared" si="47"/>
        <v>5.5347391671576811E-2</v>
      </c>
      <c r="P98" s="24">
        <f t="shared" si="48"/>
        <v>397.24043280825219</v>
      </c>
      <c r="Q98" s="24">
        <f t="shared" si="49"/>
        <v>21.986221822425026</v>
      </c>
      <c r="R98" s="10">
        <v>397.24</v>
      </c>
      <c r="S98" s="10">
        <v>397.24</v>
      </c>
      <c r="T98" s="17">
        <v>96</v>
      </c>
      <c r="U98" s="10">
        <v>4215223.6900000004</v>
      </c>
      <c r="V98" s="10">
        <v>4202163.87</v>
      </c>
    </row>
    <row r="99" spans="1:22">
      <c r="A99" s="60">
        <v>89</v>
      </c>
      <c r="B99" s="71" t="s">
        <v>246</v>
      </c>
      <c r="C99" s="72" t="s">
        <v>247</v>
      </c>
      <c r="D99" s="10">
        <v>4732220382.4899998</v>
      </c>
      <c r="E99" s="10">
        <v>33291783.260000002</v>
      </c>
      <c r="F99" s="10">
        <v>35612519.579999998</v>
      </c>
      <c r="G99" s="10">
        <v>6041631.4800000004</v>
      </c>
      <c r="H99" s="12">
        <f t="shared" si="36"/>
        <v>62862671.359999999</v>
      </c>
      <c r="I99" s="10">
        <v>1825846206.98</v>
      </c>
      <c r="J99" s="13">
        <f t="shared" si="37"/>
        <v>7.5835086721318936E-3</v>
      </c>
      <c r="K99" s="10">
        <v>5039953835.5100002</v>
      </c>
      <c r="L99" s="13">
        <f t="shared" si="44"/>
        <v>2.0569349880631461E-2</v>
      </c>
      <c r="M99" s="13">
        <f t="shared" si="45"/>
        <v>1.7603386398278433</v>
      </c>
      <c r="N99" s="20">
        <f t="shared" si="46"/>
        <v>1.1987473848336628E-3</v>
      </c>
      <c r="O99" s="21">
        <f t="shared" si="47"/>
        <v>1.2472866500698579E-2</v>
      </c>
      <c r="P99" s="24">
        <f t="shared" si="48"/>
        <v>104.97266823075987</v>
      </c>
      <c r="Q99" s="24">
        <f t="shared" si="49"/>
        <v>1.3093100770643908</v>
      </c>
      <c r="R99" s="10">
        <v>104.97</v>
      </c>
      <c r="S99" s="10">
        <v>104.97</v>
      </c>
      <c r="T99" s="17">
        <v>466</v>
      </c>
      <c r="U99" s="10">
        <v>17746804</v>
      </c>
      <c r="V99" s="10">
        <v>48012058</v>
      </c>
    </row>
    <row r="100" spans="1:22">
      <c r="A100" s="60">
        <v>90</v>
      </c>
      <c r="B100" s="76" t="s">
        <v>120</v>
      </c>
      <c r="C100" s="76" t="s">
        <v>42</v>
      </c>
      <c r="D100" s="10">
        <v>70302938.579999998</v>
      </c>
      <c r="E100" s="10">
        <v>6330436.9400000004</v>
      </c>
      <c r="F100" s="10">
        <v>0</v>
      </c>
      <c r="G100" s="10">
        <v>146456.68</v>
      </c>
      <c r="H100" s="12">
        <f t="shared" si="36"/>
        <v>6183980.2600000007</v>
      </c>
      <c r="I100" s="10">
        <v>76982550.060000002</v>
      </c>
      <c r="J100" s="13">
        <f t="shared" si="37"/>
        <v>3.1974096928374669E-4</v>
      </c>
      <c r="K100" s="10">
        <v>70475857.950000003</v>
      </c>
      <c r="L100" s="13">
        <f t="shared" si="44"/>
        <v>2.8763013067649277E-4</v>
      </c>
      <c r="M100" s="13">
        <f t="shared" si="45"/>
        <v>-8.4521649450800221E-2</v>
      </c>
      <c r="N100" s="20">
        <f t="shared" si="46"/>
        <v>2.0781113456455622E-3</v>
      </c>
      <c r="O100" s="21">
        <f t="shared" si="47"/>
        <v>8.7746079861664175E-2</v>
      </c>
      <c r="P100" s="24">
        <f t="shared" si="48"/>
        <v>14.389043515090265</v>
      </c>
      <c r="Q100" s="24">
        <f t="shared" si="49"/>
        <v>1.2625821614080714</v>
      </c>
      <c r="R100" s="10">
        <v>12.71</v>
      </c>
      <c r="S100" s="10">
        <v>13.35</v>
      </c>
      <c r="T100" s="17">
        <v>54</v>
      </c>
      <c r="U100" s="10">
        <v>4897883.4400000004</v>
      </c>
      <c r="V100" s="10">
        <v>4897883.4400000004</v>
      </c>
    </row>
    <row r="101" spans="1:22">
      <c r="A101" s="60">
        <v>91</v>
      </c>
      <c r="B101" s="71" t="s">
        <v>261</v>
      </c>
      <c r="C101" s="72" t="s">
        <v>262</v>
      </c>
      <c r="D101" s="10">
        <v>965104077.89999998</v>
      </c>
      <c r="E101" s="10">
        <v>12685352.609999999</v>
      </c>
      <c r="F101" s="10">
        <v>0</v>
      </c>
      <c r="G101" s="10">
        <v>1195862.1399999999</v>
      </c>
      <c r="H101" s="12">
        <f t="shared" si="36"/>
        <v>11489490.469999999</v>
      </c>
      <c r="I101" s="10">
        <v>945737872.24000001</v>
      </c>
      <c r="J101" s="13">
        <f t="shared" si="37"/>
        <v>3.9280478981624138E-3</v>
      </c>
      <c r="K101" s="10">
        <v>970978152.92999995</v>
      </c>
      <c r="L101" s="13">
        <f t="shared" si="44"/>
        <v>3.9628119633451798E-3</v>
      </c>
      <c r="M101" s="13">
        <f t="shared" si="45"/>
        <v>2.6688452932753768E-2</v>
      </c>
      <c r="N101" s="20">
        <f t="shared" si="46"/>
        <v>1.2316056096539304E-3</v>
      </c>
      <c r="O101" s="21">
        <f t="shared" si="47"/>
        <v>1.1832903176378988E-2</v>
      </c>
      <c r="P101" s="24">
        <f t="shared" si="48"/>
        <v>164.98633444535943</v>
      </c>
      <c r="Q101" s="24">
        <f t="shared" si="49"/>
        <v>1.9522673209176198</v>
      </c>
      <c r="R101" s="10">
        <v>160.63</v>
      </c>
      <c r="S101" s="10">
        <v>160.63</v>
      </c>
      <c r="T101" s="17">
        <v>184</v>
      </c>
      <c r="U101" s="10">
        <v>5979455.5899999999</v>
      </c>
      <c r="V101" s="10">
        <v>5885203.5</v>
      </c>
    </row>
    <row r="102" spans="1:22">
      <c r="A102" s="60">
        <v>92</v>
      </c>
      <c r="B102" s="19" t="s">
        <v>121</v>
      </c>
      <c r="C102" s="19" t="s">
        <v>122</v>
      </c>
      <c r="D102" s="10">
        <v>10768246305.450001</v>
      </c>
      <c r="E102" s="10">
        <v>141272994.09</v>
      </c>
      <c r="F102" s="10">
        <v>0</v>
      </c>
      <c r="G102" s="10">
        <v>16840029.969999999</v>
      </c>
      <c r="H102" s="12">
        <f t="shared" si="36"/>
        <v>124432964.12</v>
      </c>
      <c r="I102" s="10">
        <v>10823824826</v>
      </c>
      <c r="J102" s="13">
        <f t="shared" si="37"/>
        <v>4.4955905442536866E-2</v>
      </c>
      <c r="K102" s="10">
        <v>10758999510</v>
      </c>
      <c r="L102" s="13">
        <f t="shared" si="44"/>
        <v>4.3910248488285654E-2</v>
      </c>
      <c r="M102" s="13">
        <f t="shared" si="45"/>
        <v>-5.9891320343879338E-3</v>
      </c>
      <c r="N102" s="20">
        <f t="shared" si="46"/>
        <v>1.565204083739195E-3</v>
      </c>
      <c r="O102" s="21">
        <f t="shared" si="47"/>
        <v>1.1565477255050085E-2</v>
      </c>
      <c r="P102" s="24">
        <f t="shared" si="48"/>
        <v>1.0200000000284413</v>
      </c>
      <c r="Q102" s="24">
        <f t="shared" si="49"/>
        <v>1.1796786800480024E-2</v>
      </c>
      <c r="R102" s="10">
        <v>1.02</v>
      </c>
      <c r="S102" s="10">
        <v>1.02</v>
      </c>
      <c r="T102" s="17">
        <v>5280</v>
      </c>
      <c r="U102" s="10">
        <v>10716658244</v>
      </c>
      <c r="V102" s="10">
        <v>10548038735</v>
      </c>
    </row>
    <row r="103" spans="1:22">
      <c r="A103" s="95">
        <v>93</v>
      </c>
      <c r="B103" s="76" t="s">
        <v>123</v>
      </c>
      <c r="C103" s="19" t="s">
        <v>46</v>
      </c>
      <c r="D103" s="10">
        <v>4733576139.75</v>
      </c>
      <c r="E103" s="10">
        <v>64243129.780000001</v>
      </c>
      <c r="F103" s="10">
        <v>0</v>
      </c>
      <c r="G103" s="10">
        <v>4213256.8099999996</v>
      </c>
      <c r="H103" s="12">
        <f t="shared" si="36"/>
        <v>60029872.969999999</v>
      </c>
      <c r="I103" s="10">
        <v>4854770142.4099998</v>
      </c>
      <c r="J103" s="13">
        <f t="shared" si="37"/>
        <v>2.0163906103060136E-2</v>
      </c>
      <c r="K103" s="10">
        <v>4844932166.5699997</v>
      </c>
      <c r="L103" s="13">
        <f t="shared" si="44"/>
        <v>1.9773416212654597E-2</v>
      </c>
      <c r="M103" s="13">
        <f t="shared" si="45"/>
        <v>-2.026455537834464E-3</v>
      </c>
      <c r="N103" s="20">
        <f t="shared" si="46"/>
        <v>8.6962142402559198E-4</v>
      </c>
      <c r="O103" s="21">
        <f t="shared" si="47"/>
        <v>1.2390240132608199E-2</v>
      </c>
      <c r="P103" s="24">
        <f t="shared" si="48"/>
        <v>5181.0710960272518</v>
      </c>
      <c r="Q103" s="24">
        <f t="shared" si="49"/>
        <v>64.194715023893195</v>
      </c>
      <c r="R103" s="10">
        <v>5181.07</v>
      </c>
      <c r="S103" s="10">
        <v>5181.07</v>
      </c>
      <c r="T103" s="17">
        <v>10</v>
      </c>
      <c r="U103" s="10">
        <v>937919.93</v>
      </c>
      <c r="V103" s="10">
        <v>935121.73</v>
      </c>
    </row>
    <row r="104" spans="1:22">
      <c r="A104" s="60">
        <v>94</v>
      </c>
      <c r="B104" s="19" t="s">
        <v>124</v>
      </c>
      <c r="C104" s="19" t="s">
        <v>46</v>
      </c>
      <c r="D104" s="10">
        <v>15456372411.91</v>
      </c>
      <c r="E104" s="10">
        <v>141381771.75</v>
      </c>
      <c r="F104" s="10">
        <v>0</v>
      </c>
      <c r="G104" s="10">
        <v>23192972.940000001</v>
      </c>
      <c r="H104" s="12">
        <f t="shared" si="36"/>
        <v>118188798.81</v>
      </c>
      <c r="I104" s="10">
        <v>15556526376.16</v>
      </c>
      <c r="J104" s="13">
        <f t="shared" si="37"/>
        <v>6.4612809244754835E-2</v>
      </c>
      <c r="K104" s="10">
        <v>15465070549.200001</v>
      </c>
      <c r="L104" s="13">
        <f t="shared" si="44"/>
        <v>6.3116936669907919E-2</v>
      </c>
      <c r="M104" s="13">
        <f t="shared" si="45"/>
        <v>-5.8789362579137801E-3</v>
      </c>
      <c r="N104" s="20">
        <f t="shared" si="46"/>
        <v>1.4997004291842535E-3</v>
      </c>
      <c r="O104" s="21">
        <f t="shared" si="47"/>
        <v>7.6423058293849065E-3</v>
      </c>
      <c r="P104" s="24">
        <f t="shared" si="48"/>
        <v>259.23931977865351</v>
      </c>
      <c r="Q104" s="24">
        <f t="shared" si="49"/>
        <v>1.9811861647501816</v>
      </c>
      <c r="R104" s="10">
        <v>259.24</v>
      </c>
      <c r="S104" s="10">
        <v>259.24</v>
      </c>
      <c r="T104" s="17">
        <v>5962</v>
      </c>
      <c r="U104" s="10">
        <v>60008964.719999999</v>
      </c>
      <c r="V104" s="10">
        <v>59655574.479999997</v>
      </c>
    </row>
    <row r="105" spans="1:22">
      <c r="A105" s="60">
        <v>95</v>
      </c>
      <c r="B105" s="76" t="s">
        <v>125</v>
      </c>
      <c r="C105" s="19" t="s">
        <v>46</v>
      </c>
      <c r="D105" s="10">
        <v>867748034.51999998</v>
      </c>
      <c r="E105" s="10">
        <v>13006955.220000001</v>
      </c>
      <c r="F105" s="10">
        <v>47124474.07</v>
      </c>
      <c r="G105" s="10">
        <v>1365634.12</v>
      </c>
      <c r="H105" s="12">
        <f t="shared" si="36"/>
        <v>58765795.170000002</v>
      </c>
      <c r="I105" s="10">
        <v>851845619.92999995</v>
      </c>
      <c r="J105" s="13">
        <f t="shared" si="37"/>
        <v>3.538073810028998E-3</v>
      </c>
      <c r="K105" s="10">
        <v>961941564.52999997</v>
      </c>
      <c r="L105" s="13">
        <f t="shared" si="44"/>
        <v>3.9259313182850551E-3</v>
      </c>
      <c r="M105" s="13">
        <f t="shared" si="45"/>
        <v>0.12924401091484994</v>
      </c>
      <c r="N105" s="20">
        <f t="shared" si="46"/>
        <v>1.4196643230269838E-3</v>
      </c>
      <c r="O105" s="21">
        <f t="shared" si="47"/>
        <v>6.1090816050466318E-2</v>
      </c>
      <c r="P105" s="24">
        <f t="shared" si="48"/>
        <v>10277.860619149436</v>
      </c>
      <c r="Q105" s="24">
        <f t="shared" si="49"/>
        <v>627.88289247679006</v>
      </c>
      <c r="R105" s="10">
        <v>10313.59</v>
      </c>
      <c r="S105" s="10">
        <v>10353.85</v>
      </c>
      <c r="T105" s="17">
        <v>28</v>
      </c>
      <c r="U105" s="10">
        <v>88981.82</v>
      </c>
      <c r="V105" s="10">
        <v>93593.56</v>
      </c>
    </row>
    <row r="106" spans="1:22">
      <c r="A106" s="60">
        <v>96</v>
      </c>
      <c r="B106" s="19" t="s">
        <v>126</v>
      </c>
      <c r="C106" s="19" t="s">
        <v>46</v>
      </c>
      <c r="D106" s="10">
        <v>6866668841.6099997</v>
      </c>
      <c r="E106" s="10">
        <v>93722770.849999994</v>
      </c>
      <c r="F106" s="10">
        <v>0</v>
      </c>
      <c r="G106" s="10">
        <v>10897587.35</v>
      </c>
      <c r="H106" s="12">
        <f t="shared" si="36"/>
        <v>82825183.5</v>
      </c>
      <c r="I106" s="10">
        <v>7021544710.5799999</v>
      </c>
      <c r="J106" s="13">
        <f t="shared" si="37"/>
        <v>2.9163433919507833E-2</v>
      </c>
      <c r="K106" s="10">
        <v>6862257051.1599998</v>
      </c>
      <c r="L106" s="13">
        <f t="shared" si="44"/>
        <v>2.8006638723875724E-2</v>
      </c>
      <c r="M106" s="13">
        <f t="shared" si="45"/>
        <v>-2.2685557948521909E-2</v>
      </c>
      <c r="N106" s="20">
        <f t="shared" si="46"/>
        <v>1.5880470913222152E-3</v>
      </c>
      <c r="O106" s="21">
        <f t="shared" si="47"/>
        <v>1.2069670792352378E-2</v>
      </c>
      <c r="P106" s="24">
        <f t="shared" si="48"/>
        <v>159.71082246871686</v>
      </c>
      <c r="Q106" s="24">
        <f t="shared" si="49"/>
        <v>1.9276570491732476</v>
      </c>
      <c r="R106" s="10">
        <v>165.42</v>
      </c>
      <c r="S106" s="10">
        <v>165.42</v>
      </c>
      <c r="T106" s="17">
        <v>5816</v>
      </c>
      <c r="U106" s="10">
        <v>40941009.729999997</v>
      </c>
      <c r="V106" s="10">
        <v>42966762.960000001</v>
      </c>
    </row>
    <row r="107" spans="1:22">
      <c r="A107" s="60">
        <v>97</v>
      </c>
      <c r="B107" s="19" t="s">
        <v>127</v>
      </c>
      <c r="C107" s="19" t="s">
        <v>46</v>
      </c>
      <c r="D107" s="10">
        <v>5589217650.5500002</v>
      </c>
      <c r="E107" s="10">
        <v>53422949.280000001</v>
      </c>
      <c r="F107" s="10">
        <v>0</v>
      </c>
      <c r="G107" s="10">
        <v>9089391.5700000003</v>
      </c>
      <c r="H107" s="12">
        <f t="shared" si="36"/>
        <v>44333557.710000001</v>
      </c>
      <c r="I107" s="10">
        <v>5781903604.2299995</v>
      </c>
      <c r="J107" s="13">
        <f t="shared" si="37"/>
        <v>2.4014682045227234E-2</v>
      </c>
      <c r="K107" s="10">
        <v>5648726212.0699997</v>
      </c>
      <c r="L107" s="13">
        <f t="shared" si="44"/>
        <v>2.3053906767422673E-2</v>
      </c>
      <c r="M107" s="13">
        <f t="shared" si="45"/>
        <v>-2.3033485384046912E-2</v>
      </c>
      <c r="N107" s="20">
        <f t="shared" si="46"/>
        <v>1.6091046421365064E-3</v>
      </c>
      <c r="O107" s="21">
        <f t="shared" si="47"/>
        <v>7.8484168015206003E-3</v>
      </c>
      <c r="P107" s="24">
        <f t="shared" si="48"/>
        <v>388.08188721556303</v>
      </c>
      <c r="Q107" s="24">
        <f t="shared" si="49"/>
        <v>3.0458284039884473</v>
      </c>
      <c r="R107" s="10">
        <v>388.08</v>
      </c>
      <c r="S107" s="10">
        <v>388.08</v>
      </c>
      <c r="T107" s="17">
        <v>11529</v>
      </c>
      <c r="U107" s="10">
        <v>14898802.210000001</v>
      </c>
      <c r="V107" s="10">
        <v>14555500.779999999</v>
      </c>
    </row>
    <row r="108" spans="1:22">
      <c r="A108" s="60">
        <v>98</v>
      </c>
      <c r="B108" s="19" t="s">
        <v>308</v>
      </c>
      <c r="C108" s="19" t="s">
        <v>309</v>
      </c>
      <c r="D108" s="10">
        <v>117886074.90000001</v>
      </c>
      <c r="E108" s="10">
        <v>1632488.22</v>
      </c>
      <c r="F108" s="10">
        <v>0</v>
      </c>
      <c r="G108" s="10">
        <v>455936.77</v>
      </c>
      <c r="H108" s="12">
        <f t="shared" ref="H108" si="51">(E108+F108)-G108</f>
        <v>1176551.45</v>
      </c>
      <c r="I108" s="10">
        <v>113024163.66</v>
      </c>
      <c r="J108" s="13">
        <f t="shared" si="37"/>
        <v>4.6943697776920875E-4</v>
      </c>
      <c r="K108" s="10">
        <v>117771592.52</v>
      </c>
      <c r="L108" s="13">
        <f t="shared" si="44"/>
        <v>4.8065620670469978E-4</v>
      </c>
      <c r="M108" s="13">
        <f t="shared" si="45"/>
        <v>4.2003662812150906E-2</v>
      </c>
      <c r="N108" s="20">
        <f t="shared" si="46"/>
        <v>3.8713645646132598E-3</v>
      </c>
      <c r="O108" s="21">
        <f t="shared" si="47"/>
        <v>9.9901124271559606E-3</v>
      </c>
      <c r="P108" s="24">
        <f t="shared" si="48"/>
        <v>119.022622643438</v>
      </c>
      <c r="Q108" s="24">
        <f t="shared" si="49"/>
        <v>1.1890493815829044</v>
      </c>
      <c r="R108" s="10">
        <v>118.2015</v>
      </c>
      <c r="S108" s="10">
        <v>118.2015</v>
      </c>
      <c r="T108" s="17">
        <v>27</v>
      </c>
      <c r="U108" s="10">
        <v>996362.74</v>
      </c>
      <c r="V108" s="10">
        <v>989489.14</v>
      </c>
    </row>
    <row r="109" spans="1:22">
      <c r="A109" s="60">
        <v>99</v>
      </c>
      <c r="B109" s="19" t="s">
        <v>128</v>
      </c>
      <c r="C109" s="19" t="s">
        <v>50</v>
      </c>
      <c r="D109" s="10">
        <v>74796340201</v>
      </c>
      <c r="E109" s="10">
        <v>673578245</v>
      </c>
      <c r="F109" s="10">
        <v>0</v>
      </c>
      <c r="G109" s="10">
        <v>113924977</v>
      </c>
      <c r="H109" s="12">
        <f t="shared" si="36"/>
        <v>559653268</v>
      </c>
      <c r="I109" s="10">
        <v>82442716472</v>
      </c>
      <c r="J109" s="13">
        <f t="shared" si="37"/>
        <v>0.34241934119611822</v>
      </c>
      <c r="K109" s="10">
        <v>79778159696</v>
      </c>
      <c r="L109" s="13">
        <f t="shared" si="44"/>
        <v>0.32559522034865257</v>
      </c>
      <c r="M109" s="13">
        <f t="shared" si="45"/>
        <v>-3.2320099215859328E-2</v>
      </c>
      <c r="N109" s="20">
        <f t="shared" si="46"/>
        <v>1.4280221232743238E-3</v>
      </c>
      <c r="O109" s="21">
        <f t="shared" si="47"/>
        <v>7.015118801092882E-3</v>
      </c>
      <c r="P109" s="24">
        <f t="shared" si="48"/>
        <v>2.0042760872641088</v>
      </c>
      <c r="Q109" s="24">
        <f t="shared" si="49"/>
        <v>1.4060234862347327E-2</v>
      </c>
      <c r="R109" s="10">
        <v>2</v>
      </c>
      <c r="S109" s="10">
        <v>2</v>
      </c>
      <c r="T109" s="17">
        <v>1385</v>
      </c>
      <c r="U109" s="10">
        <v>41433550077</v>
      </c>
      <c r="V109" s="10">
        <v>39803977208</v>
      </c>
    </row>
    <row r="110" spans="1:22">
      <c r="A110" s="60">
        <v>100</v>
      </c>
      <c r="B110" s="19" t="s">
        <v>260</v>
      </c>
      <c r="C110" s="19" t="s">
        <v>50</v>
      </c>
      <c r="D110" s="10">
        <v>49063672951</v>
      </c>
      <c r="E110" s="10">
        <v>905533410</v>
      </c>
      <c r="F110" s="10">
        <v>0</v>
      </c>
      <c r="G110" s="10">
        <v>114550219</v>
      </c>
      <c r="H110" s="12">
        <f t="shared" si="36"/>
        <v>790983191</v>
      </c>
      <c r="I110" s="10">
        <v>65262672551</v>
      </c>
      <c r="J110" s="13">
        <f t="shared" si="37"/>
        <v>0.27106337947029174</v>
      </c>
      <c r="K110" s="10">
        <v>67835552690</v>
      </c>
      <c r="L110" s="13">
        <f t="shared" si="44"/>
        <v>0.27685436477523312</v>
      </c>
      <c r="M110" s="13">
        <f t="shared" si="45"/>
        <v>3.9423456601312239E-2</v>
      </c>
      <c r="N110" s="20">
        <f t="shared" si="46"/>
        <v>1.6886457684435799E-3</v>
      </c>
      <c r="O110" s="21">
        <f t="shared" si="47"/>
        <v>1.1660304363033561E-2</v>
      </c>
      <c r="P110" s="24">
        <f t="shared" si="48"/>
        <v>132.22800604984349</v>
      </c>
      <c r="Q110" s="24">
        <f t="shared" si="49"/>
        <v>1.5418187958582179</v>
      </c>
      <c r="R110" s="10">
        <v>132.22999999999999</v>
      </c>
      <c r="S110" s="10">
        <v>132.22999999999999</v>
      </c>
      <c r="T110" s="17">
        <v>265</v>
      </c>
      <c r="U110" s="10">
        <v>498360091</v>
      </c>
      <c r="V110" s="10">
        <v>513019554</v>
      </c>
    </row>
    <row r="111" spans="1:22">
      <c r="A111" s="60">
        <v>101</v>
      </c>
      <c r="B111" s="71" t="s">
        <v>240</v>
      </c>
      <c r="C111" s="71" t="s">
        <v>241</v>
      </c>
      <c r="D111" s="10">
        <v>60893022</v>
      </c>
      <c r="E111" s="10">
        <v>1768801.88</v>
      </c>
      <c r="F111" s="10">
        <v>0</v>
      </c>
      <c r="G111" s="10">
        <v>784495.27</v>
      </c>
      <c r="H111" s="12">
        <f>(E111+F111)-G111</f>
        <v>984306.60999999987</v>
      </c>
      <c r="I111" s="10">
        <v>113718689</v>
      </c>
      <c r="J111" s="13">
        <f t="shared" si="37"/>
        <v>4.7232163416511462E-4</v>
      </c>
      <c r="K111" s="10">
        <v>116114126.04000001</v>
      </c>
      <c r="L111" s="13">
        <f t="shared" si="44"/>
        <v>4.7389165904112212E-4</v>
      </c>
      <c r="M111" s="13">
        <f t="shared" si="45"/>
        <v>2.1064585435029124E-2</v>
      </c>
      <c r="N111" s="20">
        <f t="shared" si="46"/>
        <v>6.7562431614026893E-3</v>
      </c>
      <c r="O111" s="21">
        <f t="shared" si="47"/>
        <v>8.4770616941208122E-3</v>
      </c>
      <c r="P111" s="24">
        <f t="shared" si="48"/>
        <v>117.16732791891046</v>
      </c>
      <c r="Q111" s="24">
        <f t="shared" si="49"/>
        <v>0.99323466730388776</v>
      </c>
      <c r="R111" s="10">
        <v>117.1673</v>
      </c>
      <c r="S111" s="10">
        <v>117.1673</v>
      </c>
      <c r="T111" s="17">
        <v>88</v>
      </c>
      <c r="U111" s="10">
        <v>990841.11</v>
      </c>
      <c r="V111" s="10">
        <v>991011.13</v>
      </c>
    </row>
    <row r="112" spans="1:22">
      <c r="A112" s="60">
        <v>102</v>
      </c>
      <c r="B112" s="71" t="s">
        <v>291</v>
      </c>
      <c r="C112" s="71" t="s">
        <v>290</v>
      </c>
      <c r="D112" s="10">
        <v>363663686.30000001</v>
      </c>
      <c r="E112" s="10">
        <v>6079054.9800000004</v>
      </c>
      <c r="F112" s="10"/>
      <c r="G112" s="10">
        <v>841989.55</v>
      </c>
      <c r="H112" s="12">
        <f t="shared" si="36"/>
        <v>5237065.4300000006</v>
      </c>
      <c r="I112" s="10">
        <v>455717716.13</v>
      </c>
      <c r="J112" s="13">
        <f t="shared" si="37"/>
        <v>1.892787705286643E-3</v>
      </c>
      <c r="K112" s="10">
        <v>479702010.63999999</v>
      </c>
      <c r="L112" s="13">
        <f t="shared" si="44"/>
        <v>1.957787475308905E-3</v>
      </c>
      <c r="M112" s="13">
        <f t="shared" si="45"/>
        <v>5.2629717171579361E-2</v>
      </c>
      <c r="N112" s="20">
        <f t="shared" si="46"/>
        <v>1.7552345650514367E-3</v>
      </c>
      <c r="O112" s="21">
        <f t="shared" si="47"/>
        <v>1.0917330579900863E-2</v>
      </c>
      <c r="P112" s="24">
        <f t="shared" si="48"/>
        <v>1.4288213806231493</v>
      </c>
      <c r="Q112" s="24">
        <f t="shared" si="49"/>
        <v>1.5598915351893278E-2</v>
      </c>
      <c r="R112" s="10">
        <v>1.4288000000000001</v>
      </c>
      <c r="S112" s="10">
        <v>1.4288000000000001</v>
      </c>
      <c r="T112" s="17">
        <v>100</v>
      </c>
      <c r="U112" s="10">
        <v>328904982.5</v>
      </c>
      <c r="V112" s="10">
        <v>335732665.5</v>
      </c>
    </row>
    <row r="113" spans="1:23">
      <c r="A113" s="60">
        <v>103</v>
      </c>
      <c r="B113" s="76" t="s">
        <v>129</v>
      </c>
      <c r="C113" s="76" t="s">
        <v>94</v>
      </c>
      <c r="D113" s="10">
        <v>1957079184.8399999</v>
      </c>
      <c r="E113" s="10">
        <v>23066220.16</v>
      </c>
      <c r="F113" s="10">
        <v>0</v>
      </c>
      <c r="G113" s="10">
        <v>3225194.33</v>
      </c>
      <c r="H113" s="12">
        <f t="shared" si="36"/>
        <v>19841025.829999998</v>
      </c>
      <c r="I113" s="10">
        <v>2067803134.8499999</v>
      </c>
      <c r="J113" s="13">
        <f t="shared" si="37"/>
        <v>8.5884577493159364E-3</v>
      </c>
      <c r="K113" s="10">
        <v>2017068413.5</v>
      </c>
      <c r="L113" s="13">
        <f t="shared" si="44"/>
        <v>8.2321757866366061E-3</v>
      </c>
      <c r="M113" s="13">
        <f t="shared" si="45"/>
        <v>-2.4535566512563702E-2</v>
      </c>
      <c r="N113" s="20">
        <f t="shared" si="46"/>
        <v>1.5989513833116202E-3</v>
      </c>
      <c r="O113" s="21">
        <f t="shared" si="47"/>
        <v>9.8365656302019117E-3</v>
      </c>
      <c r="P113" s="24">
        <f t="shared" si="48"/>
        <v>30.839792535168886</v>
      </c>
      <c r="Q113" s="24">
        <f t="shared" si="49"/>
        <v>0.30335764329399978</v>
      </c>
      <c r="R113" s="10">
        <v>30.8399</v>
      </c>
      <c r="S113" s="10">
        <v>30.8399</v>
      </c>
      <c r="T113" s="16">
        <v>1258</v>
      </c>
      <c r="U113" s="10">
        <v>65561687.689999998</v>
      </c>
      <c r="V113" s="10">
        <v>65404733.549999997</v>
      </c>
    </row>
    <row r="114" spans="1:23">
      <c r="A114" s="109" t="s">
        <v>51</v>
      </c>
      <c r="B114" s="109"/>
      <c r="C114" s="109"/>
      <c r="D114" s="109"/>
      <c r="E114" s="109"/>
      <c r="F114" s="109"/>
      <c r="G114" s="109"/>
      <c r="H114" s="109"/>
      <c r="I114" s="36">
        <f>SUM(I75:I113)</f>
        <v>240765361512.63</v>
      </c>
      <c r="J114" s="34">
        <f>(I114/$I$240)</f>
        <v>2.961459584265232E-2</v>
      </c>
      <c r="K114" s="36">
        <f>SUM(K75:K113)</f>
        <v>245022514797.89005</v>
      </c>
      <c r="L114" s="34">
        <f>(K114/$K$240)</f>
        <v>2.9479600388590901E-2</v>
      </c>
      <c r="M114" s="34">
        <f t="shared" si="39"/>
        <v>1.7681751471698804E-2</v>
      </c>
      <c r="N114" s="20"/>
      <c r="O114" s="20"/>
      <c r="P114" s="37"/>
      <c r="Q114" s="37"/>
      <c r="R114" s="36"/>
      <c r="S114" s="36"/>
      <c r="T114" s="36">
        <f>SUM(T75:T113)</f>
        <v>56018</v>
      </c>
      <c r="U114" s="36"/>
      <c r="V114" s="10"/>
    </row>
    <row r="115" spans="1:23" ht="7.05" customHeight="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5"/>
    </row>
    <row r="116" spans="1:23">
      <c r="A116" s="108" t="s">
        <v>201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</row>
    <row r="117" spans="1:23">
      <c r="A117" s="119" t="s">
        <v>130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</row>
    <row r="118" spans="1:23">
      <c r="A118" s="86">
        <v>104</v>
      </c>
      <c r="B118" s="19" t="s">
        <v>131</v>
      </c>
      <c r="C118" s="19" t="s">
        <v>22</v>
      </c>
      <c r="D118" s="17">
        <v>3382706818.9299998</v>
      </c>
      <c r="E118" s="17">
        <v>21537497.329999998</v>
      </c>
      <c r="F118" s="17">
        <v>5301308.75</v>
      </c>
      <c r="G118" s="17">
        <v>5761054.2599999998</v>
      </c>
      <c r="H118" s="12">
        <f t="shared" ref="H118:H134" si="52">(E118+F118)-G118</f>
        <v>21077751.82</v>
      </c>
      <c r="I118" s="29">
        <v>3386151738.4099998</v>
      </c>
      <c r="J118" s="13">
        <f t="shared" ref="J118:J134" si="53">(I118/$I$156)</f>
        <v>1.8050264022724763E-3</v>
      </c>
      <c r="K118" s="29">
        <v>3372727194.54</v>
      </c>
      <c r="L118" s="13">
        <f t="shared" ref="L118" si="54">(K118/$K$156)</f>
        <v>1.8368853548719622E-3</v>
      </c>
      <c r="M118" s="13">
        <f t="shared" ref="M118" si="55">((K118-I118)/I118)</f>
        <v>-3.9645429109752507E-3</v>
      </c>
      <c r="N118" s="20">
        <f t="shared" ref="N118" si="56">(G118/K118)</f>
        <v>1.7081293350160031E-3</v>
      </c>
      <c r="O118" s="21">
        <f t="shared" ref="O118" si="57">H118/K118</f>
        <v>6.2494683394856533E-3</v>
      </c>
      <c r="P118" s="24">
        <f t="shared" ref="P118" si="58">K118/V118</f>
        <v>158263.75333352105</v>
      </c>
      <c r="Q118" s="24">
        <f t="shared" ref="Q118" si="59">H118/V118</f>
        <v>989.06431574600674</v>
      </c>
      <c r="R118" s="10">
        <f>116.1232*FX_RATE</f>
        <v>158321.83671328</v>
      </c>
      <c r="S118" s="10">
        <f>116.1232*FX_RATE</f>
        <v>158321.83671328</v>
      </c>
      <c r="T118" s="10">
        <v>191</v>
      </c>
      <c r="U118" s="10">
        <v>21261.19</v>
      </c>
      <c r="V118" s="10">
        <v>21310.799999999999</v>
      </c>
    </row>
    <row r="119" spans="1:23">
      <c r="A119" s="86">
        <v>105</v>
      </c>
      <c r="B119" s="71" t="s">
        <v>229</v>
      </c>
      <c r="C119" s="72" t="s">
        <v>55</v>
      </c>
      <c r="D119" s="17">
        <f>4050476.71*C242</f>
        <v>5522401314.2211342</v>
      </c>
      <c r="E119" s="17">
        <f>28954.37*FX_RATE</f>
        <v>39476254.867898002</v>
      </c>
      <c r="F119" s="17">
        <v>0</v>
      </c>
      <c r="G119" s="17">
        <f>6501.26*C242</f>
        <v>8863787.9782040007</v>
      </c>
      <c r="H119" s="12">
        <f t="shared" si="52"/>
        <v>30612466.889694002</v>
      </c>
      <c r="I119" s="29">
        <v>6178316073.2347317</v>
      </c>
      <c r="J119" s="13">
        <f t="shared" si="53"/>
        <v>3.2934211149703648E-3</v>
      </c>
      <c r="K119" s="29">
        <f>4040891.1*FX_RATE</f>
        <v>5509332337.6409407</v>
      </c>
      <c r="L119" s="13">
        <f t="shared" ref="L119:L134" si="60">(K119/$K$156)</f>
        <v>3.0005426773081793E-3</v>
      </c>
      <c r="M119" s="13">
        <f t="shared" ref="M119:M134" si="61">((K119-I119)/I119)</f>
        <v>-0.10827929935341371</v>
      </c>
      <c r="N119" s="20">
        <f t="shared" ref="N119:N134" si="62">(G119/K119)</f>
        <v>1.608867905398391E-3</v>
      </c>
      <c r="O119" s="21">
        <f t="shared" ref="O119:O134" si="63">H119/K119</f>
        <v>5.5564749072302393E-3</v>
      </c>
      <c r="P119" s="24">
        <f t="shared" ref="P119:P134" si="64">K119/V119</f>
        <v>138891.34979275809</v>
      </c>
      <c r="Q119" s="24">
        <f t="shared" ref="Q119:Q134" si="65">H119/V119</f>
        <v>771.74629995479825</v>
      </c>
      <c r="R119" s="10">
        <f>100*C242</f>
        <v>136339.54</v>
      </c>
      <c r="S119" s="10">
        <f>100*C242</f>
        <v>136339.54</v>
      </c>
      <c r="T119" s="10">
        <v>103</v>
      </c>
      <c r="U119" s="10">
        <v>43919.02</v>
      </c>
      <c r="V119" s="10">
        <v>39666.49</v>
      </c>
    </row>
    <row r="120" spans="1:23" ht="13.05" customHeight="1">
      <c r="A120" s="86">
        <v>106</v>
      </c>
      <c r="B120" s="19" t="s">
        <v>132</v>
      </c>
      <c r="C120" s="76" t="s">
        <v>26</v>
      </c>
      <c r="D120" s="17">
        <f>7938452*FX_RATE</f>
        <v>10823248939.920801</v>
      </c>
      <c r="E120" s="17">
        <f>72736*FX_RATE</f>
        <v>99167927.814400002</v>
      </c>
      <c r="F120" s="17">
        <f>7804*C242</f>
        <v>10639937.7016</v>
      </c>
      <c r="G120" s="17">
        <f>23733*FX_RATE</f>
        <v>32357463.028200004</v>
      </c>
      <c r="H120" s="12">
        <f t="shared" si="52"/>
        <v>77450402.487800002</v>
      </c>
      <c r="I120" s="29">
        <v>17022468216.483601</v>
      </c>
      <c r="J120" s="13">
        <f t="shared" si="53"/>
        <v>9.0740188084496957E-3</v>
      </c>
      <c r="K120" s="29">
        <f>12708839*FX_RATE</f>
        <v>17327172631.940601</v>
      </c>
      <c r="L120" s="13">
        <f t="shared" si="60"/>
        <v>9.4368823249254604E-3</v>
      </c>
      <c r="M120" s="13">
        <f t="shared" si="61"/>
        <v>1.7900131260749959E-2</v>
      </c>
      <c r="N120" s="20">
        <f t="shared" si="62"/>
        <v>1.8674404483367837E-3</v>
      </c>
      <c r="O120" s="21">
        <f t="shared" si="63"/>
        <v>4.4698811590893547E-3</v>
      </c>
      <c r="P120" s="24">
        <f t="shared" si="64"/>
        <v>1662.0513282552338</v>
      </c>
      <c r="Q120" s="24">
        <f t="shared" si="65"/>
        <v>7.4291719176075066</v>
      </c>
      <c r="R120" s="10">
        <f>1.2191*FX_RATE</f>
        <v>1662.1153321400002</v>
      </c>
      <c r="S120" s="10">
        <f>1.2191*FX_RATE</f>
        <v>1662.1153321400002</v>
      </c>
      <c r="T120" s="10">
        <v>331</v>
      </c>
      <c r="U120" s="10">
        <v>10117135</v>
      </c>
      <c r="V120" s="10">
        <v>10425173</v>
      </c>
    </row>
    <row r="121" spans="1:23" ht="13.05" customHeight="1">
      <c r="A121" s="86">
        <v>107</v>
      </c>
      <c r="B121" s="19" t="s">
        <v>269</v>
      </c>
      <c r="C121" s="76" t="s">
        <v>26</v>
      </c>
      <c r="D121" s="17">
        <f>1812756*FX_RATE</f>
        <v>2471503191.7224002</v>
      </c>
      <c r="E121" s="17">
        <f>17955*FX_RATE</f>
        <v>24479764.407000002</v>
      </c>
      <c r="F121" s="17">
        <f>252*FX_RATE</f>
        <v>343575.64080000005</v>
      </c>
      <c r="G121" s="17">
        <f>6665*FX_RATE</f>
        <v>9087030.341</v>
      </c>
      <c r="H121" s="12">
        <f t="shared" si="52"/>
        <v>15736309.706800001</v>
      </c>
      <c r="I121" s="29">
        <v>4291333624.638</v>
      </c>
      <c r="J121" s="13">
        <f t="shared" si="53"/>
        <v>2.287543823144922E-3</v>
      </c>
      <c r="K121" s="29">
        <f>3081684*FX_RATE</f>
        <v>4201553789.8536005</v>
      </c>
      <c r="L121" s="13">
        <f t="shared" si="60"/>
        <v>2.28828843221679E-3</v>
      </c>
      <c r="M121" s="13">
        <f t="shared" si="61"/>
        <v>-2.09211966808973E-2</v>
      </c>
      <c r="N121" s="20">
        <f t="shared" si="62"/>
        <v>2.1627785327762352E-3</v>
      </c>
      <c r="O121" s="21">
        <f t="shared" si="63"/>
        <v>3.7453548124986207E-3</v>
      </c>
      <c r="P121" s="24">
        <f t="shared" si="64"/>
        <v>1434.5331006562612</v>
      </c>
      <c r="Q121" s="24">
        <f t="shared" si="65"/>
        <v>5.3728354522314961</v>
      </c>
      <c r="R121" s="10">
        <f>1.0522*FX_RATE</f>
        <v>1434.5646398800002</v>
      </c>
      <c r="S121" s="10">
        <f>1.0522*FX_RATE</f>
        <v>1434.5646398800002</v>
      </c>
      <c r="T121" s="10">
        <v>116</v>
      </c>
      <c r="U121" s="10">
        <v>2952579</v>
      </c>
      <c r="V121" s="10">
        <v>2928865</v>
      </c>
    </row>
    <row r="122" spans="1:23" ht="13.05" customHeight="1">
      <c r="A122" s="86">
        <v>108</v>
      </c>
      <c r="B122" s="72" t="s">
        <v>234</v>
      </c>
      <c r="C122" s="72" t="s">
        <v>103</v>
      </c>
      <c r="D122" s="17">
        <f>35832032.87*FX_RATE</f>
        <v>48853228787.606796</v>
      </c>
      <c r="E122" s="17">
        <f>373289.5*FX_RATE</f>
        <v>508941187.16830003</v>
      </c>
      <c r="F122" s="17">
        <f>3954378.71*FX_RATE</f>
        <v>5391381743.0719347</v>
      </c>
      <c r="G122" s="17">
        <f>38692.62*FX_RATE</f>
        <v>52753340.121948011</v>
      </c>
      <c r="H122" s="12">
        <f t="shared" si="52"/>
        <v>5847569590.1182861</v>
      </c>
      <c r="I122" s="29">
        <v>49775827445.754608</v>
      </c>
      <c r="J122" s="13">
        <f t="shared" si="53"/>
        <v>2.6533566619413931E-2</v>
      </c>
      <c r="K122" s="29">
        <f>35903564.02*FX_RATE</f>
        <v>48950754028.473518</v>
      </c>
      <c r="L122" s="13">
        <f t="shared" si="60"/>
        <v>2.6660004796832171E-2</v>
      </c>
      <c r="M122" s="13">
        <f t="shared" si="61"/>
        <v>-1.6575785067164374E-2</v>
      </c>
      <c r="N122" s="20">
        <f t="shared" si="62"/>
        <v>1.0776818696452074E-3</v>
      </c>
      <c r="O122" s="21">
        <f t="shared" si="63"/>
        <v>0.11945821277271623</v>
      </c>
      <c r="P122" s="24">
        <f t="shared" si="64"/>
        <v>1735.9741874435801</v>
      </c>
      <c r="Q122" s="24">
        <f t="shared" si="65"/>
        <v>207.37637385157836</v>
      </c>
      <c r="R122" s="10">
        <f>1.273*FX_RATE</f>
        <v>1735.6023442000001</v>
      </c>
      <c r="S122" s="10">
        <f>1.273*FX_RATE</f>
        <v>1735.6023442000001</v>
      </c>
      <c r="T122" s="10">
        <v>714</v>
      </c>
      <c r="U122" s="10">
        <v>28726762.109999999</v>
      </c>
      <c r="V122" s="10">
        <v>28197858.23</v>
      </c>
    </row>
    <row r="123" spans="1:23" ht="13.05" customHeight="1">
      <c r="A123" s="86">
        <v>109</v>
      </c>
      <c r="B123" s="71" t="s">
        <v>235</v>
      </c>
      <c r="C123" s="72" t="s">
        <v>213</v>
      </c>
      <c r="D123" s="17">
        <f>1090796.52*FX_RATE</f>
        <v>1487186957.7040081</v>
      </c>
      <c r="E123" s="17">
        <f>27378.16*FX_RATE</f>
        <v>37327257.404464006</v>
      </c>
      <c r="F123" s="17">
        <v>0</v>
      </c>
      <c r="G123" s="17">
        <f>1608.62*FX_RATE</f>
        <v>2193185.1083479999</v>
      </c>
      <c r="H123" s="12">
        <f t="shared" si="52"/>
        <v>35134072.296116009</v>
      </c>
      <c r="I123" s="29">
        <v>1499628637.827672</v>
      </c>
      <c r="J123" s="13">
        <f t="shared" si="53"/>
        <v>7.9939397109058492E-4</v>
      </c>
      <c r="K123" s="29">
        <f>1082497.7*FX_RATE</f>
        <v>1475872384.6905801</v>
      </c>
      <c r="L123" s="13">
        <f t="shared" si="60"/>
        <v>8.0380303912123399E-4</v>
      </c>
      <c r="M123" s="13">
        <f t="shared" si="61"/>
        <v>-1.584142402848791E-2</v>
      </c>
      <c r="N123" s="20">
        <f t="shared" si="62"/>
        <v>1.4860262520650157E-3</v>
      </c>
      <c r="O123" s="21">
        <f t="shared" si="63"/>
        <v>2.380563025676637E-2</v>
      </c>
      <c r="P123" s="24">
        <f t="shared" si="64"/>
        <v>1482.1418446936343</v>
      </c>
      <c r="Q123" s="24">
        <f t="shared" si="65"/>
        <v>35.283320742858301</v>
      </c>
      <c r="R123" s="10">
        <f>1.0975*FX_RATE</f>
        <v>1496.3264515000001</v>
      </c>
      <c r="S123" s="10">
        <f>1.1065*C242</f>
        <v>1508.5970101000003</v>
      </c>
      <c r="T123" s="10">
        <v>73</v>
      </c>
      <c r="U123" s="10">
        <v>995770</v>
      </c>
      <c r="V123" s="10">
        <v>995770</v>
      </c>
    </row>
    <row r="124" spans="1:23" ht="13.05" customHeight="1">
      <c r="A124" s="86">
        <v>110</v>
      </c>
      <c r="B124" s="71" t="s">
        <v>236</v>
      </c>
      <c r="C124" s="72" t="s">
        <v>48</v>
      </c>
      <c r="D124" s="17">
        <f>555860.56*FX_RATE</f>
        <v>757857730.5454241</v>
      </c>
      <c r="E124" s="17">
        <f>3368.2*FX_RATE</f>
        <v>4592188.3862800002</v>
      </c>
      <c r="F124" s="17">
        <v>0</v>
      </c>
      <c r="G124" s="17">
        <f>1248.65*FX_RATE</f>
        <v>1702403.6662100002</v>
      </c>
      <c r="H124" s="12">
        <f t="shared" si="52"/>
        <v>2889784.7200699998</v>
      </c>
      <c r="I124" s="29">
        <v>785166905.35040402</v>
      </c>
      <c r="J124" s="13">
        <f t="shared" si="53"/>
        <v>4.185420807555233E-4</v>
      </c>
      <c r="K124" s="29">
        <f>605850.59*FX_RATE</f>
        <v>826013907.49328601</v>
      </c>
      <c r="L124" s="13">
        <f t="shared" si="60"/>
        <v>4.4987120572671205E-4</v>
      </c>
      <c r="M124" s="13">
        <f t="shared" si="61"/>
        <v>5.2023336521873402E-2</v>
      </c>
      <c r="N124" s="20">
        <f t="shared" si="62"/>
        <v>2.0609866865030206E-3</v>
      </c>
      <c r="O124" s="21">
        <f t="shared" si="63"/>
        <v>3.4984698124994806E-3</v>
      </c>
      <c r="P124" s="24">
        <f t="shared" si="64"/>
        <v>1926.0977762019936</v>
      </c>
      <c r="Q124" s="24">
        <f t="shared" si="65"/>
        <v>6.7383949259650553</v>
      </c>
      <c r="R124" s="10">
        <f>1.41*FX_RATE</f>
        <v>1922.387514</v>
      </c>
      <c r="S124" s="10">
        <f>1.41*FX_RATE</f>
        <v>1922.387514</v>
      </c>
      <c r="T124" s="10">
        <v>74</v>
      </c>
      <c r="U124" s="10">
        <v>406472.25</v>
      </c>
      <c r="V124" s="10">
        <v>428853.57</v>
      </c>
    </row>
    <row r="125" spans="1:23" ht="13.05" customHeight="1">
      <c r="A125" s="86">
        <v>111</v>
      </c>
      <c r="B125" s="71" t="s">
        <v>237</v>
      </c>
      <c r="C125" s="72" t="s">
        <v>167</v>
      </c>
      <c r="D125" s="17">
        <f>520261.99*FX_RATE</f>
        <v>709322803.96084607</v>
      </c>
      <c r="E125" s="17">
        <f>6112.18*FX_RATE</f>
        <v>8333318.0959720006</v>
      </c>
      <c r="F125" s="17">
        <v>0</v>
      </c>
      <c r="G125" s="17">
        <f>2091.59*FX_RATE</f>
        <v>2851664.1846860005</v>
      </c>
      <c r="H125" s="12">
        <f t="shared" si="52"/>
        <v>5481653.9112860002</v>
      </c>
      <c r="I125" s="29">
        <v>1908836606.8585322</v>
      </c>
      <c r="J125" s="13">
        <f t="shared" si="53"/>
        <v>1.0175268975458629E-3</v>
      </c>
      <c r="K125" s="29">
        <f>1378051.89*FX_RATE</f>
        <v>1878829607.7873061</v>
      </c>
      <c r="L125" s="13">
        <f t="shared" si="60"/>
        <v>1.0232652662899519E-3</v>
      </c>
      <c r="M125" s="13">
        <f t="shared" si="61"/>
        <v>-1.5720045897804808E-2</v>
      </c>
      <c r="N125" s="20">
        <f t="shared" si="62"/>
        <v>1.517787548624167E-3</v>
      </c>
      <c r="O125" s="21">
        <f t="shared" si="63"/>
        <v>2.9175896997608703E-3</v>
      </c>
      <c r="P125" s="24">
        <f t="shared" si="64"/>
        <v>147706.73017195801</v>
      </c>
      <c r="Q125" s="24">
        <f t="shared" si="65"/>
        <v>430.94763453506289</v>
      </c>
      <c r="R125" s="10">
        <f>109.54*FX_RATE</f>
        <v>149346.33211600003</v>
      </c>
      <c r="S125" s="10">
        <f>110.22*FX_RATE</f>
        <v>150273.44098800002</v>
      </c>
      <c r="T125" s="10">
        <v>116</v>
      </c>
      <c r="U125" s="10">
        <v>12898</v>
      </c>
      <c r="V125" s="10">
        <v>12720</v>
      </c>
    </row>
    <row r="126" spans="1:23" ht="15" customHeight="1">
      <c r="A126" s="86">
        <v>112</v>
      </c>
      <c r="B126" s="19" t="s">
        <v>133</v>
      </c>
      <c r="C126" s="76" t="s">
        <v>69</v>
      </c>
      <c r="D126" s="17">
        <f>3392318.35*FX_RATE</f>
        <v>4625071233.7255907</v>
      </c>
      <c r="E126" s="17">
        <f>30918.33*FX_RATE</f>
        <v>42153908.897682004</v>
      </c>
      <c r="F126" s="17">
        <v>0</v>
      </c>
      <c r="G126" s="17">
        <f>5352.04*FX_RATE</f>
        <v>7296946.716616001</v>
      </c>
      <c r="H126" s="12">
        <f t="shared" si="52"/>
        <v>34856962.181066006</v>
      </c>
      <c r="I126" s="29">
        <v>4848173389.7580004</v>
      </c>
      <c r="J126" s="13">
        <f t="shared" si="53"/>
        <v>2.5843735447653605E-3</v>
      </c>
      <c r="K126" s="29">
        <f>3361699.13*FX_RATE</f>
        <v>4583325130.0260019</v>
      </c>
      <c r="L126" s="13">
        <f t="shared" si="60"/>
        <v>2.4962122111716338E-3</v>
      </c>
      <c r="M126" s="13">
        <f t="shared" si="61"/>
        <v>-5.4628462812716876E-2</v>
      </c>
      <c r="N126" s="20">
        <f t="shared" si="62"/>
        <v>1.5920639513031022E-3</v>
      </c>
      <c r="O126" s="21">
        <f t="shared" si="63"/>
        <v>7.605168996786457E-3</v>
      </c>
      <c r="P126" s="24">
        <f t="shared" si="64"/>
        <v>152901.81350858253</v>
      </c>
      <c r="Q126" s="24">
        <f t="shared" si="65"/>
        <v>1162.8441316478966</v>
      </c>
      <c r="R126" s="10">
        <f>117.55*FX_RATE</f>
        <v>160267.12927</v>
      </c>
      <c r="S126" s="10">
        <f>117.55*FX_RATE</f>
        <v>160267.12927</v>
      </c>
      <c r="T126" s="10">
        <v>112</v>
      </c>
      <c r="U126" s="10">
        <v>29938.92</v>
      </c>
      <c r="V126" s="10">
        <v>29975.61</v>
      </c>
    </row>
    <row r="127" spans="1:23" ht="15" customHeight="1">
      <c r="A127" s="86">
        <v>113</v>
      </c>
      <c r="B127" s="19" t="s">
        <v>315</v>
      </c>
      <c r="C127" s="19" t="s">
        <v>134</v>
      </c>
      <c r="D127" s="17">
        <v>51435722170.790001</v>
      </c>
      <c r="E127" s="17">
        <v>381125413.06999999</v>
      </c>
      <c r="F127" s="17">
        <v>0</v>
      </c>
      <c r="G127" s="17">
        <v>76399118.859999999</v>
      </c>
      <c r="H127" s="12">
        <f t="shared" si="52"/>
        <v>304726294.20999998</v>
      </c>
      <c r="I127" s="29">
        <v>52528279490.459999</v>
      </c>
      <c r="J127" s="13">
        <f t="shared" si="53"/>
        <v>2.8000792247647288E-2</v>
      </c>
      <c r="K127" s="29">
        <v>50705331241.760002</v>
      </c>
      <c r="L127" s="13">
        <f t="shared" si="60"/>
        <v>2.7615598594129369E-2</v>
      </c>
      <c r="M127" s="13">
        <f t="shared" si="61"/>
        <v>-3.4704130163468884E-2</v>
      </c>
      <c r="N127" s="20">
        <f t="shared" si="62"/>
        <v>1.5067275371051922E-3</v>
      </c>
      <c r="O127" s="21">
        <f t="shared" si="63"/>
        <v>6.0097486151324628E-3</v>
      </c>
      <c r="P127" s="24">
        <f t="shared" si="64"/>
        <v>176577.77151553269</v>
      </c>
      <c r="Q127" s="24">
        <f t="shared" si="65"/>
        <v>1061.188017828649</v>
      </c>
      <c r="R127" s="10">
        <f>129.4*C242</f>
        <v>176423.36476000003</v>
      </c>
      <c r="S127" s="10">
        <f>129.43*C242</f>
        <v>176464.26662200002</v>
      </c>
      <c r="T127" s="10">
        <v>2876</v>
      </c>
      <c r="U127" s="10">
        <v>295625.8</v>
      </c>
      <c r="V127" s="10">
        <v>287155.8</v>
      </c>
    </row>
    <row r="128" spans="1:23">
      <c r="A128" s="86">
        <v>114</v>
      </c>
      <c r="B128" s="19" t="s">
        <v>135</v>
      </c>
      <c r="C128" s="19" t="s">
        <v>134</v>
      </c>
      <c r="D128" s="17">
        <v>153231004620.48999</v>
      </c>
      <c r="E128" s="17">
        <v>1257372121.4000001</v>
      </c>
      <c r="F128" s="17">
        <v>0</v>
      </c>
      <c r="G128" s="17">
        <v>223022519.49000001</v>
      </c>
      <c r="H128" s="12">
        <f t="shared" si="52"/>
        <v>1034349601.9100001</v>
      </c>
      <c r="I128" s="29">
        <v>153293650166.70999</v>
      </c>
      <c r="J128" s="13">
        <f t="shared" si="53"/>
        <v>8.1714910384246053E-2</v>
      </c>
      <c r="K128" s="29">
        <v>150726137523.29999</v>
      </c>
      <c r="L128" s="13">
        <f t="shared" si="60"/>
        <v>8.2089839658890162E-2</v>
      </c>
      <c r="M128" s="13">
        <f t="shared" si="61"/>
        <v>-1.6748982365660813E-2</v>
      </c>
      <c r="N128" s="20">
        <f t="shared" si="62"/>
        <v>1.479653915071791E-3</v>
      </c>
      <c r="O128" s="21">
        <f t="shared" si="63"/>
        <v>6.8624434945803959E-3</v>
      </c>
      <c r="P128" s="24">
        <f t="shared" si="64"/>
        <v>172173.3852960435</v>
      </c>
      <c r="Q128" s="24">
        <f t="shared" si="65"/>
        <v>1181.5301278647178</v>
      </c>
      <c r="R128" s="10">
        <f>126.18*C242</f>
        <v>172033.23157200002</v>
      </c>
      <c r="S128" s="10">
        <f>126.22*C242</f>
        <v>172087.76738800001</v>
      </c>
      <c r="T128" s="10">
        <v>1173</v>
      </c>
      <c r="U128" s="10">
        <v>885057.61</v>
      </c>
      <c r="V128" s="10">
        <v>875432.27</v>
      </c>
    </row>
    <row r="129" spans="1:24">
      <c r="A129" s="86">
        <v>115</v>
      </c>
      <c r="B129" s="71" t="s">
        <v>271</v>
      </c>
      <c r="C129" s="72" t="s">
        <v>272</v>
      </c>
      <c r="D129" s="17">
        <f>1744000*FX_RATE</f>
        <v>2377761577.6000004</v>
      </c>
      <c r="E129" s="17">
        <f>34961.5*FX_RATE</f>
        <v>47666348.277100004</v>
      </c>
      <c r="F129" s="17">
        <v>0</v>
      </c>
      <c r="G129" s="17">
        <f>1807.44*FX_RATE</f>
        <v>2464255.3817760004</v>
      </c>
      <c r="H129" s="12">
        <f>(E129+F129)-G129</f>
        <v>45202092.895324007</v>
      </c>
      <c r="I129" s="44">
        <v>2264497305.5896564</v>
      </c>
      <c r="J129" s="13">
        <f t="shared" si="53"/>
        <v>1.2071158472016757E-3</v>
      </c>
      <c r="K129" s="29">
        <f>1642267.57*FX_RATE</f>
        <v>2239060050.5071783</v>
      </c>
      <c r="L129" s="13">
        <f t="shared" si="60"/>
        <v>1.2194572457902165E-3</v>
      </c>
      <c r="M129" s="13">
        <f t="shared" si="61"/>
        <v>-1.1233069264286183E-2</v>
      </c>
      <c r="N129" s="20">
        <f t="shared" si="62"/>
        <v>1.1005758336931661E-3</v>
      </c>
      <c r="O129" s="21">
        <f t="shared" si="63"/>
        <v>2.0187977042011491E-2</v>
      </c>
      <c r="P129" s="24">
        <f t="shared" si="64"/>
        <v>142384.30078765075</v>
      </c>
      <c r="Q129" s="24">
        <f t="shared" si="65"/>
        <v>2874.4509954439523</v>
      </c>
      <c r="R129" s="10">
        <f>1*FX_RATE</f>
        <v>1363.3954000000001</v>
      </c>
      <c r="S129" s="10">
        <f>1*FX_RATE</f>
        <v>1363.3954000000001</v>
      </c>
      <c r="T129" s="10">
        <v>16</v>
      </c>
      <c r="U129" s="10">
        <v>15739.69</v>
      </c>
      <c r="V129" s="10">
        <v>15725.47</v>
      </c>
    </row>
    <row r="130" spans="1:24" s="3" customFormat="1">
      <c r="A130" s="86">
        <v>116</v>
      </c>
      <c r="B130" s="71" t="s">
        <v>136</v>
      </c>
      <c r="C130" s="72" t="s">
        <v>137</v>
      </c>
      <c r="D130" s="17">
        <f>178392.65*FX_RATE</f>
        <v>243219718.40381002</v>
      </c>
      <c r="E130" s="17">
        <v>0</v>
      </c>
      <c r="F130" s="17">
        <v>0</v>
      </c>
      <c r="G130" s="17">
        <f>4716.98*FX_RATE</f>
        <v>6431108.8338919999</v>
      </c>
      <c r="H130" s="12">
        <f t="shared" si="52"/>
        <v>-6431108.8338919999</v>
      </c>
      <c r="I130" s="29">
        <v>253609759.26218399</v>
      </c>
      <c r="J130" s="13">
        <f t="shared" si="53"/>
        <v>1.3518954456458003E-4</v>
      </c>
      <c r="K130" s="29">
        <f>189326.16*FX_RATE</f>
        <v>258126415.64366403</v>
      </c>
      <c r="L130" s="13">
        <f t="shared" si="60"/>
        <v>1.405831557823661E-4</v>
      </c>
      <c r="M130" s="13">
        <f t="shared" si="61"/>
        <v>1.7809473872851554E-2</v>
      </c>
      <c r="N130" s="20">
        <f t="shared" si="62"/>
        <v>2.491457070697467E-2</v>
      </c>
      <c r="O130" s="21">
        <f t="shared" si="63"/>
        <v>-2.491457070697467E-2</v>
      </c>
      <c r="P130" s="24">
        <f t="shared" si="64"/>
        <v>187429.77776752954</v>
      </c>
      <c r="Q130" s="24">
        <f t="shared" si="65"/>
        <v>-4669.7324507816638</v>
      </c>
      <c r="R130" s="10">
        <f>137.4724*FX_RATE</f>
        <v>187429.23778696</v>
      </c>
      <c r="S130" s="10">
        <f>137.4724*FX_RATE</f>
        <v>187429.23778696</v>
      </c>
      <c r="T130" s="10">
        <v>10</v>
      </c>
      <c r="U130" s="10">
        <v>1340.66</v>
      </c>
      <c r="V130" s="10">
        <v>1377.19</v>
      </c>
      <c r="W130" s="6"/>
      <c r="X130" s="6"/>
    </row>
    <row r="131" spans="1:24">
      <c r="A131" s="86">
        <v>117</v>
      </c>
      <c r="B131" s="19" t="s">
        <v>138</v>
      </c>
      <c r="C131" s="19" t="s">
        <v>139</v>
      </c>
      <c r="D131" s="17">
        <f>10758665.89*FX_RATE</f>
        <v>14668315584.562908</v>
      </c>
      <c r="E131" s="17">
        <f>60582.56*FX_RATE</f>
        <v>82597983.624224007</v>
      </c>
      <c r="F131" s="17">
        <v>0</v>
      </c>
      <c r="G131" s="17">
        <f>15877.19*FX_RATE</f>
        <v>21646887.810926002</v>
      </c>
      <c r="H131" s="12">
        <f t="shared" si="52"/>
        <v>60951095.813298002</v>
      </c>
      <c r="I131" s="29">
        <v>14460171077.19882</v>
      </c>
      <c r="J131" s="13">
        <f t="shared" si="53"/>
        <v>7.7081573987516213E-3</v>
      </c>
      <c r="K131" s="29">
        <f>10701342.88*FX_RATE</f>
        <v>14590161656.414755</v>
      </c>
      <c r="L131" s="13">
        <f t="shared" si="60"/>
        <v>7.9462265181924913E-3</v>
      </c>
      <c r="M131" s="13">
        <f t="shared" si="61"/>
        <v>8.9895602563725766E-3</v>
      </c>
      <c r="N131" s="20">
        <f t="shared" si="62"/>
        <v>1.4836633288027117E-3</v>
      </c>
      <c r="O131" s="21">
        <f t="shared" si="63"/>
        <v>4.177547668671653E-3</v>
      </c>
      <c r="P131" s="24">
        <f t="shared" si="64"/>
        <v>2033.1554873498794</v>
      </c>
      <c r="Q131" s="24">
        <f t="shared" si="65"/>
        <v>8.4936039662254679</v>
      </c>
      <c r="R131" s="10">
        <f>1.49*FX_RATE</f>
        <v>2031.4591460000001</v>
      </c>
      <c r="S131" s="10">
        <f>1.49*FX_RATE</f>
        <v>2031.4591460000001</v>
      </c>
      <c r="T131" s="10">
        <v>118</v>
      </c>
      <c r="U131" s="10">
        <v>6999063</v>
      </c>
      <c r="V131" s="10">
        <v>7176117</v>
      </c>
    </row>
    <row r="132" spans="1:24">
      <c r="A132" s="106">
        <v>118</v>
      </c>
      <c r="B132" s="19" t="s">
        <v>140</v>
      </c>
      <c r="C132" s="19" t="s">
        <v>50</v>
      </c>
      <c r="D132" s="17">
        <f>100586230*FX_RATE</f>
        <v>137138803285.34201</v>
      </c>
      <c r="E132" s="17">
        <f>685710*FX_RATE</f>
        <v>934893859.73400009</v>
      </c>
      <c r="F132" s="17">
        <v>0</v>
      </c>
      <c r="G132" s="17">
        <f>145458*FX_RATE</f>
        <v>198316768.09320003</v>
      </c>
      <c r="H132" s="12">
        <f t="shared" si="52"/>
        <v>736577091.6408</v>
      </c>
      <c r="I132" s="29">
        <v>153629269560.84601</v>
      </c>
      <c r="J132" s="13">
        <f t="shared" si="53"/>
        <v>8.1893816090289423E-2</v>
      </c>
      <c r="K132" s="29">
        <f>114308021*FX_RATE</f>
        <v>155847030014.50342</v>
      </c>
      <c r="L132" s="13">
        <f t="shared" si="60"/>
        <v>8.4878826694720771E-2</v>
      </c>
      <c r="M132" s="13">
        <f t="shared" si="61"/>
        <v>1.4435793778079829E-2</v>
      </c>
      <c r="N132" s="20">
        <f t="shared" si="62"/>
        <v>1.272509126896703E-3</v>
      </c>
      <c r="O132" s="21">
        <f t="shared" si="63"/>
        <v>4.7262825064568297E-3</v>
      </c>
      <c r="P132" s="24">
        <f t="shared" si="64"/>
        <v>171715.74570788222</v>
      </c>
      <c r="Q132" s="24">
        <f t="shared" si="65"/>
        <v>811.57712502235313</v>
      </c>
      <c r="R132" s="10">
        <f>125.95*FX_RATE</f>
        <v>171719.65063000002</v>
      </c>
      <c r="S132" s="10">
        <f>125.95*FX_RATE</f>
        <v>171719.65063000002</v>
      </c>
      <c r="T132" s="10">
        <v>914</v>
      </c>
      <c r="U132" s="10">
        <v>883841</v>
      </c>
      <c r="V132" s="10">
        <v>907587.3</v>
      </c>
    </row>
    <row r="133" spans="1:24" ht="13.95" customHeight="1">
      <c r="A133" s="86">
        <v>119</v>
      </c>
      <c r="B133" s="19" t="s">
        <v>141</v>
      </c>
      <c r="C133" s="19" t="s">
        <v>142</v>
      </c>
      <c r="D133" s="17">
        <v>36730273257.400002</v>
      </c>
      <c r="E133" s="17">
        <v>497554322.54000002</v>
      </c>
      <c r="F133" s="17">
        <v>110128858.2</v>
      </c>
      <c r="G133" s="17">
        <v>67601179.170000002</v>
      </c>
      <c r="H133" s="12">
        <f t="shared" si="52"/>
        <v>540082001.57000005</v>
      </c>
      <c r="I133" s="29">
        <v>38789739570.779999</v>
      </c>
      <c r="J133" s="13">
        <f t="shared" si="53"/>
        <v>2.0677308482167506E-2</v>
      </c>
      <c r="K133" s="29">
        <v>38122483020.019997</v>
      </c>
      <c r="L133" s="13">
        <f t="shared" si="60"/>
        <v>2.0762613372404877E-2</v>
      </c>
      <c r="M133" s="13">
        <f t="shared" si="61"/>
        <v>-1.7201882718043335E-2</v>
      </c>
      <c r="N133" s="20">
        <f t="shared" si="62"/>
        <v>1.7732627524418934E-3</v>
      </c>
      <c r="O133" s="21">
        <f t="shared" si="63"/>
        <v>1.4167020581696537E-2</v>
      </c>
      <c r="P133" s="24">
        <f t="shared" si="64"/>
        <v>144357.41286870843</v>
      </c>
      <c r="Q133" s="24">
        <f t="shared" si="65"/>
        <v>2045.1144392314568</v>
      </c>
      <c r="R133" s="10">
        <v>144357.41</v>
      </c>
      <c r="S133" s="10">
        <v>144357.41</v>
      </c>
      <c r="T133" s="10">
        <v>883</v>
      </c>
      <c r="U133" s="10">
        <v>267908</v>
      </c>
      <c r="V133" s="10">
        <v>264084</v>
      </c>
    </row>
    <row r="134" spans="1:24">
      <c r="A134" s="86">
        <v>120</v>
      </c>
      <c r="B134" s="19" t="s">
        <v>143</v>
      </c>
      <c r="C134" s="19" t="s">
        <v>42</v>
      </c>
      <c r="D134" s="17">
        <f>1884620.12*FX_RATE</f>
        <v>2569482402.3554482</v>
      </c>
      <c r="E134" s="17">
        <f>75340.3*FX_RATE</f>
        <v>102718618.45462002</v>
      </c>
      <c r="F134" s="17">
        <v>0</v>
      </c>
      <c r="G134" s="17">
        <f>2497.37*FX_RATE</f>
        <v>3404902.7700980003</v>
      </c>
      <c r="H134" s="12">
        <f t="shared" si="52"/>
        <v>99313715.684522018</v>
      </c>
      <c r="I134" s="29">
        <v>2558990847.7172523</v>
      </c>
      <c r="J134" s="13">
        <f t="shared" si="53"/>
        <v>1.364098953661239E-3</v>
      </c>
      <c r="K134" s="29">
        <f>1904789.86*FX_RATE</f>
        <v>2596981733.0906444</v>
      </c>
      <c r="L134" s="13">
        <f t="shared" si="60"/>
        <v>1.4143918073500849E-3</v>
      </c>
      <c r="M134" s="13">
        <f t="shared" si="61"/>
        <v>1.4846041910342068E-2</v>
      </c>
      <c r="N134" s="20">
        <f t="shared" si="62"/>
        <v>1.3111000076407378E-3</v>
      </c>
      <c r="O134" s="21">
        <f t="shared" si="63"/>
        <v>3.8241976991624682E-2</v>
      </c>
      <c r="P134" s="24">
        <f t="shared" si="64"/>
        <v>207592.79655847925</v>
      </c>
      <c r="Q134" s="24">
        <f t="shared" si="65"/>
        <v>7938.7589496163882</v>
      </c>
      <c r="R134" s="10">
        <f>168.47*FX_RATE</f>
        <v>229691.22303800003</v>
      </c>
      <c r="S134" s="10">
        <f>175.083*FX_RATE</f>
        <v>238707.35681820003</v>
      </c>
      <c r="T134" s="10">
        <v>49</v>
      </c>
      <c r="U134" s="10">
        <v>12513.98</v>
      </c>
      <c r="V134" s="10">
        <v>12509.98</v>
      </c>
    </row>
    <row r="135" spans="1:24" ht="5.55" customHeight="1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</row>
    <row r="136" spans="1:24">
      <c r="A136" s="119" t="s">
        <v>144</v>
      </c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</row>
    <row r="137" spans="1:24">
      <c r="A137" s="85">
        <v>121</v>
      </c>
      <c r="B137" s="25" t="s">
        <v>145</v>
      </c>
      <c r="C137" s="10" t="s">
        <v>101</v>
      </c>
      <c r="D137" s="42">
        <f>919843.6*FX_RATE</f>
        <v>1254110532.95944</v>
      </c>
      <c r="E137" s="10">
        <f>8813.53*FX_RATE</f>
        <v>12016326.259762002</v>
      </c>
      <c r="F137" s="10">
        <v>0</v>
      </c>
      <c r="G137" s="10">
        <f>1632.04*FX_RATE</f>
        <v>2225115.8286160002</v>
      </c>
      <c r="H137" s="12">
        <f>(E137+F137)-G137</f>
        <v>9791210.4311460014</v>
      </c>
      <c r="I137" s="10">
        <v>1486898900.8814523</v>
      </c>
      <c r="J137" s="13">
        <f t="shared" ref="J137:J155" si="66">(I137/$I$156)</f>
        <v>7.9260824113605566E-4</v>
      </c>
      <c r="K137" s="10">
        <f>1105015.84*FX_RATE</f>
        <v>1506573513.1831362</v>
      </c>
      <c r="L137" s="13">
        <f t="shared" ref="L137" si="67">(K137/$K$156)</f>
        <v>8.2052376690417285E-4</v>
      </c>
      <c r="M137" s="13">
        <f t="shared" ref="M137:M156" si="68">((K137-I137)/I137)</f>
        <v>1.3231977164029475E-2</v>
      </c>
      <c r="N137" s="20">
        <f t="shared" ref="N137" si="69">(G137/K137)</f>
        <v>1.4769381043442779E-3</v>
      </c>
      <c r="O137" s="21">
        <f t="shared" ref="O137" si="70">H137/K137</f>
        <v>6.4989928108179877E-3</v>
      </c>
      <c r="P137" s="22">
        <f t="shared" ref="P137" si="71">K137/V137</f>
        <v>169296.94495821284</v>
      </c>
      <c r="Q137" s="22">
        <f t="shared" ref="Q137" si="72">H137/V137</f>
        <v>1100.259628176874</v>
      </c>
      <c r="R137" s="10">
        <f>124.17*FX_RATE</f>
        <v>169292.80681800001</v>
      </c>
      <c r="S137" s="10">
        <f>124.17*FX_RATE</f>
        <v>169292.80681800001</v>
      </c>
      <c r="T137" s="10">
        <v>30</v>
      </c>
      <c r="U137" s="17">
        <v>8897</v>
      </c>
      <c r="V137" s="17">
        <v>8899</v>
      </c>
    </row>
    <row r="138" spans="1:24">
      <c r="A138" s="85">
        <v>122</v>
      </c>
      <c r="B138" s="25" t="s">
        <v>146</v>
      </c>
      <c r="C138" s="10" t="s">
        <v>28</v>
      </c>
      <c r="D138" s="42">
        <f>9973967.59*FX_RATE</f>
        <v>13598461531.955088</v>
      </c>
      <c r="E138" s="10">
        <f>93996.83*FX_RATE</f>
        <v>128154845.63658202</v>
      </c>
      <c r="F138" s="10">
        <v>0</v>
      </c>
      <c r="G138" s="10">
        <f>21563.85*FX_RATE</f>
        <v>29400053.896290001</v>
      </c>
      <c r="H138" s="12">
        <f t="shared" ref="H138:H155" si="73">(E138+F138)-G138</f>
        <v>98754791.740292013</v>
      </c>
      <c r="I138" s="10">
        <v>28232509910.999565</v>
      </c>
      <c r="J138" s="13">
        <f t="shared" si="66"/>
        <v>1.5049658056878022E-2</v>
      </c>
      <c r="K138" s="10">
        <f>20401778.46*FX_RATE</f>
        <v>27815690904.183086</v>
      </c>
      <c r="L138" s="13">
        <f t="shared" ref="L138:L155" si="74">(K138/$K$156)</f>
        <v>1.5149234524587099E-2</v>
      </c>
      <c r="M138" s="13">
        <f t="shared" ref="M138:M155" si="75">((K138-I138)/I138)</f>
        <v>-1.476379564305345E-2</v>
      </c>
      <c r="N138" s="20">
        <f t="shared" ref="N138:N155" si="76">(G138/K138)</f>
        <v>1.0569593254959792E-3</v>
      </c>
      <c r="O138" s="21">
        <f t="shared" ref="O138:O155" si="77">H138/K138</f>
        <v>3.5503267591113722E-3</v>
      </c>
      <c r="P138" s="22">
        <f t="shared" ref="P138:P155" si="78">K138/V138</f>
        <v>186281.42163839928</v>
      </c>
      <c r="Q138" s="22">
        <f t="shared" ref="Q138:Q155" si="79">H138/V138</f>
        <v>661.35991596811709</v>
      </c>
      <c r="R138" s="10">
        <f>136.6305*FX_RATE</f>
        <v>186281.39519970003</v>
      </c>
      <c r="S138" s="10">
        <f>136.6305*FX_RATE</f>
        <v>186281.39519970003</v>
      </c>
      <c r="T138" s="10">
        <v>669</v>
      </c>
      <c r="U138" s="17">
        <v>149554.10999999999</v>
      </c>
      <c r="V138" s="17">
        <v>149320.79999999999</v>
      </c>
    </row>
    <row r="139" spans="1:24">
      <c r="A139" s="85">
        <v>123</v>
      </c>
      <c r="B139" s="25" t="s">
        <v>310</v>
      </c>
      <c r="C139" s="25" t="s">
        <v>307</v>
      </c>
      <c r="D139" s="42">
        <f>174935*FX_RATE</f>
        <v>238505574.29900002</v>
      </c>
      <c r="E139" s="10">
        <f xml:space="preserve"> 2153.87*FX_RATE</f>
        <v>2936576.4501980003</v>
      </c>
      <c r="F139" s="10">
        <v>0</v>
      </c>
      <c r="G139" s="10">
        <f>1448.84*FX_RATE</f>
        <v>1975341.791336</v>
      </c>
      <c r="H139" s="12">
        <f t="shared" ref="H139" si="80">(E139+F139)-G139</f>
        <v>961234.65886200033</v>
      </c>
      <c r="I139" s="10">
        <v>384643612.28774399</v>
      </c>
      <c r="J139" s="13">
        <f t="shared" si="66"/>
        <v>2.0503861884548836E-4</v>
      </c>
      <c r="K139" s="10">
        <f>405250.37*FX_RATE</f>
        <v>552516490.30629802</v>
      </c>
      <c r="L139" s="13">
        <f t="shared" si="74"/>
        <v>3.0091655530631106E-4</v>
      </c>
      <c r="M139" s="13">
        <f t="shared" si="75"/>
        <v>0.43643745185341015</v>
      </c>
      <c r="N139" s="20">
        <f t="shared" si="76"/>
        <v>3.5751725532045782E-3</v>
      </c>
      <c r="O139" s="21">
        <f t="shared" si="77"/>
        <v>1.7397393122676242E-3</v>
      </c>
      <c r="P139" s="22">
        <f t="shared" si="78"/>
        <v>139524.36623896414</v>
      </c>
      <c r="Q139" s="22">
        <f t="shared" si="79"/>
        <v>242.73602496515159</v>
      </c>
      <c r="R139" s="10">
        <f>100*FX_RATE</f>
        <v>136339.54</v>
      </c>
      <c r="S139" s="10">
        <f>100*FX_RATE</f>
        <v>136339.54</v>
      </c>
      <c r="T139" s="10">
        <v>22</v>
      </c>
      <c r="U139" s="17">
        <v>2730</v>
      </c>
      <c r="V139" s="17">
        <v>3960</v>
      </c>
    </row>
    <row r="140" spans="1:24" ht="14.1" customHeight="1">
      <c r="A140" s="85">
        <v>124</v>
      </c>
      <c r="B140" s="25" t="s">
        <v>147</v>
      </c>
      <c r="C140" s="25" t="s">
        <v>62</v>
      </c>
      <c r="D140" s="42">
        <f>12296584.7*C242</f>
        <v>16765107015.69038</v>
      </c>
      <c r="E140" s="10">
        <f>80517.33*C242</f>
        <v>109776957.34228201</v>
      </c>
      <c r="F140" s="10">
        <v>0</v>
      </c>
      <c r="G140" s="10">
        <f>20002.36*C242</f>
        <v>27271125.613144003</v>
      </c>
      <c r="H140" s="12">
        <f t="shared" si="73"/>
        <v>82505831.729138017</v>
      </c>
      <c r="I140" s="10">
        <v>16765174218.982632</v>
      </c>
      <c r="J140" s="13">
        <f t="shared" si="66"/>
        <v>8.9368653391094371E-3</v>
      </c>
      <c r="K140" s="10">
        <f>12952039.56*C242</f>
        <v>17658751156.722027</v>
      </c>
      <c r="L140" s="13">
        <f t="shared" si="74"/>
        <v>9.6174696363294353E-3</v>
      </c>
      <c r="M140" s="13">
        <f t="shared" si="75"/>
        <v>5.3299591526321785E-2</v>
      </c>
      <c r="N140" s="20">
        <f t="shared" si="76"/>
        <v>1.5443405578974311E-3</v>
      </c>
      <c r="O140" s="21">
        <f t="shared" si="77"/>
        <v>4.6722348028405804E-3</v>
      </c>
      <c r="P140" s="22">
        <f t="shared" si="78"/>
        <v>167310.16302735353</v>
      </c>
      <c r="Q140" s="22">
        <f t="shared" si="79"/>
        <v>781.71236656533245</v>
      </c>
      <c r="R140" s="10">
        <f>120.02*FX_RATE</f>
        <v>163634.71590800001</v>
      </c>
      <c r="S140" s="10">
        <f>120.02*FX_RATE</f>
        <v>163634.71590800001</v>
      </c>
      <c r="T140" s="10">
        <v>469</v>
      </c>
      <c r="U140" s="17">
        <v>101226</v>
      </c>
      <c r="V140" s="17">
        <v>105545</v>
      </c>
    </row>
    <row r="141" spans="1:24" ht="14.1" customHeight="1">
      <c r="A141" s="85">
        <v>125</v>
      </c>
      <c r="B141" s="25" t="s">
        <v>255</v>
      </c>
      <c r="C141" s="25" t="s">
        <v>64</v>
      </c>
      <c r="D141" s="42">
        <v>127781996.97</v>
      </c>
      <c r="E141" s="10">
        <v>21367999.829999998</v>
      </c>
      <c r="F141" s="10">
        <v>3187243.73</v>
      </c>
      <c r="G141" s="10">
        <v>539997.32999999996</v>
      </c>
      <c r="H141" s="12">
        <f t="shared" si="73"/>
        <v>24015246.23</v>
      </c>
      <c r="I141" s="10">
        <v>227984461.65000001</v>
      </c>
      <c r="J141" s="13">
        <f t="shared" si="66"/>
        <v>1.2152969045012705E-4</v>
      </c>
      <c r="K141" s="10">
        <v>131466117.93000001</v>
      </c>
      <c r="L141" s="13">
        <f t="shared" si="74"/>
        <v>7.1600272645360938E-5</v>
      </c>
      <c r="M141" s="13">
        <f t="shared" si="75"/>
        <v>-0.42335492086374826</v>
      </c>
      <c r="N141" s="20">
        <f t="shared" si="76"/>
        <v>4.1075019062137745E-3</v>
      </c>
      <c r="O141" s="21">
        <f t="shared" si="77"/>
        <v>0.18267251371024035</v>
      </c>
      <c r="P141" s="22">
        <f t="shared" si="78"/>
        <v>1461.8033843632345</v>
      </c>
      <c r="Q141" s="22">
        <f t="shared" si="79"/>
        <v>267.03129877176872</v>
      </c>
      <c r="R141" s="10">
        <f>1.0713*FX_RATE</f>
        <v>1460.6054920199999</v>
      </c>
      <c r="S141" s="10">
        <f>1.0713*FX_RATE</f>
        <v>1460.6054920199999</v>
      </c>
      <c r="T141" s="10">
        <v>4</v>
      </c>
      <c r="U141" s="17">
        <v>157083.82</v>
      </c>
      <c r="V141" s="17">
        <v>89934.2</v>
      </c>
    </row>
    <row r="142" spans="1:24" ht="15" customHeight="1">
      <c r="A142" s="85">
        <v>126</v>
      </c>
      <c r="B142" s="25" t="s">
        <v>148</v>
      </c>
      <c r="C142" s="10" t="s">
        <v>60</v>
      </c>
      <c r="D142" s="42">
        <f>7936408.58*FX_RATE</f>
        <v>10820462950.492533</v>
      </c>
      <c r="E142" s="10">
        <f>49812.31*FX_RATE</f>
        <v>67913874.317374006</v>
      </c>
      <c r="F142" s="10">
        <v>0</v>
      </c>
      <c r="G142" s="10">
        <f>9068.57*FX_RATE</f>
        <v>12364046.622578001</v>
      </c>
      <c r="H142" s="12">
        <f t="shared" si="73"/>
        <v>55549827.694796003</v>
      </c>
      <c r="I142" s="10">
        <v>10828992513.416245</v>
      </c>
      <c r="J142" s="13">
        <f t="shared" si="66"/>
        <v>5.7725166816964936E-3</v>
      </c>
      <c r="K142" s="10">
        <f>8019696.71*FX_RATE</f>
        <v>10934017603.809135</v>
      </c>
      <c r="L142" s="13">
        <f t="shared" si="74"/>
        <v>5.954984096805528E-3</v>
      </c>
      <c r="M142" s="13">
        <f t="shared" si="75"/>
        <v>9.6985098348505959E-3</v>
      </c>
      <c r="N142" s="20">
        <f t="shared" si="76"/>
        <v>1.1307871516752159E-3</v>
      </c>
      <c r="O142" s="21">
        <f t="shared" si="77"/>
        <v>5.0804589591518356E-3</v>
      </c>
      <c r="P142" s="22">
        <f t="shared" si="78"/>
        <v>1846.9704293346688</v>
      </c>
      <c r="Q142" s="22">
        <f t="shared" si="79"/>
        <v>9.383457465001829</v>
      </c>
      <c r="R142" s="10">
        <f>1.35*FX_RATE</f>
        <v>1840.5837900000004</v>
      </c>
      <c r="S142" s="10">
        <f>1.35*FX_RATE</f>
        <v>1840.5837900000004</v>
      </c>
      <c r="T142" s="10">
        <v>326</v>
      </c>
      <c r="U142" s="17">
        <v>5797335.9699999997</v>
      </c>
      <c r="V142" s="17">
        <v>5919974.3700000001</v>
      </c>
    </row>
    <row r="143" spans="1:24" ht="15" customHeight="1">
      <c r="A143" s="85">
        <v>127</v>
      </c>
      <c r="B143" s="25" t="s">
        <v>311</v>
      </c>
      <c r="C143" s="10" t="s">
        <v>77</v>
      </c>
      <c r="D143" s="42">
        <f>298344.41*FX_RATE</f>
        <v>406761396.209714</v>
      </c>
      <c r="E143" s="10">
        <f>582.73*FX_RATE</f>
        <v>794491.40144200006</v>
      </c>
      <c r="F143" s="10">
        <v>0</v>
      </c>
      <c r="G143" s="10">
        <f>441.89*FX_RATE</f>
        <v>602470.79330600007</v>
      </c>
      <c r="H143" s="12">
        <f t="shared" si="73"/>
        <v>192020.608136</v>
      </c>
      <c r="I143" s="10">
        <v>421435011.11442</v>
      </c>
      <c r="J143" s="13">
        <f t="shared" si="66"/>
        <v>2.2465068923955463E-4</v>
      </c>
      <c r="K143" s="10">
        <f>304573.87*FX_RATE</f>
        <v>415254613.31819803</v>
      </c>
      <c r="L143" s="13">
        <f t="shared" si="74"/>
        <v>2.261597436584998E-4</v>
      </c>
      <c r="M143" s="13">
        <f t="shared" si="75"/>
        <v>-1.4665126610812094E-2</v>
      </c>
      <c r="N143" s="20">
        <f t="shared" si="76"/>
        <v>1.4508467190570223E-3</v>
      </c>
      <c r="O143" s="21">
        <f t="shared" si="77"/>
        <v>4.6241655595734456E-4</v>
      </c>
      <c r="P143" s="22">
        <f t="shared" si="78"/>
        <v>1430.6396837234392</v>
      </c>
      <c r="Q143" s="22">
        <f t="shared" si="79"/>
        <v>0.6615514753632975</v>
      </c>
      <c r="R143" s="10">
        <f>1.04*FX_RATE</f>
        <v>1417.9312160000002</v>
      </c>
      <c r="S143" s="10">
        <f>1.04*FX_RATE</f>
        <v>1417.9312160000002</v>
      </c>
      <c r="T143" s="10">
        <v>16</v>
      </c>
      <c r="U143" s="17">
        <v>290258</v>
      </c>
      <c r="V143" s="17">
        <v>290258</v>
      </c>
    </row>
    <row r="144" spans="1:24" ht="15" customHeight="1">
      <c r="A144" s="85">
        <v>128</v>
      </c>
      <c r="B144" s="10" t="s">
        <v>267</v>
      </c>
      <c r="C144" s="10" t="s">
        <v>36</v>
      </c>
      <c r="D144" s="42">
        <f>91689390.99*C242</f>
        <v>125008893904.56744</v>
      </c>
      <c r="E144" s="10">
        <f>453517.14*C242</f>
        <v>618323182.49715602</v>
      </c>
      <c r="F144" s="10">
        <v>0</v>
      </c>
      <c r="G144" s="10">
        <f>70635.66*C242</f>
        <v>96304333.919964015</v>
      </c>
      <c r="H144" s="12">
        <f t="shared" ref="H144" si="81">(E144+F144)-G144</f>
        <v>522018848.57719201</v>
      </c>
      <c r="I144" s="10">
        <v>121764957026.1996</v>
      </c>
      <c r="J144" s="13">
        <f t="shared" si="66"/>
        <v>6.4908184654202117E-2</v>
      </c>
      <c r="K144" s="10">
        <f>92455573*C242</f>
        <v>126053502932.56421</v>
      </c>
      <c r="L144" s="13">
        <f t="shared" si="74"/>
        <v>6.8652405045382642E-2</v>
      </c>
      <c r="M144" s="13">
        <f t="shared" si="75"/>
        <v>3.5219869584004061E-2</v>
      </c>
      <c r="N144" s="20">
        <f t="shared" si="76"/>
        <v>7.6399569769580039E-4</v>
      </c>
      <c r="O144" s="21">
        <f t="shared" si="77"/>
        <v>4.1412482512006065E-3</v>
      </c>
      <c r="P144" s="22">
        <f t="shared" si="78"/>
        <v>136339.54</v>
      </c>
      <c r="Q144" s="22">
        <f t="shared" si="79"/>
        <v>564.61588159449514</v>
      </c>
      <c r="R144" s="10">
        <f>100*C242</f>
        <v>136339.54</v>
      </c>
      <c r="S144" s="10">
        <f>100*C242</f>
        <v>136339.54</v>
      </c>
      <c r="T144" s="10">
        <v>2771</v>
      </c>
      <c r="U144" s="17">
        <v>878184.53</v>
      </c>
      <c r="V144" s="17">
        <v>924555.73</v>
      </c>
    </row>
    <row r="145" spans="1:22" ht="15" customHeight="1">
      <c r="A145" s="85">
        <v>129</v>
      </c>
      <c r="B145" s="25" t="s">
        <v>231</v>
      </c>
      <c r="C145" s="25" t="s">
        <v>232</v>
      </c>
      <c r="D145" s="42">
        <f>1126689.21*FX_RATE</f>
        <v>1536122886.1436341</v>
      </c>
      <c r="E145" s="10">
        <f>6676.87*FX_RATE</f>
        <v>9103213.8443980012</v>
      </c>
      <c r="F145" s="10">
        <v>0</v>
      </c>
      <c r="G145" s="10">
        <f>1839.32*FX_RATE</f>
        <v>2507720.4271280002</v>
      </c>
      <c r="H145" s="12">
        <f t="shared" si="73"/>
        <v>6595493.417270001</v>
      </c>
      <c r="I145" s="10">
        <v>1532118671.3173079</v>
      </c>
      <c r="J145" s="13">
        <f t="shared" si="66"/>
        <v>8.1671315014398649E-4</v>
      </c>
      <c r="K145" s="10">
        <f>1097630.24*FX_RATE</f>
        <v>1496504020.1168962</v>
      </c>
      <c r="L145" s="13">
        <f t="shared" si="74"/>
        <v>8.1503962802264565E-4</v>
      </c>
      <c r="M145" s="13">
        <f t="shared" si="75"/>
        <v>-2.324536073291927E-2</v>
      </c>
      <c r="N145" s="20">
        <f t="shared" si="76"/>
        <v>1.6757191383502698E-3</v>
      </c>
      <c r="O145" s="21">
        <f t="shared" si="77"/>
        <v>4.4072674236817679E-3</v>
      </c>
      <c r="P145" s="22">
        <f t="shared" si="78"/>
        <v>1552.0208456186415</v>
      </c>
      <c r="Q145" s="22">
        <f t="shared" si="79"/>
        <v>6.840170913770069</v>
      </c>
      <c r="R145" s="10">
        <f>1.14*FX_RATE</f>
        <v>1554.2707559999999</v>
      </c>
      <c r="S145" s="10">
        <f>1.14*FX_RATE</f>
        <v>1554.2707559999999</v>
      </c>
      <c r="T145" s="10">
        <v>62</v>
      </c>
      <c r="U145" s="17">
        <v>967733.8</v>
      </c>
      <c r="V145" s="17">
        <v>964229.33</v>
      </c>
    </row>
    <row r="146" spans="1:22" ht="15" customHeight="1">
      <c r="A146" s="85">
        <v>130</v>
      </c>
      <c r="B146" s="25" t="s">
        <v>233</v>
      </c>
      <c r="C146" s="25" t="s">
        <v>40</v>
      </c>
      <c r="D146" s="42">
        <f>6694301.07*FX_RATE</f>
        <v>9126979285.0530796</v>
      </c>
      <c r="E146" s="10">
        <f>25051.27*FX_RATE</f>
        <v>34154786.282158002</v>
      </c>
      <c r="F146" s="10">
        <f>22178.25*FX_RATE</f>
        <v>30237724.030050002</v>
      </c>
      <c r="G146" s="10">
        <f>13470.53*FX_RATE</f>
        <v>18365658.637562003</v>
      </c>
      <c r="H146" s="12">
        <f t="shared" si="73"/>
        <v>46026851.674646005</v>
      </c>
      <c r="I146" s="10">
        <v>9490381844.5054092</v>
      </c>
      <c r="J146" s="13">
        <f t="shared" si="66"/>
        <v>5.0589551562811438E-3</v>
      </c>
      <c r="K146" s="10">
        <f>8339007.74*FX_RATE</f>
        <v>11369364793.280397</v>
      </c>
      <c r="L146" s="13">
        <f t="shared" si="74"/>
        <v>6.1920868420020595E-3</v>
      </c>
      <c r="M146" s="13">
        <f t="shared" si="75"/>
        <v>0.19798812940944541</v>
      </c>
      <c r="N146" s="20">
        <f t="shared" si="76"/>
        <v>1.6153636523666304E-3</v>
      </c>
      <c r="O146" s="21">
        <f t="shared" si="77"/>
        <v>4.0483221808353901E-3</v>
      </c>
      <c r="P146" s="22">
        <f t="shared" si="78"/>
        <v>14726.382188377424</v>
      </c>
      <c r="Q146" s="22">
        <f t="shared" si="79"/>
        <v>59.61713965666754</v>
      </c>
      <c r="R146" s="10">
        <f>10.77*FX_RATE</f>
        <v>14683.768458</v>
      </c>
      <c r="S146" s="10">
        <f>10.77*FX_RATE</f>
        <v>14683.768458</v>
      </c>
      <c r="T146" s="10">
        <v>178</v>
      </c>
      <c r="U146" s="17">
        <v>636767.28</v>
      </c>
      <c r="V146" s="17">
        <v>772040.59</v>
      </c>
    </row>
    <row r="147" spans="1:22">
      <c r="A147" s="85">
        <v>131</v>
      </c>
      <c r="B147" s="10" t="s">
        <v>149</v>
      </c>
      <c r="C147" s="10" t="s">
        <v>44</v>
      </c>
      <c r="D147" s="42">
        <f>21948609.95*FX_RATE</f>
        <v>29924633842.224232</v>
      </c>
      <c r="E147" s="10">
        <f>219150.03*FX_RATE</f>
        <v>298788142.81186205</v>
      </c>
      <c r="F147" s="10">
        <f>183717.84*FX_RATE</f>
        <v>250480057.95393601</v>
      </c>
      <c r="G147" s="10">
        <f>33051.1*FX_RATE</f>
        <v>45061717.704939999</v>
      </c>
      <c r="H147" s="12">
        <f t="shared" si="73"/>
        <v>504206483.06085807</v>
      </c>
      <c r="I147" s="10">
        <v>28671845947.874928</v>
      </c>
      <c r="J147" s="13">
        <f t="shared" si="66"/>
        <v>1.5283851089941021E-2</v>
      </c>
      <c r="K147" s="10">
        <f>22270805.88*FX_RATE</f>
        <v>30363914291.084953</v>
      </c>
      <c r="L147" s="13">
        <f t="shared" si="74"/>
        <v>1.6537071118047683E-2</v>
      </c>
      <c r="M147" s="13">
        <f t="shared" si="75"/>
        <v>5.9014977489980441E-2</v>
      </c>
      <c r="N147" s="20">
        <f t="shared" si="76"/>
        <v>1.484054963169568E-3</v>
      </c>
      <c r="O147" s="21">
        <f t="shared" si="77"/>
        <v>1.6605450740878176E-2</v>
      </c>
      <c r="P147" s="22">
        <f t="shared" si="78"/>
        <v>1492.3134772980338</v>
      </c>
      <c r="Q147" s="22">
        <f t="shared" si="79"/>
        <v>24.780537937221123</v>
      </c>
      <c r="R147" s="10">
        <f>1.09*FX_RATE</f>
        <v>1486.1009860000001</v>
      </c>
      <c r="S147" s="10">
        <f>1.09*FX_RATE</f>
        <v>1486.1009860000001</v>
      </c>
      <c r="T147" s="10">
        <v>584</v>
      </c>
      <c r="U147" s="17">
        <v>19035234</v>
      </c>
      <c r="V147" s="17">
        <v>20346874</v>
      </c>
    </row>
    <row r="148" spans="1:22">
      <c r="A148" s="85">
        <v>132</v>
      </c>
      <c r="B148" s="25" t="s">
        <v>150</v>
      </c>
      <c r="C148" s="10" t="s">
        <v>83</v>
      </c>
      <c r="D148" s="42">
        <f>265436.61*FX_RATE</f>
        <v>361895053.06559402</v>
      </c>
      <c r="E148" s="10">
        <f>(2497.76+297.32)*FX_RATE</f>
        <v>3810799.2146320008</v>
      </c>
      <c r="F148" s="10">
        <v>0</v>
      </c>
      <c r="G148" s="10">
        <f>6.53*FX_RATE</f>
        <v>8902.9719620000014</v>
      </c>
      <c r="H148" s="12">
        <f t="shared" si="73"/>
        <v>3801896.242670001</v>
      </c>
      <c r="I148" s="10">
        <v>446767379.67501605</v>
      </c>
      <c r="J148" s="13">
        <f t="shared" si="66"/>
        <v>2.3815439421688797E-4</v>
      </c>
      <c r="K148" s="10">
        <f>298870.74*FX_RATE</f>
        <v>407478992.110596</v>
      </c>
      <c r="L148" s="13">
        <f t="shared" si="74"/>
        <v>2.2192491412814284E-4</v>
      </c>
      <c r="M148" s="13">
        <f t="shared" si="75"/>
        <v>-8.793924836902571E-2</v>
      </c>
      <c r="N148" s="20">
        <f t="shared" si="76"/>
        <v>2.1848910334949486E-5</v>
      </c>
      <c r="O148" s="21">
        <f t="shared" si="77"/>
        <v>9.3302877357616231E-3</v>
      </c>
      <c r="P148" s="22">
        <f t="shared" si="78"/>
        <v>1697.7230261050183</v>
      </c>
      <c r="Q148" s="22">
        <f t="shared" si="79"/>
        <v>15.840244329187763</v>
      </c>
      <c r="R148" s="10">
        <f>1.25*FX_RATE</f>
        <v>1704.2442500000002</v>
      </c>
      <c r="S148" s="10">
        <f>1.25*FX_RATE</f>
        <v>1704.2442500000002</v>
      </c>
      <c r="T148" s="10">
        <v>2</v>
      </c>
      <c r="U148" s="17">
        <v>240015</v>
      </c>
      <c r="V148" s="17">
        <v>240015</v>
      </c>
    </row>
    <row r="149" spans="1:22">
      <c r="A149" s="85">
        <v>133</v>
      </c>
      <c r="B149" s="25" t="s">
        <v>300</v>
      </c>
      <c r="C149" s="10" t="s">
        <v>295</v>
      </c>
      <c r="D149" s="42">
        <f>447754.2*FX_RATE</f>
        <v>610466016.6106801</v>
      </c>
      <c r="E149" s="10">
        <f>3064.24*FX_RATE</f>
        <v>4177770.7204960003</v>
      </c>
      <c r="F149" s="10">
        <v>0</v>
      </c>
      <c r="G149" s="10">
        <v>0</v>
      </c>
      <c r="H149" s="12">
        <f t="shared" si="73"/>
        <v>4177770.7204960003</v>
      </c>
      <c r="I149" s="10">
        <v>901616423.33155203</v>
      </c>
      <c r="J149" s="13">
        <f t="shared" si="66"/>
        <v>4.8061681063356896E-4</v>
      </c>
      <c r="K149" s="10">
        <f>553360.04*FX_RATE</f>
        <v>754448533.0798161</v>
      </c>
      <c r="L149" s="13">
        <f t="shared" si="74"/>
        <v>4.1089462072782935E-4</v>
      </c>
      <c r="M149" s="13">
        <f t="shared" si="75"/>
        <v>-0.16322671863932739</v>
      </c>
      <c r="N149" s="20">
        <f t="shared" si="76"/>
        <v>0</v>
      </c>
      <c r="O149" s="21">
        <f t="shared" si="77"/>
        <v>5.5375158639933593E-3</v>
      </c>
      <c r="P149" s="22">
        <f t="shared" si="78"/>
        <v>1471.0060107316012</v>
      </c>
      <c r="Q149" s="22">
        <f t="shared" si="79"/>
        <v>8.1457191204558264</v>
      </c>
      <c r="R149" s="10">
        <f>1.0789*FX_RATE</f>
        <v>1470.96729706</v>
      </c>
      <c r="S149" s="10">
        <f>1.0789*FX_RATE</f>
        <v>1470.96729706</v>
      </c>
      <c r="T149" s="10">
        <v>11</v>
      </c>
      <c r="U149" s="17">
        <v>605454.61490000004</v>
      </c>
      <c r="V149" s="17">
        <v>512879.3</v>
      </c>
    </row>
    <row r="150" spans="1:22">
      <c r="A150" s="85">
        <v>134</v>
      </c>
      <c r="B150" s="25" t="s">
        <v>151</v>
      </c>
      <c r="C150" s="25" t="s">
        <v>46</v>
      </c>
      <c r="D150" s="42">
        <f>629386547.09*FX_RATE</f>
        <v>858102723124.38953</v>
      </c>
      <c r="E150" s="10">
        <f>2823736.92*FX_RATE</f>
        <v>3849869927.5381684</v>
      </c>
      <c r="F150" s="10">
        <v>0</v>
      </c>
      <c r="G150" s="10">
        <f>1001397.08*FX_RATE</f>
        <v>1365300172.4454319</v>
      </c>
      <c r="H150" s="12">
        <f t="shared" si="73"/>
        <v>2484569755.0927362</v>
      </c>
      <c r="I150" s="10">
        <v>944063844924.61438</v>
      </c>
      <c r="J150" s="13">
        <f t="shared" si="66"/>
        <v>0.50324388780047868</v>
      </c>
      <c r="K150" s="10">
        <f>663547264.4*FX_RATE</f>
        <v>904677287965.54382</v>
      </c>
      <c r="L150" s="13">
        <f t="shared" si="74"/>
        <v>0.49271357133165361</v>
      </c>
      <c r="M150" s="13">
        <f t="shared" si="75"/>
        <v>-4.1720225989817096E-2</v>
      </c>
      <c r="N150" s="20">
        <f t="shared" si="76"/>
        <v>1.5091571222217218E-3</v>
      </c>
      <c r="O150" s="21">
        <f t="shared" si="77"/>
        <v>2.746360263647257E-3</v>
      </c>
      <c r="P150" s="22">
        <f t="shared" si="78"/>
        <v>2293.9129139052593</v>
      </c>
      <c r="Q150" s="22">
        <f t="shared" si="79"/>
        <v>6.2999112750166955</v>
      </c>
      <c r="R150" s="10">
        <f>1.6825*FX_RATE</f>
        <v>2293.9127605000003</v>
      </c>
      <c r="S150" s="10">
        <f>1.6825*FX_RATE</f>
        <v>2293.9127605000003</v>
      </c>
      <c r="T150" s="10">
        <v>13282</v>
      </c>
      <c r="U150" s="17">
        <v>405775417.06</v>
      </c>
      <c r="V150" s="17">
        <v>394381705.81</v>
      </c>
    </row>
    <row r="151" spans="1:22">
      <c r="A151" s="85">
        <v>135</v>
      </c>
      <c r="B151" s="25" t="s">
        <v>298</v>
      </c>
      <c r="C151" s="25" t="s">
        <v>297</v>
      </c>
      <c r="D151" s="42">
        <v>411775740.67000002</v>
      </c>
      <c r="E151" s="10">
        <v>17475840.890000001</v>
      </c>
      <c r="F151" s="10">
        <v>18601955.300000001</v>
      </c>
      <c r="G151" s="10">
        <v>8384848.8700000001</v>
      </c>
      <c r="H151" s="12">
        <f t="shared" si="73"/>
        <v>27692947.319999997</v>
      </c>
      <c r="I151" s="10">
        <v>558545716.24000001</v>
      </c>
      <c r="J151" s="13">
        <f t="shared" si="66"/>
        <v>2.9773909811932879E-4</v>
      </c>
      <c r="K151" s="10">
        <v>557137507.57000005</v>
      </c>
      <c r="L151" s="13">
        <f t="shared" si="74"/>
        <v>3.0343329575008196E-4</v>
      </c>
      <c r="M151" s="13">
        <f t="shared" si="75"/>
        <v>-2.5212057474537459E-3</v>
      </c>
      <c r="N151" s="20">
        <f t="shared" si="76"/>
        <v>1.5049873246859993E-2</v>
      </c>
      <c r="O151" s="21">
        <f t="shared" si="77"/>
        <v>4.9705767326247714E-2</v>
      </c>
      <c r="P151" s="22">
        <f t="shared" si="78"/>
        <v>158003.42143853466</v>
      </c>
      <c r="Q151" s="22">
        <f t="shared" si="79"/>
        <v>7853.681302774864</v>
      </c>
      <c r="R151" s="10">
        <v>158003.4</v>
      </c>
      <c r="S151" s="10">
        <v>158003.4</v>
      </c>
      <c r="T151" s="10">
        <v>2</v>
      </c>
      <c r="U151" s="17">
        <v>3526.1104</v>
      </c>
      <c r="V151" s="17">
        <v>3526.1104</v>
      </c>
    </row>
    <row r="152" spans="1:22">
      <c r="A152" s="85">
        <v>136</v>
      </c>
      <c r="B152" s="25" t="s">
        <v>152</v>
      </c>
      <c r="C152" s="25" t="s">
        <v>50</v>
      </c>
      <c r="D152" s="42">
        <f>71254253*FX_RATE</f>
        <v>97147720770.636215</v>
      </c>
      <c r="E152" s="10">
        <f>845158*FX_RATE</f>
        <v>1152284529.4732001</v>
      </c>
      <c r="F152" s="10">
        <v>0</v>
      </c>
      <c r="G152" s="10">
        <f>243802*FX_RATE</f>
        <v>332398525.31080002</v>
      </c>
      <c r="H152" s="12">
        <f t="shared" si="73"/>
        <v>819886004.16240001</v>
      </c>
      <c r="I152" s="10">
        <v>193305378454.59</v>
      </c>
      <c r="J152" s="13">
        <f t="shared" si="66"/>
        <v>0.10304361374415176</v>
      </c>
      <c r="K152" s="10">
        <f>137949526*FX_RATE</f>
        <v>188079749180.58041</v>
      </c>
      <c r="L152" s="13">
        <f t="shared" si="74"/>
        <v>0.10243370331792269</v>
      </c>
      <c r="M152" s="13">
        <f t="shared" si="75"/>
        <v>-2.7033025753275416E-2</v>
      </c>
      <c r="N152" s="20">
        <f t="shared" si="76"/>
        <v>1.7673275658808714E-3</v>
      </c>
      <c r="O152" s="21">
        <f t="shared" si="77"/>
        <v>4.3592465841455659E-3</v>
      </c>
      <c r="P152" s="22">
        <f t="shared" si="78"/>
        <v>1716.2386804170999</v>
      </c>
      <c r="Q152" s="22">
        <f t="shared" si="79"/>
        <v>7.4815076051867369</v>
      </c>
      <c r="R152" s="10">
        <f>1.26*FX_RATE</f>
        <v>1717.8782040000001</v>
      </c>
      <c r="S152" s="10">
        <f>1.26*FX_RATE</f>
        <v>1717.8782040000001</v>
      </c>
      <c r="T152" s="10">
        <v>446</v>
      </c>
      <c r="U152" s="17">
        <v>111233800.03</v>
      </c>
      <c r="V152" s="17">
        <v>109588340.67</v>
      </c>
    </row>
    <row r="153" spans="1:22">
      <c r="A153" s="85">
        <v>137</v>
      </c>
      <c r="B153" s="25" t="s">
        <v>230</v>
      </c>
      <c r="C153" s="10" t="s">
        <v>210</v>
      </c>
      <c r="D153" s="42">
        <f>1694174.7*FX_RATE</f>
        <v>2309829992.7763801</v>
      </c>
      <c r="E153" s="10">
        <f>1794.43*FX_RATE</f>
        <v>2446517.6076220004</v>
      </c>
      <c r="F153" s="10">
        <v>0</v>
      </c>
      <c r="G153" s="10">
        <f>2537.09*FX_RATE</f>
        <v>3459056.8353860006</v>
      </c>
      <c r="H153" s="12">
        <f t="shared" ref="H153:H154" si="82">(E153+F153)-G153</f>
        <v>-1012539.2277640002</v>
      </c>
      <c r="I153" s="10">
        <v>1855637195.0256119</v>
      </c>
      <c r="J153" s="13">
        <f t="shared" si="66"/>
        <v>9.8916835062827025E-4</v>
      </c>
      <c r="K153" s="10">
        <f>1718684.25*FX_RATE</f>
        <v>2343246200.50245</v>
      </c>
      <c r="L153" s="13">
        <f t="shared" si="74"/>
        <v>1.2762000542262571E-3</v>
      </c>
      <c r="M153" s="13">
        <f t="shared" si="75"/>
        <v>0.26277173511285867</v>
      </c>
      <c r="N153" s="20">
        <f t="shared" si="76"/>
        <v>1.4761815615637372E-3</v>
      </c>
      <c r="O153" s="21">
        <f t="shared" si="77"/>
        <v>-4.3210962106623139E-4</v>
      </c>
      <c r="P153" s="22">
        <f t="shared" si="78"/>
        <v>156153.84772517477</v>
      </c>
      <c r="Q153" s="22">
        <f t="shared" si="79"/>
        <v>-67.475579968559273</v>
      </c>
      <c r="R153" s="10">
        <f>114.53*FX_RATE</f>
        <v>156149.675162</v>
      </c>
      <c r="S153" s="10">
        <f>114.53*FX_RATE</f>
        <v>156149.675162</v>
      </c>
      <c r="T153" s="10">
        <v>32</v>
      </c>
      <c r="U153" s="17">
        <v>11675.43</v>
      </c>
      <c r="V153" s="17">
        <v>15006.01</v>
      </c>
    </row>
    <row r="154" spans="1:22">
      <c r="A154" s="85">
        <v>138</v>
      </c>
      <c r="B154" s="25" t="s">
        <v>312</v>
      </c>
      <c r="C154" s="25" t="s">
        <v>92</v>
      </c>
      <c r="D154" s="42">
        <f>4353051.36*FX_RATE</f>
        <v>5934930200.1877451</v>
      </c>
      <c r="E154" s="10">
        <f>26138.32*FX_RATE</f>
        <v>35636865.251728006</v>
      </c>
      <c r="F154" s="10">
        <f>10352.9*FX_RATE</f>
        <v>14115096.23666</v>
      </c>
      <c r="G154" s="10">
        <f>6274.27*FX_RATE</f>
        <v>8554310.856358001</v>
      </c>
      <c r="H154" s="12">
        <f t="shared" si="82"/>
        <v>41197650.632030003</v>
      </c>
      <c r="I154" s="10">
        <v>5813834511.2801046</v>
      </c>
      <c r="J154" s="13">
        <f t="shared" si="66"/>
        <v>3.0991301046157799E-3</v>
      </c>
      <c r="K154" s="10">
        <f>4338701.22*FX_RATE</f>
        <v>5915365285.3223877</v>
      </c>
      <c r="L154" s="13">
        <f t="shared" si="74"/>
        <v>3.2216800335695909E-3</v>
      </c>
      <c r="M154" s="13">
        <f t="shared" si="75"/>
        <v>1.7463650512461484E-2</v>
      </c>
      <c r="N154" s="20">
        <f t="shared" si="76"/>
        <v>1.4461170939998494E-3</v>
      </c>
      <c r="O154" s="21">
        <f t="shared" si="77"/>
        <v>6.9645150628740472E-3</v>
      </c>
      <c r="P154" s="22">
        <f t="shared" si="78"/>
        <v>1597.1357867041738</v>
      </c>
      <c r="Q154" s="22">
        <f t="shared" si="79"/>
        <v>11.123276243956409</v>
      </c>
      <c r="R154" s="10">
        <f>1.17*FX_RATE</f>
        <v>1595.1726180000001</v>
      </c>
      <c r="S154" s="10">
        <f>1.17*FX_RATE</f>
        <v>1595.1726180000001</v>
      </c>
      <c r="T154" s="10">
        <v>58</v>
      </c>
      <c r="U154" s="17">
        <v>3604737.89</v>
      </c>
      <c r="V154" s="17">
        <v>3703733.48</v>
      </c>
    </row>
    <row r="155" spans="1:22">
      <c r="A155" s="85">
        <v>139</v>
      </c>
      <c r="B155" s="25" t="s">
        <v>289</v>
      </c>
      <c r="C155" s="10" t="s">
        <v>290</v>
      </c>
      <c r="D155" s="42">
        <f>1034570.96*FX_RATE</f>
        <v>1410529287.837584</v>
      </c>
      <c r="E155" s="10">
        <f>8964.96*FX_RATE</f>
        <v>12222785.225183999</v>
      </c>
      <c r="F155" s="10">
        <v>0</v>
      </c>
      <c r="G155" s="10">
        <f>2232.49*FX_RATE</f>
        <v>3043766.5965459999</v>
      </c>
      <c r="H155" s="12">
        <f t="shared" si="73"/>
        <v>9179018.6286379993</v>
      </c>
      <c r="I155" s="10">
        <v>1730225288.3358359</v>
      </c>
      <c r="J155" s="13">
        <f t="shared" si="66"/>
        <v>9.2231611829426605E-4</v>
      </c>
      <c r="K155" s="10">
        <f>1370703.62*FX_RATE</f>
        <v>1868811010.2713482</v>
      </c>
      <c r="L155" s="13">
        <f t="shared" si="74"/>
        <v>1.0178088466058423E-3</v>
      </c>
      <c r="M155" s="13">
        <f t="shared" si="75"/>
        <v>8.0096923140458048E-2</v>
      </c>
      <c r="N155" s="20">
        <f t="shared" si="76"/>
        <v>1.6287182490989551E-3</v>
      </c>
      <c r="O155" s="21">
        <f t="shared" si="77"/>
        <v>4.9116890783435724E-3</v>
      </c>
      <c r="P155" s="22">
        <f t="shared" si="78"/>
        <v>2056.4299295671926</v>
      </c>
      <c r="Q155" s="22">
        <f t="shared" si="79"/>
        <v>10.100544425434023</v>
      </c>
      <c r="R155" s="10">
        <f>1.5082*FX_RATE</f>
        <v>2056.2729422800003</v>
      </c>
      <c r="S155" s="10">
        <f>1.5082*FX_RATE</f>
        <v>2056.2729422800003</v>
      </c>
      <c r="T155" s="10">
        <v>12</v>
      </c>
      <c r="U155" s="17">
        <v>834157.67</v>
      </c>
      <c r="V155" s="17">
        <v>908764.74</v>
      </c>
    </row>
    <row r="156" spans="1:22" ht="15" customHeight="1">
      <c r="A156" s="109" t="s">
        <v>51</v>
      </c>
      <c r="B156" s="109"/>
      <c r="C156" s="109"/>
      <c r="D156" s="109"/>
      <c r="E156" s="109"/>
      <c r="F156" s="109"/>
      <c r="G156" s="109"/>
      <c r="H156" s="109"/>
      <c r="I156" s="36">
        <f>SUM(I118:I155)</f>
        <v>1875956902429.2012</v>
      </c>
      <c r="J156" s="34">
        <f>(I156/$I$240)</f>
        <v>0.23074625492072875</v>
      </c>
      <c r="K156" s="36">
        <f>SUM(K118:K155)</f>
        <v>1836111973779.1648</v>
      </c>
      <c r="L156" s="34">
        <f>(K156/$K$240)</f>
        <v>0.22090968783160483</v>
      </c>
      <c r="M156" s="34">
        <f t="shared" si="68"/>
        <v>-2.1239788930353706E-2</v>
      </c>
      <c r="N156" s="20"/>
      <c r="O156" s="20"/>
      <c r="P156" s="35"/>
      <c r="Q156" s="35"/>
      <c r="R156" s="36"/>
      <c r="S156" s="36"/>
      <c r="T156" s="38">
        <f>SUM(T118:T155)</f>
        <v>26845</v>
      </c>
      <c r="U156" s="38"/>
      <c r="V156" s="36"/>
    </row>
    <row r="157" spans="1:22" ht="4.2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</row>
    <row r="158" spans="1:22">
      <c r="A158" s="108" t="s">
        <v>153</v>
      </c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</row>
    <row r="159" spans="1:22">
      <c r="A159" s="85">
        <v>140</v>
      </c>
      <c r="B159" s="79" t="s">
        <v>226</v>
      </c>
      <c r="C159" s="79" t="s">
        <v>227</v>
      </c>
      <c r="D159" s="27">
        <v>2325684101.0599999</v>
      </c>
      <c r="E159" s="27">
        <v>51982047.140000001</v>
      </c>
      <c r="F159" s="27">
        <v>0</v>
      </c>
      <c r="G159" s="27">
        <v>7514298.3300000001</v>
      </c>
      <c r="H159" s="12">
        <f t="shared" ref="H159:H164" si="83">(E159+F159)-G159</f>
        <v>44467748.810000002</v>
      </c>
      <c r="I159" s="28">
        <v>2346854300.8000002</v>
      </c>
      <c r="J159" s="13">
        <f>(I159/$I$165)</f>
        <v>4.5714934380643515E-3</v>
      </c>
      <c r="K159" s="28">
        <v>2391310118.9299998</v>
      </c>
      <c r="L159" s="13">
        <f>(K159/$K$165)</f>
        <v>4.7674842862065686E-3</v>
      </c>
      <c r="M159" s="13">
        <f t="shared" ref="M159:M165" si="84">((K159-I159)/I159)</f>
        <v>1.8942726063073217E-2</v>
      </c>
      <c r="N159" s="20">
        <f>(G159/K159)</f>
        <v>3.1423353543798406E-3</v>
      </c>
      <c r="O159" s="21">
        <f>H159/K159</f>
        <v>1.8595559169840025E-2</v>
      </c>
      <c r="P159" s="22">
        <f>K159/V159</f>
        <v>112.69133453958528</v>
      </c>
      <c r="Q159" s="22">
        <f>H159/V159</f>
        <v>2.0955583793590953</v>
      </c>
      <c r="R159" s="27">
        <v>112.69</v>
      </c>
      <c r="S159" s="27">
        <v>112.69</v>
      </c>
      <c r="T159" s="27">
        <v>8</v>
      </c>
      <c r="U159" s="27">
        <v>21220000</v>
      </c>
      <c r="V159" s="27">
        <v>21220000</v>
      </c>
    </row>
    <row r="160" spans="1:22">
      <c r="A160" s="85">
        <v>141</v>
      </c>
      <c r="B160" s="79" t="s">
        <v>280</v>
      </c>
      <c r="C160" s="79" t="s">
        <v>58</v>
      </c>
      <c r="D160" s="27">
        <v>30570704436</v>
      </c>
      <c r="E160" s="27">
        <v>2902852990</v>
      </c>
      <c r="F160" s="27">
        <v>0</v>
      </c>
      <c r="G160" s="27">
        <v>550693370</v>
      </c>
      <c r="H160" s="12">
        <f t="shared" si="83"/>
        <v>2352159620</v>
      </c>
      <c r="I160" s="28">
        <v>270428816236</v>
      </c>
      <c r="J160" s="13">
        <f t="shared" ref="J160:J164" si="85">(I160/$I$165)</f>
        <v>0.5267747377691766</v>
      </c>
      <c r="K160" s="28">
        <v>257469354459</v>
      </c>
      <c r="L160" s="13">
        <f t="shared" ref="L160:L164" si="86">(K160/$K$165)</f>
        <v>0.51330904003043842</v>
      </c>
      <c r="M160" s="13">
        <f t="shared" ref="M160:M164" si="87">((K160-I160)/I160)</f>
        <v>-4.7921896628391969E-2</v>
      </c>
      <c r="N160" s="20">
        <f t="shared" ref="N160:N164" si="88">(G160/K160)</f>
        <v>2.1388695798656445E-3</v>
      </c>
      <c r="O160" s="21">
        <f t="shared" ref="O160:O164" si="89">H160/K160</f>
        <v>9.1356877207479977E-3</v>
      </c>
      <c r="P160" s="22">
        <f t="shared" ref="P160:P164" si="90">K160/V160</f>
        <v>102.9877417836</v>
      </c>
      <c r="Q160" s="22">
        <f t="shared" ref="Q160:Q164" si="91">H160/V160</f>
        <v>0.940863848</v>
      </c>
      <c r="R160" s="27">
        <v>102.9877</v>
      </c>
      <c r="S160" s="27">
        <v>102.9877</v>
      </c>
      <c r="T160" s="27">
        <v>45</v>
      </c>
      <c r="U160" s="27">
        <v>2500000000</v>
      </c>
      <c r="V160" s="27">
        <v>2500000000</v>
      </c>
    </row>
    <row r="161" spans="1:22">
      <c r="A161" s="85">
        <v>142</v>
      </c>
      <c r="B161" s="25" t="s">
        <v>154</v>
      </c>
      <c r="C161" s="25" t="s">
        <v>44</v>
      </c>
      <c r="D161" s="27">
        <v>175826138797</v>
      </c>
      <c r="E161" s="27">
        <v>1311937915</v>
      </c>
      <c r="F161" s="27">
        <v>0</v>
      </c>
      <c r="G161" s="27">
        <v>485921855</v>
      </c>
      <c r="H161" s="12">
        <f t="shared" si="83"/>
        <v>826016060</v>
      </c>
      <c r="I161" s="28">
        <v>172576360793</v>
      </c>
      <c r="J161" s="13">
        <f t="shared" si="85"/>
        <v>0.33616560715392213</v>
      </c>
      <c r="K161" s="28">
        <v>173361201216</v>
      </c>
      <c r="L161" s="13">
        <f t="shared" si="86"/>
        <v>0.34562510152593423</v>
      </c>
      <c r="M161" s="13">
        <f t="shared" si="87"/>
        <v>4.5477863792793257E-3</v>
      </c>
      <c r="N161" s="20">
        <f t="shared" si="88"/>
        <v>2.8029446703854107E-3</v>
      </c>
      <c r="O161" s="21">
        <f t="shared" si="89"/>
        <v>4.7647112168473175E-3</v>
      </c>
      <c r="P161" s="22">
        <f t="shared" si="90"/>
        <v>104.63773172966972</v>
      </c>
      <c r="Q161" s="22">
        <f t="shared" si="91"/>
        <v>0.49856857407781779</v>
      </c>
      <c r="R161" s="27">
        <v>103</v>
      </c>
      <c r="S161" s="27">
        <v>103</v>
      </c>
      <c r="T161" s="27">
        <v>1111</v>
      </c>
      <c r="U161" s="27">
        <v>1656775222</v>
      </c>
      <c r="V161" s="27">
        <v>1656775222</v>
      </c>
    </row>
    <row r="162" spans="1:22">
      <c r="A162" s="85">
        <v>143</v>
      </c>
      <c r="B162" s="25" t="s">
        <v>155</v>
      </c>
      <c r="C162" s="25" t="s">
        <v>122</v>
      </c>
      <c r="D162" s="27">
        <v>6717793034.5799999</v>
      </c>
      <c r="E162" s="27">
        <v>39420892.43</v>
      </c>
      <c r="F162" s="27">
        <v>0</v>
      </c>
      <c r="G162" s="27">
        <v>13771792.15</v>
      </c>
      <c r="H162" s="12">
        <f t="shared" si="83"/>
        <v>25649100.280000001</v>
      </c>
      <c r="I162" s="28">
        <v>6491838003.4200001</v>
      </c>
      <c r="J162" s="13">
        <f t="shared" si="85"/>
        <v>1.2645606002679766E-2</v>
      </c>
      <c r="K162" s="28">
        <v>6517487103.6999998</v>
      </c>
      <c r="L162" s="13">
        <f t="shared" si="86"/>
        <v>1.2993721352355166E-2</v>
      </c>
      <c r="M162" s="13">
        <f t="shared" si="87"/>
        <v>3.9509766365838752E-3</v>
      </c>
      <c r="N162" s="20">
        <f t="shared" si="88"/>
        <v>2.1130524588505446E-3</v>
      </c>
      <c r="O162" s="21">
        <f t="shared" si="89"/>
        <v>3.9354278530814302E-3</v>
      </c>
      <c r="P162" s="22">
        <f t="shared" si="90"/>
        <v>325.87435518500001</v>
      </c>
      <c r="Q162" s="22">
        <f t="shared" si="91"/>
        <v>1.2824550139999999</v>
      </c>
      <c r="R162" s="27">
        <v>418.75</v>
      </c>
      <c r="S162" s="27">
        <v>418.75</v>
      </c>
      <c r="T162" s="27">
        <v>4897</v>
      </c>
      <c r="U162" s="27">
        <v>20000000</v>
      </c>
      <c r="V162" s="27">
        <v>20000000</v>
      </c>
    </row>
    <row r="163" spans="1:22">
      <c r="A163" s="85">
        <v>144</v>
      </c>
      <c r="B163" s="25" t="s">
        <v>156</v>
      </c>
      <c r="C163" s="25" t="s">
        <v>122</v>
      </c>
      <c r="D163" s="27">
        <v>28884761278.560001</v>
      </c>
      <c r="E163" s="27">
        <v>99321366.030000001</v>
      </c>
      <c r="F163" s="27">
        <v>0</v>
      </c>
      <c r="G163" s="27">
        <v>35912936.57</v>
      </c>
      <c r="H163" s="12">
        <f t="shared" si="83"/>
        <v>63408429.460000001</v>
      </c>
      <c r="I163" s="28">
        <v>27912333327.880001</v>
      </c>
      <c r="J163" s="13">
        <f t="shared" si="85"/>
        <v>5.4371099478127564E-2</v>
      </c>
      <c r="K163" s="28">
        <v>27972286463.360001</v>
      </c>
      <c r="L163" s="13">
        <f t="shared" si="86"/>
        <v>5.5767520535148649E-2</v>
      </c>
      <c r="M163" s="13">
        <f t="shared" si="87"/>
        <v>2.1479084093666886E-3</v>
      </c>
      <c r="N163" s="20">
        <f t="shared" si="88"/>
        <v>1.2838756179993081E-3</v>
      </c>
      <c r="O163" s="21">
        <f t="shared" si="89"/>
        <v>2.266830405267609E-3</v>
      </c>
      <c r="P163" s="22">
        <f t="shared" si="90"/>
        <v>148.68826191846313</v>
      </c>
      <c r="Q163" s="22">
        <f t="shared" si="91"/>
        <v>0.33705107302316617</v>
      </c>
      <c r="R163" s="27">
        <v>69.25</v>
      </c>
      <c r="S163" s="27">
        <v>69.25</v>
      </c>
      <c r="T163" s="27">
        <v>6424</v>
      </c>
      <c r="U163" s="27">
        <v>188127066</v>
      </c>
      <c r="V163" s="27">
        <v>188127066</v>
      </c>
    </row>
    <row r="164" spans="1:22" ht="16.05" customHeight="1">
      <c r="A164" s="85">
        <v>145</v>
      </c>
      <c r="B164" s="25" t="s">
        <v>157</v>
      </c>
      <c r="C164" s="10" t="s">
        <v>158</v>
      </c>
      <c r="D164" s="27">
        <v>35258130160.989998</v>
      </c>
      <c r="E164" s="27">
        <v>344273576.38999999</v>
      </c>
      <c r="F164" s="27">
        <v>0</v>
      </c>
      <c r="G164" s="27">
        <v>79389165.25</v>
      </c>
      <c r="H164" s="12">
        <f t="shared" si="83"/>
        <v>264884411.13999999</v>
      </c>
      <c r="I164" s="28">
        <v>33610891177.209999</v>
      </c>
      <c r="J164" s="13">
        <f t="shared" si="85"/>
        <v>6.5471456158029642E-2</v>
      </c>
      <c r="K164" s="28">
        <v>33875775588.360001</v>
      </c>
      <c r="L164" s="13">
        <f t="shared" si="86"/>
        <v>6.7537132269917019E-2</v>
      </c>
      <c r="M164" s="13">
        <f t="shared" si="87"/>
        <v>7.8809100821940568E-3</v>
      </c>
      <c r="N164" s="20">
        <f t="shared" si="88"/>
        <v>2.3435379373949678E-3</v>
      </c>
      <c r="O164" s="21">
        <f t="shared" si="89"/>
        <v>7.8192869842666126E-3</v>
      </c>
      <c r="P164" s="22">
        <f t="shared" si="90"/>
        <v>1.8252063826166318</v>
      </c>
      <c r="Q164" s="22">
        <f t="shared" si="91"/>
        <v>1.4271812511194576E-2</v>
      </c>
      <c r="R164" s="27">
        <v>7.5</v>
      </c>
      <c r="S164" s="27">
        <v>7.5</v>
      </c>
      <c r="T164" s="27">
        <v>211092</v>
      </c>
      <c r="U164" s="27">
        <v>18559969936</v>
      </c>
      <c r="V164" s="27">
        <v>18559969936</v>
      </c>
    </row>
    <row r="165" spans="1:22" ht="15" customHeight="1">
      <c r="A165" s="109" t="s">
        <v>51</v>
      </c>
      <c r="B165" s="109"/>
      <c r="C165" s="109"/>
      <c r="D165" s="109"/>
      <c r="E165" s="109"/>
      <c r="F165" s="109"/>
      <c r="G165" s="109"/>
      <c r="H165" s="109"/>
      <c r="I165" s="36">
        <f>SUM(I159:I164)</f>
        <v>513367093838.31</v>
      </c>
      <c r="J165" s="34">
        <f>(I165/$I$240)</f>
        <v>6.314512564192501E-2</v>
      </c>
      <c r="K165" s="36">
        <f>SUM(K159:K164)</f>
        <v>501587414949.34998</v>
      </c>
      <c r="L165" s="34">
        <f>(K165/$K$240)</f>
        <v>6.0347909517009385E-2</v>
      </c>
      <c r="M165" s="34">
        <f t="shared" si="84"/>
        <v>-2.2945917317930289E-2</v>
      </c>
      <c r="N165" s="20"/>
      <c r="O165" s="20"/>
      <c r="P165" s="37"/>
      <c r="Q165" s="37"/>
      <c r="R165" s="36"/>
      <c r="S165" s="36"/>
      <c r="T165" s="36">
        <f>SUM(T159:T164)</f>
        <v>223577</v>
      </c>
      <c r="U165" s="36"/>
      <c r="V165" s="36"/>
    </row>
    <row r="166" spans="1:22" ht="4.9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</row>
    <row r="167" spans="1:22" ht="13.95" customHeight="1">
      <c r="A167" s="116" t="s">
        <v>301</v>
      </c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8"/>
    </row>
    <row r="168" spans="1:22">
      <c r="A168" s="85">
        <v>146</v>
      </c>
      <c r="B168" s="25" t="s">
        <v>160</v>
      </c>
      <c r="C168" s="25" t="s">
        <v>55</v>
      </c>
      <c r="D168" s="29">
        <v>742141825.91999996</v>
      </c>
      <c r="E168" s="29">
        <v>10020969</v>
      </c>
      <c r="F168" s="29">
        <v>41836661.450000003</v>
      </c>
      <c r="G168" s="10">
        <v>1407524.67</v>
      </c>
      <c r="H168" s="12">
        <f>(E168+F168)-G168</f>
        <v>50450105.780000001</v>
      </c>
      <c r="I168" s="10">
        <v>645879862.61000001</v>
      </c>
      <c r="J168" s="13">
        <f t="shared" ref="J168:J196" si="92">(I168/$I$197)</f>
        <v>6.8325283320931404E-3</v>
      </c>
      <c r="K168" s="10">
        <v>777641357.58000004</v>
      </c>
      <c r="L168" s="13">
        <f t="shared" ref="L168" si="93">(K168/$K$197)</f>
        <v>6.7528530225129009E-3</v>
      </c>
      <c r="M168" s="13">
        <f t="shared" ref="M168:M197" si="94">((K168-I168)/I168)</f>
        <v>0.2040031011921504</v>
      </c>
      <c r="N168" s="20">
        <f t="shared" ref="N168" si="95">(G168/K168)</f>
        <v>1.8099920436075835E-3</v>
      </c>
      <c r="O168" s="21">
        <f t="shared" ref="O168" si="96">H168/K168</f>
        <v>6.4875800763734379E-2</v>
      </c>
      <c r="P168" s="22">
        <f t="shared" ref="P168" si="97">K168/V168</f>
        <v>8.9140431108908942</v>
      </c>
      <c r="Q168" s="22">
        <f t="shared" ref="Q168" si="98">H168/V168</f>
        <v>0.57830568486149658</v>
      </c>
      <c r="R168" s="10">
        <v>8.7655999999999992</v>
      </c>
      <c r="S168" s="10">
        <v>8.8956999999999997</v>
      </c>
      <c r="T168" s="10">
        <v>11915</v>
      </c>
      <c r="U168" s="10">
        <v>78614888.950000003</v>
      </c>
      <c r="V168" s="10">
        <v>87237782.890000001</v>
      </c>
    </row>
    <row r="169" spans="1:22">
      <c r="A169" s="85">
        <v>147</v>
      </c>
      <c r="B169" s="25" t="s">
        <v>220</v>
      </c>
      <c r="C169" s="25" t="s">
        <v>221</v>
      </c>
      <c r="D169" s="29">
        <v>1431080932.75</v>
      </c>
      <c r="E169" s="29">
        <v>6674613.25</v>
      </c>
      <c r="F169" s="29">
        <v>889718027.24000001</v>
      </c>
      <c r="G169" s="10">
        <v>2409832.04</v>
      </c>
      <c r="H169" s="12">
        <f>(E169+F169)-G169</f>
        <v>893982808.45000005</v>
      </c>
      <c r="I169" s="10">
        <v>2384930909.0100002</v>
      </c>
      <c r="J169" s="13">
        <f t="shared" si="92"/>
        <v>2.5229317322337557E-2</v>
      </c>
      <c r="K169" s="10">
        <v>2663776860.71</v>
      </c>
      <c r="L169" s="13">
        <f t="shared" ref="L169:L196" si="99">(K169/$K$197)</f>
        <v>2.3131606170129552E-2</v>
      </c>
      <c r="M169" s="13">
        <f t="shared" ref="M169:M196" si="100">((K169-I169)/I169)</f>
        <v>0.11691992864302744</v>
      </c>
      <c r="N169" s="20">
        <f t="shared" ref="N169:N196" si="101">(G169/K169)</f>
        <v>9.0466738244647342E-4</v>
      </c>
      <c r="O169" s="21">
        <f t="shared" ref="O169:O196" si="102">H169/K169</f>
        <v>0.33560724309757645</v>
      </c>
      <c r="P169" s="22">
        <f t="shared" ref="P169:P196" si="103">K169/V169</f>
        <v>2716.3075320727548</v>
      </c>
      <c r="Q169" s="22">
        <f t="shared" ref="Q169:Q196" si="104">H169/V169</f>
        <v>911.61248224411906</v>
      </c>
      <c r="R169" s="10">
        <v>2703.51</v>
      </c>
      <c r="S169" s="10">
        <v>2724.89</v>
      </c>
      <c r="T169" s="10">
        <v>197</v>
      </c>
      <c r="U169" s="10">
        <v>981532</v>
      </c>
      <c r="V169" s="10">
        <v>980661</v>
      </c>
    </row>
    <row r="170" spans="1:22">
      <c r="A170" s="85">
        <v>148</v>
      </c>
      <c r="B170" s="25" t="s">
        <v>161</v>
      </c>
      <c r="C170" s="10" t="s">
        <v>58</v>
      </c>
      <c r="D170" s="29">
        <v>10220453967</v>
      </c>
      <c r="E170" s="29">
        <v>54775575</v>
      </c>
      <c r="F170" s="29">
        <v>1104295395</v>
      </c>
      <c r="G170" s="10">
        <v>78682318</v>
      </c>
      <c r="H170" s="12">
        <f t="shared" ref="H170:H196" si="105">(E170+F170)-G170</f>
        <v>1080388652</v>
      </c>
      <c r="I170" s="10">
        <v>10740929533</v>
      </c>
      <c r="J170" s="13">
        <f t="shared" si="92"/>
        <v>0.11362438991467977</v>
      </c>
      <c r="K170" s="10">
        <v>12208302063</v>
      </c>
      <c r="L170" s="13">
        <f t="shared" si="99"/>
        <v>0.1060139982040486</v>
      </c>
      <c r="M170" s="13">
        <f t="shared" si="100"/>
        <v>0.13661504113696152</v>
      </c>
      <c r="N170" s="20">
        <f t="shared" si="101"/>
        <v>6.4449845354387506E-3</v>
      </c>
      <c r="O170" s="21">
        <f t="shared" si="102"/>
        <v>8.8496225472202261E-2</v>
      </c>
      <c r="P170" s="22">
        <f t="shared" si="103"/>
        <v>1207.1368084855822</v>
      </c>
      <c r="Q170" s="22">
        <f t="shared" si="104"/>
        <v>106.82705117953471</v>
      </c>
      <c r="R170" s="10">
        <v>1201.1011000000001</v>
      </c>
      <c r="S170" s="10">
        <v>1237.3152</v>
      </c>
      <c r="T170" s="10">
        <v>22547</v>
      </c>
      <c r="U170" s="10">
        <v>9786362</v>
      </c>
      <c r="V170" s="10">
        <v>10113437</v>
      </c>
    </row>
    <row r="171" spans="1:22">
      <c r="A171" s="85">
        <v>149</v>
      </c>
      <c r="B171" s="25" t="s">
        <v>162</v>
      </c>
      <c r="C171" s="25" t="s">
        <v>105</v>
      </c>
      <c r="D171" s="29">
        <v>3222602137.1799998</v>
      </c>
      <c r="E171" s="29">
        <v>18271769.23</v>
      </c>
      <c r="F171" s="29">
        <v>337159745.75</v>
      </c>
      <c r="G171" s="10">
        <v>4568558.22</v>
      </c>
      <c r="H171" s="12">
        <f t="shared" si="105"/>
        <v>350862956.75999999</v>
      </c>
      <c r="I171" s="10">
        <v>2759579826.25</v>
      </c>
      <c r="J171" s="13">
        <f t="shared" si="92"/>
        <v>2.9192592057806423E-2</v>
      </c>
      <c r="K171" s="10">
        <v>3103506838.0100002</v>
      </c>
      <c r="L171" s="13">
        <f t="shared" si="99"/>
        <v>2.6950116949366696E-2</v>
      </c>
      <c r="M171" s="13">
        <f t="shared" si="100"/>
        <v>0.12463020945741711</v>
      </c>
      <c r="N171" s="20">
        <f t="shared" si="101"/>
        <v>1.4720632041298821E-3</v>
      </c>
      <c r="O171" s="21">
        <f t="shared" si="102"/>
        <v>0.11305370829631452</v>
      </c>
      <c r="P171" s="22">
        <f t="shared" si="103"/>
        <v>7.492574236028509</v>
      </c>
      <c r="Q171" s="22">
        <f t="shared" si="104"/>
        <v>0.84706330206844871</v>
      </c>
      <c r="R171" s="10">
        <v>7.2042999999999999</v>
      </c>
      <c r="S171" s="10">
        <v>7.3893000000000004</v>
      </c>
      <c r="T171" s="10">
        <v>2732</v>
      </c>
      <c r="U171" s="10">
        <v>414330090.83999997</v>
      </c>
      <c r="V171" s="10">
        <v>414211022.83999997</v>
      </c>
    </row>
    <row r="172" spans="1:22">
      <c r="A172" s="85">
        <v>150</v>
      </c>
      <c r="B172" s="25" t="s">
        <v>276</v>
      </c>
      <c r="C172" s="10" t="s">
        <v>103</v>
      </c>
      <c r="D172" s="29">
        <v>1491302986.7</v>
      </c>
      <c r="E172" s="29">
        <v>3056959.15</v>
      </c>
      <c r="F172" s="29">
        <v>162351557.96000001</v>
      </c>
      <c r="G172" s="10">
        <v>2011224.76</v>
      </c>
      <c r="H172" s="12">
        <f t="shared" ref="H172" si="106">(E172+F172)-G172</f>
        <v>163397292.35000002</v>
      </c>
      <c r="I172" s="10">
        <v>1279327442.8399999</v>
      </c>
      <c r="J172" s="13">
        <f t="shared" si="92"/>
        <v>1.3533540067197678E-2</v>
      </c>
      <c r="K172" s="10">
        <v>1509680414.24</v>
      </c>
      <c r="L172" s="13">
        <f t="shared" si="99"/>
        <v>1.3109706484817888E-2</v>
      </c>
      <c r="M172" s="13">
        <f t="shared" si="100"/>
        <v>0.18005786766258666</v>
      </c>
      <c r="N172" s="20">
        <f t="shared" si="101"/>
        <v>1.3322188862153891E-3</v>
      </c>
      <c r="O172" s="21">
        <f t="shared" si="102"/>
        <v>0.10823303449442784</v>
      </c>
      <c r="P172" s="22">
        <f t="shared" si="103"/>
        <v>1.4896018179545218</v>
      </c>
      <c r="Q172" s="22">
        <f t="shared" si="104"/>
        <v>0.16122412494563415</v>
      </c>
      <c r="R172" s="10">
        <v>1.4903</v>
      </c>
      <c r="S172" s="10">
        <v>1.5027999999999999</v>
      </c>
      <c r="T172" s="10">
        <v>292</v>
      </c>
      <c r="U172" s="10">
        <v>967577804.52999997</v>
      </c>
      <c r="V172" s="10">
        <v>1013479170.1</v>
      </c>
    </row>
    <row r="173" spans="1:22">
      <c r="A173" s="85">
        <v>151</v>
      </c>
      <c r="B173" s="25" t="s">
        <v>163</v>
      </c>
      <c r="C173" s="25" t="s">
        <v>60</v>
      </c>
      <c r="D173" s="29">
        <v>8761371829.0100002</v>
      </c>
      <c r="E173" s="29">
        <v>265298870.62</v>
      </c>
      <c r="F173" s="29">
        <v>2831956750.0500002</v>
      </c>
      <c r="G173" s="10">
        <v>18584428.82</v>
      </c>
      <c r="H173" s="12">
        <f t="shared" si="105"/>
        <v>3078671191.8499999</v>
      </c>
      <c r="I173" s="10">
        <v>6963815878.8400002</v>
      </c>
      <c r="J173" s="13">
        <f t="shared" si="92"/>
        <v>7.3667677297418369E-2</v>
      </c>
      <c r="K173" s="10">
        <v>8718612334.3700008</v>
      </c>
      <c r="L173" s="13">
        <f t="shared" si="99"/>
        <v>7.5710360669972332E-2</v>
      </c>
      <c r="M173" s="13">
        <f t="shared" si="100"/>
        <v>0.25198777309177028</v>
      </c>
      <c r="N173" s="20">
        <f t="shared" si="101"/>
        <v>2.1315810483667863E-3</v>
      </c>
      <c r="O173" s="21">
        <f t="shared" si="102"/>
        <v>0.35311481618622304</v>
      </c>
      <c r="P173" s="22">
        <f t="shared" si="103"/>
        <v>13427.699188991895</v>
      </c>
      <c r="Q173" s="22">
        <f t="shared" si="104"/>
        <v>4741.5195309247702</v>
      </c>
      <c r="R173" s="10">
        <v>13427.7</v>
      </c>
      <c r="S173" s="10">
        <v>13528.96</v>
      </c>
      <c r="T173" s="10">
        <v>1528</v>
      </c>
      <c r="U173" s="10">
        <v>590009.52</v>
      </c>
      <c r="V173" s="10">
        <v>649300.54</v>
      </c>
    </row>
    <row r="174" spans="1:22" ht="14.1" customHeight="1">
      <c r="A174" s="85">
        <v>152</v>
      </c>
      <c r="B174" s="25" t="s">
        <v>164</v>
      </c>
      <c r="C174" s="10" t="s">
        <v>62</v>
      </c>
      <c r="D174" s="29">
        <v>1337949717.29</v>
      </c>
      <c r="E174" s="29">
        <v>8557842.8000000007</v>
      </c>
      <c r="F174" s="29">
        <v>152736672.59999999</v>
      </c>
      <c r="G174" s="10">
        <v>2557029.64</v>
      </c>
      <c r="H174" s="12">
        <f t="shared" si="105"/>
        <v>158737485.76000002</v>
      </c>
      <c r="I174" s="10">
        <v>1388864688.4300001</v>
      </c>
      <c r="J174" s="13">
        <f t="shared" si="92"/>
        <v>1.4692294778776347E-2</v>
      </c>
      <c r="K174" s="10">
        <v>1603109044.47</v>
      </c>
      <c r="L174" s="13">
        <f t="shared" si="99"/>
        <v>1.3921018540032224E-2</v>
      </c>
      <c r="M174" s="13">
        <f t="shared" si="100"/>
        <v>0.15425862420203512</v>
      </c>
      <c r="N174" s="20">
        <f t="shared" si="101"/>
        <v>1.5950441105803714E-3</v>
      </c>
      <c r="O174" s="21">
        <f t="shared" si="102"/>
        <v>9.9018520485286032E-2</v>
      </c>
      <c r="P174" s="22">
        <f t="shared" si="103"/>
        <v>268.42244717477382</v>
      </c>
      <c r="Q174" s="22">
        <f t="shared" si="104"/>
        <v>26.57879358428595</v>
      </c>
      <c r="R174" s="10">
        <v>272.12</v>
      </c>
      <c r="S174" s="10">
        <v>274.33</v>
      </c>
      <c r="T174" s="10">
        <v>542</v>
      </c>
      <c r="U174" s="10">
        <v>5651006</v>
      </c>
      <c r="V174" s="10">
        <v>5972336</v>
      </c>
    </row>
    <row r="175" spans="1:22">
      <c r="A175" s="85">
        <v>153</v>
      </c>
      <c r="B175" s="25" t="s">
        <v>165</v>
      </c>
      <c r="C175" s="10" t="s">
        <v>64</v>
      </c>
      <c r="D175" s="29">
        <v>4220957613.8800001</v>
      </c>
      <c r="E175" s="29">
        <v>30554089.98</v>
      </c>
      <c r="F175" s="29">
        <v>727417682.25</v>
      </c>
      <c r="G175" s="10">
        <v>7766541.8700000001</v>
      </c>
      <c r="H175" s="12">
        <f t="shared" si="105"/>
        <v>750205230.36000001</v>
      </c>
      <c r="I175" s="10">
        <v>1490792980.6300001</v>
      </c>
      <c r="J175" s="13">
        <f t="shared" si="92"/>
        <v>1.5770557137791696E-2</v>
      </c>
      <c r="K175" s="10">
        <v>4264980109.0799999</v>
      </c>
      <c r="L175" s="13">
        <f t="shared" si="99"/>
        <v>3.7036075229056206E-2</v>
      </c>
      <c r="M175" s="13">
        <f t="shared" si="100"/>
        <v>1.8608801922837368</v>
      </c>
      <c r="N175" s="20">
        <f t="shared" si="101"/>
        <v>1.821003069502081E-3</v>
      </c>
      <c r="O175" s="21">
        <f t="shared" si="102"/>
        <v>0.1758988813952117</v>
      </c>
      <c r="P175" s="22">
        <f t="shared" si="103"/>
        <v>2.5992603879137821</v>
      </c>
      <c r="Q175" s="22">
        <f t="shared" si="104"/>
        <v>0.45720699468891834</v>
      </c>
      <c r="R175" s="10">
        <v>2.5695999999999999</v>
      </c>
      <c r="S175" s="10">
        <v>2.6183000000000001</v>
      </c>
      <c r="T175" s="10">
        <v>4264</v>
      </c>
      <c r="U175" s="10">
        <v>660311535.21000004</v>
      </c>
      <c r="V175" s="10">
        <v>1640843729.5899999</v>
      </c>
    </row>
    <row r="176" spans="1:22">
      <c r="A176" s="85">
        <v>154</v>
      </c>
      <c r="B176" s="25" t="s">
        <v>222</v>
      </c>
      <c r="C176" s="25" t="s">
        <v>48</v>
      </c>
      <c r="D176" s="29">
        <v>599258533.51999998</v>
      </c>
      <c r="E176" s="29">
        <v>2236349.0699999998</v>
      </c>
      <c r="F176" s="29">
        <v>0</v>
      </c>
      <c r="G176" s="10">
        <v>1395869.99</v>
      </c>
      <c r="H176" s="12">
        <f>(E176+F176)-G176</f>
        <v>840479.07999999984</v>
      </c>
      <c r="I176" s="10">
        <v>237153299.63999999</v>
      </c>
      <c r="J176" s="13">
        <f t="shared" si="92"/>
        <v>2.5087585674088272E-3</v>
      </c>
      <c r="K176" s="10">
        <v>675719730.14999998</v>
      </c>
      <c r="L176" s="13">
        <f t="shared" si="99"/>
        <v>5.8677897949191904E-3</v>
      </c>
      <c r="M176" s="13">
        <f t="shared" si="100"/>
        <v>1.8492950811805959</v>
      </c>
      <c r="N176" s="20">
        <f t="shared" si="101"/>
        <v>2.0657528968262289E-3</v>
      </c>
      <c r="O176" s="21">
        <f t="shared" si="102"/>
        <v>1.2438279400446479E-3</v>
      </c>
      <c r="P176" s="22">
        <f t="shared" si="103"/>
        <v>632.2009689485742</v>
      </c>
      <c r="Q176" s="22">
        <f t="shared" si="104"/>
        <v>0.78634922890153547</v>
      </c>
      <c r="R176" s="10">
        <v>248.56</v>
      </c>
      <c r="S176" s="10">
        <v>248.56</v>
      </c>
      <c r="T176" s="10">
        <v>187</v>
      </c>
      <c r="U176" s="10">
        <v>963914.23</v>
      </c>
      <c r="V176" s="10">
        <v>1068836.9099999999</v>
      </c>
    </row>
    <row r="177" spans="1:22">
      <c r="A177" s="85">
        <v>155</v>
      </c>
      <c r="B177" s="25" t="s">
        <v>166</v>
      </c>
      <c r="C177" s="25" t="s">
        <v>167</v>
      </c>
      <c r="D177" s="29">
        <v>750912766.90999997</v>
      </c>
      <c r="E177" s="29">
        <v>6208061.8899999997</v>
      </c>
      <c r="F177" s="29">
        <v>0</v>
      </c>
      <c r="G177" s="10">
        <v>1742579.31</v>
      </c>
      <c r="H177" s="12">
        <f>(E177+F177)-G177</f>
        <v>4465482.58</v>
      </c>
      <c r="I177" s="10">
        <v>842902918.60000002</v>
      </c>
      <c r="J177" s="13">
        <f t="shared" si="92"/>
        <v>8.9167636366084321E-3</v>
      </c>
      <c r="K177" s="10">
        <v>1060069274.3</v>
      </c>
      <c r="L177" s="13">
        <f t="shared" si="99"/>
        <v>9.2053900339185354E-3</v>
      </c>
      <c r="M177" s="13">
        <f t="shared" si="100"/>
        <v>0.25764100575271154</v>
      </c>
      <c r="N177" s="20">
        <f t="shared" si="101"/>
        <v>1.6438353155275487E-3</v>
      </c>
      <c r="O177" s="21">
        <f t="shared" si="102"/>
        <v>4.2124441187569662E-3</v>
      </c>
      <c r="P177" s="22">
        <f t="shared" si="103"/>
        <v>186.91402962605355</v>
      </c>
      <c r="Q177" s="22">
        <f t="shared" si="104"/>
        <v>0.78736490481143462</v>
      </c>
      <c r="R177" s="10">
        <v>175.05</v>
      </c>
      <c r="S177" s="10">
        <v>176.13</v>
      </c>
      <c r="T177" s="10">
        <v>142</v>
      </c>
      <c r="U177" s="10">
        <v>4784374</v>
      </c>
      <c r="V177" s="10">
        <v>5671427</v>
      </c>
    </row>
    <row r="178" spans="1:22">
      <c r="A178" s="85">
        <v>156</v>
      </c>
      <c r="B178" s="25" t="s">
        <v>168</v>
      </c>
      <c r="C178" s="10" t="s">
        <v>69</v>
      </c>
      <c r="D178" s="29">
        <v>720558526.44000006</v>
      </c>
      <c r="E178" s="29">
        <v>3519394.97</v>
      </c>
      <c r="F178" s="29">
        <v>100147872.09999999</v>
      </c>
      <c r="G178" s="10">
        <v>1117462.5900000001</v>
      </c>
      <c r="H178" s="12">
        <f t="shared" si="105"/>
        <v>102549804.47999999</v>
      </c>
      <c r="I178" s="10">
        <v>596509105</v>
      </c>
      <c r="J178" s="13">
        <f t="shared" si="92"/>
        <v>6.3102530303302245E-3</v>
      </c>
      <c r="K178" s="10">
        <v>304823434.22000003</v>
      </c>
      <c r="L178" s="13">
        <f t="shared" si="99"/>
        <v>2.6470143711376983E-3</v>
      </c>
      <c r="M178" s="13">
        <f t="shared" si="100"/>
        <v>-0.48898779303628565</v>
      </c>
      <c r="N178" s="20">
        <f t="shared" si="101"/>
        <v>3.6659339950664504E-3</v>
      </c>
      <c r="O178" s="21">
        <f t="shared" si="102"/>
        <v>0.33642362419546384</v>
      </c>
      <c r="P178" s="22">
        <f t="shared" si="103"/>
        <v>0.9339643249334505</v>
      </c>
      <c r="Q178" s="22">
        <f t="shared" si="104"/>
        <v>0.31420766306338127</v>
      </c>
      <c r="R178" s="10">
        <v>2.2610999999999999</v>
      </c>
      <c r="S178" s="10">
        <v>1.2887</v>
      </c>
      <c r="T178" s="10">
        <v>326</v>
      </c>
      <c r="U178" s="10">
        <v>304823434.22000003</v>
      </c>
      <c r="V178" s="10">
        <v>326375886.19</v>
      </c>
    </row>
    <row r="179" spans="1:22">
      <c r="A179" s="85">
        <v>157</v>
      </c>
      <c r="B179" s="10" t="s">
        <v>169</v>
      </c>
      <c r="C179" s="10" t="s">
        <v>73</v>
      </c>
      <c r="D179" s="29">
        <v>17786453816.950001</v>
      </c>
      <c r="E179" s="29">
        <v>80817695.560000002</v>
      </c>
      <c r="F179" s="29">
        <v>754866246.70000005</v>
      </c>
      <c r="G179" s="10">
        <v>24250700.210000001</v>
      </c>
      <c r="H179" s="12">
        <f>(E179+F179)-G179</f>
        <v>811433242.04999995</v>
      </c>
      <c r="I179" s="10">
        <v>14834026341.25</v>
      </c>
      <c r="J179" s="13">
        <f t="shared" si="92"/>
        <v>0.15692377348015701</v>
      </c>
      <c r="K179" s="10">
        <v>17402658263.34</v>
      </c>
      <c r="L179" s="13">
        <f t="shared" si="99"/>
        <v>0.151120554877722</v>
      </c>
      <c r="M179" s="13">
        <f t="shared" si="100"/>
        <v>0.17315810711129911</v>
      </c>
      <c r="N179" s="20">
        <f t="shared" si="101"/>
        <v>1.3935055118036715E-3</v>
      </c>
      <c r="O179" s="21">
        <f t="shared" si="102"/>
        <v>4.6626970993238696E-2</v>
      </c>
      <c r="P179" s="22">
        <f t="shared" si="103"/>
        <v>525.19289178942881</v>
      </c>
      <c r="Q179" s="22">
        <f t="shared" si="104"/>
        <v>24.48815373132085</v>
      </c>
      <c r="R179" s="10">
        <v>517.71</v>
      </c>
      <c r="S179" s="10">
        <v>522.92999999999995</v>
      </c>
      <c r="T179" s="10">
        <v>5582</v>
      </c>
      <c r="U179" s="10">
        <v>32765466</v>
      </c>
      <c r="V179" s="10">
        <v>33135746</v>
      </c>
    </row>
    <row r="180" spans="1:22" ht="15.6" customHeight="1">
      <c r="A180" s="85">
        <v>158</v>
      </c>
      <c r="B180" s="10" t="s">
        <v>170</v>
      </c>
      <c r="C180" s="25" t="s">
        <v>249</v>
      </c>
      <c r="D180" s="29">
        <v>5937017055.4099998</v>
      </c>
      <c r="E180" s="29">
        <v>37674950</v>
      </c>
      <c r="F180" s="29">
        <v>666313070.54999995</v>
      </c>
      <c r="G180" s="10">
        <v>23551556.449999999</v>
      </c>
      <c r="H180" s="12">
        <f>(E180+F180)-G180</f>
        <v>680436464.0999999</v>
      </c>
      <c r="I180" s="10">
        <v>5671821214.7399998</v>
      </c>
      <c r="J180" s="13">
        <f t="shared" si="92"/>
        <v>6.0000135300205253E-2</v>
      </c>
      <c r="K180" s="10">
        <v>5846416594.6999998</v>
      </c>
      <c r="L180" s="13">
        <f t="shared" si="99"/>
        <v>5.0768894410721931E-2</v>
      </c>
      <c r="M180" s="13">
        <f t="shared" si="100"/>
        <v>3.0782948430437013E-2</v>
      </c>
      <c r="N180" s="20">
        <f t="shared" si="101"/>
        <v>4.0283746579657673E-3</v>
      </c>
      <c r="O180" s="21">
        <f t="shared" si="102"/>
        <v>0.11638521700914053</v>
      </c>
      <c r="P180" s="22">
        <f t="shared" si="103"/>
        <v>3.6713679632384615</v>
      </c>
      <c r="Q180" s="22">
        <f t="shared" si="104"/>
        <v>0.42729295712191462</v>
      </c>
      <c r="R180" s="10">
        <v>3.6280999999999999</v>
      </c>
      <c r="S180" s="10">
        <v>3.7077</v>
      </c>
      <c r="T180" s="10">
        <v>10283</v>
      </c>
      <c r="U180" s="10">
        <v>1738242709.74</v>
      </c>
      <c r="V180" s="10">
        <v>1592435477.25</v>
      </c>
    </row>
    <row r="181" spans="1:22">
      <c r="A181" s="85">
        <v>159</v>
      </c>
      <c r="B181" s="25" t="s">
        <v>171</v>
      </c>
      <c r="C181" s="10" t="s">
        <v>77</v>
      </c>
      <c r="D181" s="29">
        <v>261307639.33000001</v>
      </c>
      <c r="E181" s="29">
        <v>0</v>
      </c>
      <c r="F181" s="29">
        <v>121774010.34</v>
      </c>
      <c r="G181" s="10">
        <v>541536.34</v>
      </c>
      <c r="H181" s="12">
        <f t="shared" si="105"/>
        <v>121232474</v>
      </c>
      <c r="I181" s="10">
        <v>313928033.69</v>
      </c>
      <c r="J181" s="13">
        <f t="shared" si="92"/>
        <v>3.3209305764040791E-3</v>
      </c>
      <c r="K181" s="10">
        <v>341360354.57999998</v>
      </c>
      <c r="L181" s="13">
        <f t="shared" si="99"/>
        <v>2.964292317688987E-3</v>
      </c>
      <c r="M181" s="13">
        <f t="shared" si="100"/>
        <v>8.7384107011892601E-2</v>
      </c>
      <c r="N181" s="20">
        <f t="shared" si="101"/>
        <v>1.586406660100558E-3</v>
      </c>
      <c r="O181" s="21">
        <f t="shared" si="102"/>
        <v>0.35514514902927424</v>
      </c>
      <c r="P181" s="22">
        <f t="shared" si="103"/>
        <v>389.12448197344179</v>
      </c>
      <c r="Q181" s="22">
        <f t="shared" si="104"/>
        <v>138.19567214139713</v>
      </c>
      <c r="R181" s="10">
        <v>380.11</v>
      </c>
      <c r="S181" s="10">
        <v>382.97</v>
      </c>
      <c r="T181" s="10">
        <v>65</v>
      </c>
      <c r="U181" s="10">
        <v>877252.32</v>
      </c>
      <c r="V181" s="10">
        <v>877252.32</v>
      </c>
    </row>
    <row r="182" spans="1:22">
      <c r="A182" s="85">
        <v>160</v>
      </c>
      <c r="B182" s="25" t="s">
        <v>225</v>
      </c>
      <c r="C182" s="25" t="s">
        <v>224</v>
      </c>
      <c r="D182" s="29">
        <v>78355184.629999995</v>
      </c>
      <c r="E182" s="29">
        <v>499602.03</v>
      </c>
      <c r="F182" s="29">
        <v>0</v>
      </c>
      <c r="G182" s="10">
        <v>108715.33</v>
      </c>
      <c r="H182" s="12">
        <f>(E182+F182)-G182</f>
        <v>390886.7</v>
      </c>
      <c r="I182" s="10">
        <v>72452500.170000002</v>
      </c>
      <c r="J182" s="13">
        <f t="shared" si="92"/>
        <v>7.6644866762384735E-4</v>
      </c>
      <c r="K182" s="10">
        <v>78803738.459999993</v>
      </c>
      <c r="L182" s="13">
        <f t="shared" si="99"/>
        <v>6.8431296542787335E-4</v>
      </c>
      <c r="M182" s="13">
        <f t="shared" si="100"/>
        <v>8.7660719438220472E-2</v>
      </c>
      <c r="N182" s="20">
        <f t="shared" si="101"/>
        <v>1.379570717386496E-3</v>
      </c>
      <c r="O182" s="21">
        <f t="shared" si="102"/>
        <v>4.9602557903824611E-3</v>
      </c>
      <c r="P182" s="22">
        <f t="shared" si="103"/>
        <v>1.5552960144469881</v>
      </c>
      <c r="Q182" s="22">
        <f t="shared" si="104"/>
        <v>7.7146660614194366E-3</v>
      </c>
      <c r="R182" s="10">
        <v>1.629</v>
      </c>
      <c r="S182" s="10">
        <v>1.629</v>
      </c>
      <c r="T182" s="10">
        <v>25</v>
      </c>
      <c r="U182" s="10">
        <v>50643000</v>
      </c>
      <c r="V182" s="10">
        <v>50668000</v>
      </c>
    </row>
    <row r="183" spans="1:22">
      <c r="A183" s="85">
        <v>161</v>
      </c>
      <c r="B183" s="10" t="s">
        <v>172</v>
      </c>
      <c r="C183" s="10" t="s">
        <v>36</v>
      </c>
      <c r="D183" s="29">
        <v>11140482244.9</v>
      </c>
      <c r="E183" s="29">
        <v>68783933.450000003</v>
      </c>
      <c r="F183" s="29">
        <v>920376458.99000001</v>
      </c>
      <c r="G183" s="10">
        <v>19267677.109999999</v>
      </c>
      <c r="H183" s="12">
        <f t="shared" si="105"/>
        <v>969892715.33000004</v>
      </c>
      <c r="I183" s="10">
        <v>8470939353.3800001</v>
      </c>
      <c r="J183" s="13">
        <f t="shared" si="92"/>
        <v>8.9610988795233396E-2</v>
      </c>
      <c r="K183" s="10">
        <v>11053665599.540001</v>
      </c>
      <c r="L183" s="13">
        <f t="shared" si="99"/>
        <v>9.5987409139336552E-2</v>
      </c>
      <c r="M183" s="13">
        <f t="shared" si="100"/>
        <v>0.30489254360314411</v>
      </c>
      <c r="N183" s="20">
        <f t="shared" si="101"/>
        <v>1.7431029495592687E-3</v>
      </c>
      <c r="O183" s="21">
        <f t="shared" si="102"/>
        <v>8.7743989231080247E-2</v>
      </c>
      <c r="P183" s="22">
        <f t="shared" si="103"/>
        <v>7.4678916661707859</v>
      </c>
      <c r="Q183" s="22">
        <f t="shared" si="104"/>
        <v>0.65526260593536345</v>
      </c>
      <c r="R183" s="10">
        <v>7.47</v>
      </c>
      <c r="S183" s="10">
        <v>7.55</v>
      </c>
      <c r="T183" s="10">
        <v>5866</v>
      </c>
      <c r="U183" s="10">
        <v>1268998256.4200001</v>
      </c>
      <c r="V183" s="10">
        <v>1480158804.3399999</v>
      </c>
    </row>
    <row r="184" spans="1:22">
      <c r="A184" s="85">
        <v>162</v>
      </c>
      <c r="B184" s="25" t="s">
        <v>253</v>
      </c>
      <c r="C184" s="25" t="s">
        <v>254</v>
      </c>
      <c r="D184" s="17">
        <v>123026192.33</v>
      </c>
      <c r="E184" s="17">
        <v>4436015.04</v>
      </c>
      <c r="F184" s="17">
        <v>2910361.57</v>
      </c>
      <c r="G184" s="17">
        <v>357041.89</v>
      </c>
      <c r="H184" s="12">
        <f t="shared" si="105"/>
        <v>6989334.7199999997</v>
      </c>
      <c r="I184" s="17">
        <v>104713815.45999999</v>
      </c>
      <c r="J184" s="13">
        <f t="shared" si="92"/>
        <v>1.1077293972300806E-3</v>
      </c>
      <c r="K184" s="17">
        <v>119240355.01000001</v>
      </c>
      <c r="L184" s="13">
        <f t="shared" si="99"/>
        <v>1.0354549483332404E-3</v>
      </c>
      <c r="M184" s="13">
        <f t="shared" si="100"/>
        <v>0.13872610300929256</v>
      </c>
      <c r="N184" s="20">
        <f t="shared" si="101"/>
        <v>2.9943041512251198E-3</v>
      </c>
      <c r="O184" s="21">
        <f t="shared" si="102"/>
        <v>5.8615514180697E-2</v>
      </c>
      <c r="P184" s="22">
        <f t="shared" si="103"/>
        <v>2.9826959626538763</v>
      </c>
      <c r="Q184" s="22">
        <f t="shared" si="104"/>
        <v>0.17483225749564596</v>
      </c>
      <c r="R184" s="17">
        <v>2.9699</v>
      </c>
      <c r="S184" s="17">
        <v>2.9876999999999998</v>
      </c>
      <c r="T184" s="17">
        <v>115</v>
      </c>
      <c r="U184" s="17">
        <v>36317530</v>
      </c>
      <c r="V184" s="17">
        <v>39977375</v>
      </c>
    </row>
    <row r="185" spans="1:22">
      <c r="A185" s="85">
        <v>163</v>
      </c>
      <c r="B185" s="10" t="s">
        <v>173</v>
      </c>
      <c r="C185" s="10" t="s">
        <v>115</v>
      </c>
      <c r="D185" s="29">
        <v>1222665088.03</v>
      </c>
      <c r="E185" s="29">
        <v>30452163.109999999</v>
      </c>
      <c r="F185" s="29">
        <v>142927730.02000001</v>
      </c>
      <c r="G185" s="10">
        <v>1902031.89</v>
      </c>
      <c r="H185" s="12">
        <f t="shared" si="105"/>
        <v>171477861.24000001</v>
      </c>
      <c r="I185" s="10">
        <v>1067316731.17</v>
      </c>
      <c r="J185" s="13">
        <f t="shared" si="92"/>
        <v>1.129075580026166E-2</v>
      </c>
      <c r="K185" s="10">
        <v>1211551548.99</v>
      </c>
      <c r="L185" s="13">
        <f t="shared" si="99"/>
        <v>1.0520826162059729E-2</v>
      </c>
      <c r="M185" s="13">
        <f t="shared" si="100"/>
        <v>0.13513778394712209</v>
      </c>
      <c r="N185" s="20">
        <f t="shared" si="101"/>
        <v>1.5699141250618788E-3</v>
      </c>
      <c r="O185" s="21">
        <f t="shared" si="102"/>
        <v>0.14153575337586843</v>
      </c>
      <c r="P185" s="22">
        <f t="shared" si="103"/>
        <v>387.29340441949682</v>
      </c>
      <c r="Q185" s="22">
        <f t="shared" si="104"/>
        <v>54.815863772018375</v>
      </c>
      <c r="R185" s="10">
        <v>430.48</v>
      </c>
      <c r="S185" s="10">
        <v>435.76</v>
      </c>
      <c r="T185" s="10">
        <v>253</v>
      </c>
      <c r="U185" s="10">
        <v>2841177.76</v>
      </c>
      <c r="V185" s="10">
        <v>3128252.47</v>
      </c>
    </row>
    <row r="186" spans="1:22">
      <c r="A186" s="85">
        <v>164</v>
      </c>
      <c r="B186" s="25" t="s">
        <v>174</v>
      </c>
      <c r="C186" s="10" t="s">
        <v>32</v>
      </c>
      <c r="D186" s="29">
        <v>2742189622.9899998</v>
      </c>
      <c r="E186" s="29">
        <v>14404630.109999999</v>
      </c>
      <c r="F186" s="29">
        <v>609311850.12</v>
      </c>
      <c r="G186" s="10">
        <v>7492589.5899999999</v>
      </c>
      <c r="H186" s="12">
        <f t="shared" si="105"/>
        <v>616223890.63999999</v>
      </c>
      <c r="I186" s="10">
        <v>2302583037.21</v>
      </c>
      <c r="J186" s="13">
        <f t="shared" si="92"/>
        <v>2.4358189114550691E-2</v>
      </c>
      <c r="K186" s="10">
        <v>2667193179.6999998</v>
      </c>
      <c r="L186" s="13">
        <f t="shared" si="99"/>
        <v>2.3161272673579526E-2</v>
      </c>
      <c r="M186" s="13">
        <f t="shared" si="100"/>
        <v>0.15834831430522114</v>
      </c>
      <c r="N186" s="20">
        <f t="shared" si="101"/>
        <v>2.8091664477196774E-3</v>
      </c>
      <c r="O186" s="21">
        <f t="shared" si="102"/>
        <v>0.23103834222810646</v>
      </c>
      <c r="P186" s="22">
        <f t="shared" si="103"/>
        <v>3575.5656273208656</v>
      </c>
      <c r="Q186" s="22">
        <f t="shared" si="104"/>
        <v>826.09275506401229</v>
      </c>
      <c r="R186" s="10">
        <v>552.22</v>
      </c>
      <c r="S186" s="10">
        <v>552.22</v>
      </c>
      <c r="T186" s="10">
        <v>823</v>
      </c>
      <c r="U186" s="10">
        <v>745950</v>
      </c>
      <c r="V186" s="10">
        <v>745950</v>
      </c>
    </row>
    <row r="187" spans="1:22">
      <c r="A187" s="85">
        <v>165</v>
      </c>
      <c r="B187" s="25" t="s">
        <v>175</v>
      </c>
      <c r="C187" s="10" t="s">
        <v>83</v>
      </c>
      <c r="D187" s="29">
        <v>39581655</v>
      </c>
      <c r="E187" s="29">
        <v>399177.45</v>
      </c>
      <c r="F187" s="29">
        <v>26995415.710000001</v>
      </c>
      <c r="G187" s="10">
        <v>1075.0899999999999</v>
      </c>
      <c r="H187" s="12">
        <f t="shared" si="105"/>
        <v>27393518.07</v>
      </c>
      <c r="I187" s="10">
        <v>50029495.329999998</v>
      </c>
      <c r="J187" s="13">
        <f t="shared" si="92"/>
        <v>5.2924384869535953E-4</v>
      </c>
      <c r="K187" s="10">
        <v>52956009.969999999</v>
      </c>
      <c r="L187" s="13">
        <f t="shared" si="99"/>
        <v>4.5985742463465777E-4</v>
      </c>
      <c r="M187" s="13">
        <f t="shared" si="100"/>
        <v>5.8495785749913952E-2</v>
      </c>
      <c r="N187" s="20">
        <f t="shared" si="101"/>
        <v>2.0301567293477115E-5</v>
      </c>
      <c r="O187" s="21">
        <f t="shared" si="102"/>
        <v>0.51728818099246232</v>
      </c>
      <c r="P187" s="22">
        <f t="shared" si="103"/>
        <v>3.3046884126010765</v>
      </c>
      <c r="Q187" s="22">
        <f t="shared" si="104"/>
        <v>1.7094762577012788</v>
      </c>
      <c r="R187" s="10">
        <v>3.169</v>
      </c>
      <c r="S187" s="10">
        <v>3.169</v>
      </c>
      <c r="T187" s="10">
        <v>8</v>
      </c>
      <c r="U187" s="10">
        <v>16716285.789999999</v>
      </c>
      <c r="V187" s="10">
        <v>16024509.23</v>
      </c>
    </row>
    <row r="188" spans="1:22">
      <c r="A188" s="85">
        <v>166</v>
      </c>
      <c r="B188" s="10" t="s">
        <v>176</v>
      </c>
      <c r="C188" s="10" t="s">
        <v>42</v>
      </c>
      <c r="D188" s="29">
        <v>547255598.26999998</v>
      </c>
      <c r="E188" s="29">
        <v>14058763.65</v>
      </c>
      <c r="F188" s="29">
        <v>213465962.13</v>
      </c>
      <c r="G188" s="10">
        <v>662208.85</v>
      </c>
      <c r="H188" s="12">
        <f t="shared" si="105"/>
        <v>226862516.93000001</v>
      </c>
      <c r="I188" s="10">
        <v>457101246.30000001</v>
      </c>
      <c r="J188" s="13">
        <f t="shared" si="92"/>
        <v>4.8355079586459918E-3</v>
      </c>
      <c r="K188" s="10">
        <v>565040203.32000005</v>
      </c>
      <c r="L188" s="13">
        <f t="shared" si="99"/>
        <v>4.906675047100015E-3</v>
      </c>
      <c r="M188" s="13">
        <f t="shared" si="100"/>
        <v>0.23613796263674733</v>
      </c>
      <c r="N188" s="20">
        <f t="shared" si="101"/>
        <v>1.171967669042074E-3</v>
      </c>
      <c r="O188" s="21">
        <f t="shared" si="102"/>
        <v>0.40149800951689207</v>
      </c>
      <c r="P188" s="22">
        <f t="shared" si="103"/>
        <v>4.2638458311766181</v>
      </c>
      <c r="Q188" s="22">
        <f t="shared" si="104"/>
        <v>1.7119256141043102</v>
      </c>
      <c r="R188" s="10">
        <v>4.1500000000000004</v>
      </c>
      <c r="S188" s="10">
        <v>4.22</v>
      </c>
      <c r="T188" s="10">
        <v>137</v>
      </c>
      <c r="U188" s="10">
        <v>123590925.7</v>
      </c>
      <c r="V188" s="10">
        <v>132518910.31999999</v>
      </c>
    </row>
    <row r="189" spans="1:22">
      <c r="A189" s="85">
        <v>167</v>
      </c>
      <c r="B189" s="10" t="s">
        <v>317</v>
      </c>
      <c r="C189" s="10" t="s">
        <v>305</v>
      </c>
      <c r="D189" s="29">
        <v>126367438.22</v>
      </c>
      <c r="E189" s="29">
        <v>1754687.83</v>
      </c>
      <c r="F189" s="29">
        <v>7485293.75</v>
      </c>
      <c r="G189" s="10">
        <v>301614.96999999997</v>
      </c>
      <c r="H189" s="12">
        <f t="shared" ref="H189" si="107">(E189+F189)-G189</f>
        <v>8938366.6099999994</v>
      </c>
      <c r="I189" s="10">
        <v>208463836.06999999</v>
      </c>
      <c r="J189" s="13">
        <f t="shared" si="92"/>
        <v>2.2052631590174648E-3</v>
      </c>
      <c r="K189" s="10">
        <v>218606720.69999999</v>
      </c>
      <c r="L189" s="13">
        <f t="shared" si="99"/>
        <v>1.8983288893154864E-3</v>
      </c>
      <c r="M189" s="13">
        <f t="shared" si="100"/>
        <v>4.8655367862434039E-2</v>
      </c>
      <c r="N189" s="20">
        <f t="shared" si="101"/>
        <v>1.379714992449452E-3</v>
      </c>
      <c r="O189" s="21">
        <f t="shared" si="102"/>
        <v>4.0887885703506641E-2</v>
      </c>
      <c r="P189" s="22">
        <f t="shared" si="103"/>
        <v>124.64247820537044</v>
      </c>
      <c r="Q189" s="22">
        <f t="shared" si="104"/>
        <v>5.0963674026630041</v>
      </c>
      <c r="R189" s="10">
        <v>124.21</v>
      </c>
      <c r="S189" s="10">
        <v>124.93</v>
      </c>
      <c r="T189" s="10">
        <v>108</v>
      </c>
      <c r="U189" s="10">
        <v>1762334.8</v>
      </c>
      <c r="V189" s="10">
        <v>1753870.14</v>
      </c>
    </row>
    <row r="190" spans="1:22">
      <c r="A190" s="85">
        <v>168</v>
      </c>
      <c r="B190" s="25" t="s">
        <v>177</v>
      </c>
      <c r="C190" s="25" t="s">
        <v>46</v>
      </c>
      <c r="D190" s="29">
        <v>8529145376.1800003</v>
      </c>
      <c r="E190" s="29">
        <v>35597219.82</v>
      </c>
      <c r="F190" s="29">
        <v>930315638.04999995</v>
      </c>
      <c r="G190" s="10">
        <v>18207025.850000001</v>
      </c>
      <c r="H190" s="12">
        <f t="shared" si="105"/>
        <v>947705832.01999998</v>
      </c>
      <c r="I190" s="10">
        <v>6188657629.3699999</v>
      </c>
      <c r="J190" s="13">
        <f t="shared" si="92"/>
        <v>6.5467559894845706E-2</v>
      </c>
      <c r="K190" s="10">
        <v>8844473222.4500008</v>
      </c>
      <c r="L190" s="13">
        <f t="shared" si="99"/>
        <v>7.6803306756497505E-2</v>
      </c>
      <c r="M190" s="13">
        <f t="shared" si="100"/>
        <v>0.42914243316290235</v>
      </c>
      <c r="N190" s="20">
        <f t="shared" si="101"/>
        <v>2.0585766265632365E-3</v>
      </c>
      <c r="O190" s="21">
        <f t="shared" si="102"/>
        <v>0.1071523207978549</v>
      </c>
      <c r="P190" s="22">
        <f t="shared" si="103"/>
        <v>14872.618353786434</v>
      </c>
      <c r="Q190" s="22">
        <f t="shared" si="104"/>
        <v>1593.6355729489887</v>
      </c>
      <c r="R190" s="10">
        <v>11702.06</v>
      </c>
      <c r="S190" s="10">
        <v>11816.25</v>
      </c>
      <c r="T190" s="10">
        <v>5327</v>
      </c>
      <c r="U190" s="10">
        <v>513784.88</v>
      </c>
      <c r="V190" s="10">
        <v>594681.65</v>
      </c>
    </row>
    <row r="191" spans="1:22">
      <c r="A191" s="85">
        <v>169</v>
      </c>
      <c r="B191" s="25" t="s">
        <v>299</v>
      </c>
      <c r="C191" s="25" t="s">
        <v>297</v>
      </c>
      <c r="D191" s="29">
        <v>156390839.38999999</v>
      </c>
      <c r="E191" s="29">
        <v>6111463.0899999999</v>
      </c>
      <c r="F191" s="29">
        <v>21496796.25</v>
      </c>
      <c r="G191" s="10">
        <v>1636681.63</v>
      </c>
      <c r="H191" s="12">
        <f t="shared" si="105"/>
        <v>25971577.710000001</v>
      </c>
      <c r="I191" s="10">
        <v>167441108.22999999</v>
      </c>
      <c r="J191" s="13">
        <f t="shared" si="92"/>
        <v>1.7712986302366811E-3</v>
      </c>
      <c r="K191" s="10">
        <v>184615048.00999999</v>
      </c>
      <c r="L191" s="13">
        <f t="shared" si="99"/>
        <v>1.6031532695680226E-3</v>
      </c>
      <c r="M191" s="13">
        <f t="shared" si="100"/>
        <v>0.10256704558124151</v>
      </c>
      <c r="N191" s="20">
        <f t="shared" si="101"/>
        <v>8.8653749932201958E-3</v>
      </c>
      <c r="O191" s="21">
        <f t="shared" si="102"/>
        <v>0.14067963576074907</v>
      </c>
      <c r="P191" s="22">
        <f t="shared" si="103"/>
        <v>1667.2947819604135</v>
      </c>
      <c r="Q191" s="22">
        <f t="shared" si="104"/>
        <v>234.5544226319885</v>
      </c>
      <c r="R191" s="10">
        <v>1649.7125000000001</v>
      </c>
      <c r="S191" s="10">
        <v>1678.5977</v>
      </c>
      <c r="T191" s="10">
        <v>48</v>
      </c>
      <c r="U191" s="10">
        <v>110755.1545</v>
      </c>
      <c r="V191" s="10">
        <v>110727.2991</v>
      </c>
    </row>
    <row r="192" spans="1:22">
      <c r="A192" s="85">
        <v>170</v>
      </c>
      <c r="B192" s="25" t="s">
        <v>223</v>
      </c>
      <c r="C192" s="25" t="s">
        <v>224</v>
      </c>
      <c r="D192" s="29">
        <v>752449220.96000004</v>
      </c>
      <c r="E192" s="29">
        <v>11015306.859999999</v>
      </c>
      <c r="F192" s="29">
        <v>0</v>
      </c>
      <c r="G192" s="10">
        <v>1129863.67</v>
      </c>
      <c r="H192" s="12">
        <f t="shared" si="105"/>
        <v>9885443.1899999995</v>
      </c>
      <c r="I192" s="10">
        <v>749020365.91999996</v>
      </c>
      <c r="J192" s="13">
        <f t="shared" si="92"/>
        <v>7.9236142318829042E-3</v>
      </c>
      <c r="K192" s="10">
        <v>750294152.41999996</v>
      </c>
      <c r="L192" s="13">
        <f t="shared" si="99"/>
        <v>6.5153763821285977E-3</v>
      </c>
      <c r="M192" s="13">
        <f t="shared" si="100"/>
        <v>1.7006032919217691E-3</v>
      </c>
      <c r="N192" s="20">
        <f t="shared" si="101"/>
        <v>1.5058942767389775E-3</v>
      </c>
      <c r="O192" s="21">
        <f t="shared" si="102"/>
        <v>1.3175423476399856E-2</v>
      </c>
      <c r="P192" s="22">
        <f t="shared" si="103"/>
        <v>1.4272287472322616</v>
      </c>
      <c r="Q192" s="22">
        <f t="shared" si="104"/>
        <v>1.8804343142476698E-2</v>
      </c>
      <c r="R192" s="10">
        <v>1.5640000000000001</v>
      </c>
      <c r="S192" s="10">
        <v>1.5640000000000001</v>
      </c>
      <c r="T192" s="10">
        <v>44</v>
      </c>
      <c r="U192" s="10">
        <v>524900000</v>
      </c>
      <c r="V192" s="10">
        <v>525700000</v>
      </c>
    </row>
    <row r="193" spans="1:22">
      <c r="A193" s="85">
        <v>171</v>
      </c>
      <c r="B193" s="25" t="s">
        <v>178</v>
      </c>
      <c r="C193" s="25" t="s">
        <v>50</v>
      </c>
      <c r="D193" s="29">
        <v>4379333254</v>
      </c>
      <c r="E193" s="29">
        <v>25488643</v>
      </c>
      <c r="F193" s="29">
        <v>663912126</v>
      </c>
      <c r="G193" s="10">
        <v>7057488</v>
      </c>
      <c r="H193" s="12">
        <f t="shared" si="105"/>
        <v>682343281</v>
      </c>
      <c r="I193" s="10">
        <v>4260273966.6900001</v>
      </c>
      <c r="J193" s="13">
        <f t="shared" si="92"/>
        <v>4.5067889966813733E-2</v>
      </c>
      <c r="K193" s="10">
        <v>5191174441.4700003</v>
      </c>
      <c r="L193" s="13">
        <f t="shared" si="99"/>
        <v>4.5078927034646686E-2</v>
      </c>
      <c r="M193" s="13">
        <f t="shared" si="100"/>
        <v>0.21850718570178221</v>
      </c>
      <c r="N193" s="20">
        <f t="shared" si="101"/>
        <v>1.3595166333885537E-3</v>
      </c>
      <c r="O193" s="21">
        <f t="shared" si="102"/>
        <v>0.13144294970114292</v>
      </c>
      <c r="P193" s="22">
        <f t="shared" si="103"/>
        <v>2.7801421252208431</v>
      </c>
      <c r="Q193" s="22">
        <f t="shared" si="104"/>
        <v>0.36543008152743189</v>
      </c>
      <c r="R193" s="10">
        <v>2.78</v>
      </c>
      <c r="S193" s="10">
        <v>2.8</v>
      </c>
      <c r="T193" s="10">
        <v>1659</v>
      </c>
      <c r="U193" s="10">
        <v>1792041209</v>
      </c>
      <c r="V193" s="10">
        <v>1867233475</v>
      </c>
    </row>
    <row r="194" spans="1:22">
      <c r="A194" s="85">
        <v>172</v>
      </c>
      <c r="B194" s="94" t="s">
        <v>179</v>
      </c>
      <c r="C194" s="25" t="s">
        <v>90</v>
      </c>
      <c r="D194" s="29">
        <v>11096242280.129999</v>
      </c>
      <c r="E194" s="29">
        <v>31308151.82</v>
      </c>
      <c r="F194" s="29">
        <v>1675904867.72</v>
      </c>
      <c r="G194" s="10">
        <v>15364166.93</v>
      </c>
      <c r="H194" s="12">
        <f t="shared" si="105"/>
        <v>1691848852.6099999</v>
      </c>
      <c r="I194" s="10">
        <v>11242811302.35</v>
      </c>
      <c r="J194" s="13">
        <f t="shared" si="92"/>
        <v>0.11893361475192402</v>
      </c>
      <c r="K194" s="10">
        <v>12972259962.74</v>
      </c>
      <c r="L194" s="13">
        <f t="shared" si="99"/>
        <v>0.11264802732563006</v>
      </c>
      <c r="M194" s="13">
        <f t="shared" si="100"/>
        <v>0.15382706459090936</v>
      </c>
      <c r="N194" s="20">
        <f t="shared" si="101"/>
        <v>1.1843862961527316E-3</v>
      </c>
      <c r="O194" s="21">
        <f t="shared" si="102"/>
        <v>0.13042051712419181</v>
      </c>
      <c r="P194" s="22">
        <f t="shared" si="103"/>
        <v>827.10236140254187</v>
      </c>
      <c r="Q194" s="22">
        <f t="shared" si="104"/>
        <v>107.87111768875968</v>
      </c>
      <c r="R194" s="10">
        <v>820.56</v>
      </c>
      <c r="S194" s="10">
        <v>830.67</v>
      </c>
      <c r="T194" s="10">
        <v>41</v>
      </c>
      <c r="U194" s="10">
        <v>15631859.210000001</v>
      </c>
      <c r="V194" s="10">
        <v>15683983.710000001</v>
      </c>
    </row>
    <row r="195" spans="1:22">
      <c r="A195" s="85">
        <v>173</v>
      </c>
      <c r="B195" s="25" t="s">
        <v>180</v>
      </c>
      <c r="C195" s="25" t="s">
        <v>50</v>
      </c>
      <c r="D195" s="29">
        <v>2441710667.0700002</v>
      </c>
      <c r="E195" s="29">
        <v>19111451</v>
      </c>
      <c r="F195" s="29">
        <v>410955233.26999998</v>
      </c>
      <c r="G195" s="10">
        <v>4551160</v>
      </c>
      <c r="H195" s="12">
        <f t="shared" si="105"/>
        <v>425515524.26999998</v>
      </c>
      <c r="I195" s="10">
        <v>2811969653</v>
      </c>
      <c r="J195" s="13">
        <f t="shared" si="92"/>
        <v>2.9746804994770164E-2</v>
      </c>
      <c r="K195" s="10">
        <v>3410030163</v>
      </c>
      <c r="L195" s="13">
        <f t="shared" si="99"/>
        <v>2.9611892768583566E-2</v>
      </c>
      <c r="M195" s="13">
        <f t="shared" si="100"/>
        <v>0.21268384221783776</v>
      </c>
      <c r="N195" s="20">
        <f t="shared" si="101"/>
        <v>1.3346392209023989E-3</v>
      </c>
      <c r="O195" s="21">
        <f t="shared" si="102"/>
        <v>0.12478350745603067</v>
      </c>
      <c r="P195" s="22">
        <f t="shared" si="103"/>
        <v>2.1724770828709761</v>
      </c>
      <c r="Q195" s="22">
        <f t="shared" si="104"/>
        <v>0.27108931026848621</v>
      </c>
      <c r="R195" s="10">
        <v>2.17</v>
      </c>
      <c r="S195" s="10">
        <v>2.19</v>
      </c>
      <c r="T195" s="10">
        <v>448</v>
      </c>
      <c r="U195" s="10">
        <v>1478629564</v>
      </c>
      <c r="V195" s="10">
        <v>1569650695</v>
      </c>
    </row>
    <row r="196" spans="1:22">
      <c r="A196" s="85">
        <v>174</v>
      </c>
      <c r="B196" s="25" t="s">
        <v>181</v>
      </c>
      <c r="C196" s="25" t="s">
        <v>94</v>
      </c>
      <c r="D196" s="29">
        <v>6878581711.5299997</v>
      </c>
      <c r="E196" s="29">
        <v>30662486.170000002</v>
      </c>
      <c r="F196" s="29">
        <v>1131899844.0999999</v>
      </c>
      <c r="G196" s="10">
        <v>34224633.399999999</v>
      </c>
      <c r="H196" s="12">
        <f t="shared" si="105"/>
        <v>1128337696.8699999</v>
      </c>
      <c r="I196" s="10">
        <v>6225904338.0299997</v>
      </c>
      <c r="J196" s="13">
        <f t="shared" si="92"/>
        <v>6.5861579289053604E-2</v>
      </c>
      <c r="K196" s="10">
        <v>7356892429.29</v>
      </c>
      <c r="L196" s="13">
        <f t="shared" si="99"/>
        <v>6.3885508137113731E-2</v>
      </c>
      <c r="M196" s="13">
        <f t="shared" si="100"/>
        <v>0.18165844347326857</v>
      </c>
      <c r="N196" s="20">
        <f t="shared" si="101"/>
        <v>4.6520502683635072E-3</v>
      </c>
      <c r="O196" s="21">
        <f t="shared" si="102"/>
        <v>0.15337150946746869</v>
      </c>
      <c r="P196" s="22">
        <f t="shared" si="103"/>
        <v>43.075319319341169</v>
      </c>
      <c r="Q196" s="22">
        <f t="shared" si="104"/>
        <v>6.6065267448005711</v>
      </c>
      <c r="R196" s="10">
        <v>42.876100000000001</v>
      </c>
      <c r="S196" s="10">
        <v>43.460799999999999</v>
      </c>
      <c r="T196" s="10">
        <v>6231</v>
      </c>
      <c r="U196" s="10">
        <v>169763552.34999999</v>
      </c>
      <c r="V196" s="10">
        <v>170791361.40000001</v>
      </c>
    </row>
    <row r="197" spans="1:22" ht="15" customHeight="1">
      <c r="A197" s="109" t="s">
        <v>51</v>
      </c>
      <c r="B197" s="109"/>
      <c r="C197" s="109"/>
      <c r="D197" s="109"/>
      <c r="E197" s="109"/>
      <c r="F197" s="109"/>
      <c r="G197" s="109"/>
      <c r="H197" s="109"/>
      <c r="I197" s="36">
        <f>SUM(I168:I196)</f>
        <v>94530140413.209991</v>
      </c>
      <c r="J197" s="34">
        <f>(I197/$I$240)</f>
        <v>1.1627386455005218E-2</v>
      </c>
      <c r="K197" s="36">
        <f>SUM(K168:K196)</f>
        <v>115157453447.82001</v>
      </c>
      <c r="L197" s="34">
        <f>(K197/$K$240)</f>
        <v>1.3855035779914893E-2</v>
      </c>
      <c r="M197" s="34">
        <f t="shared" si="94"/>
        <v>0.21820884793404452</v>
      </c>
      <c r="N197" s="20"/>
      <c r="O197" s="20"/>
      <c r="P197" s="35"/>
      <c r="Q197" s="35"/>
      <c r="R197" s="36"/>
      <c r="S197" s="36"/>
      <c r="T197" s="36">
        <f>SUM(T168:T196)</f>
        <v>81735</v>
      </c>
      <c r="U197" s="36"/>
      <c r="V197" s="39"/>
    </row>
    <row r="198" spans="1:22" ht="6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</row>
    <row r="199" spans="1:22">
      <c r="A199" s="108" t="s">
        <v>182</v>
      </c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</row>
    <row r="200" spans="1:22">
      <c r="A200" s="85">
        <v>175</v>
      </c>
      <c r="B200" s="10" t="s">
        <v>183</v>
      </c>
      <c r="C200" s="25" t="s">
        <v>46</v>
      </c>
      <c r="D200" s="10">
        <v>11197417244.870001</v>
      </c>
      <c r="E200" s="10">
        <v>20227646.879999999</v>
      </c>
      <c r="F200" s="25">
        <v>1786718115.4400001</v>
      </c>
      <c r="G200" s="10">
        <v>37549645.729999997</v>
      </c>
      <c r="H200" s="12">
        <f>(E200+F200)-G200</f>
        <v>1769396116.5900002</v>
      </c>
      <c r="I200" s="10">
        <v>8051626083.6300001</v>
      </c>
      <c r="J200" s="13">
        <f t="shared" ref="J200:J201" si="108">(I200/$I$202)</f>
        <v>0.83318431064338794</v>
      </c>
      <c r="K200" s="10">
        <v>11634504057.34</v>
      </c>
      <c r="L200" s="13">
        <f t="shared" ref="L200" si="109">(K200/$K$202)</f>
        <v>0.86468818059023811</v>
      </c>
      <c r="M200" s="13">
        <f t="shared" ref="M200" si="110">((K200-I200)/I200)</f>
        <v>0.44498812246068598</v>
      </c>
      <c r="N200" s="20">
        <f t="shared" ref="N200" si="111">(G200/K200)</f>
        <v>3.2274384490253022E-3</v>
      </c>
      <c r="O200" s="21">
        <f t="shared" ref="O200" si="112">H200/K200</f>
        <v>0.15208178258992655</v>
      </c>
      <c r="P200" s="22">
        <f t="shared" ref="P200" si="113">K200/V200</f>
        <v>5.9127295173150864</v>
      </c>
      <c r="Q200" s="22">
        <f t="shared" ref="Q200" si="114">H200/V200</f>
        <v>0.8992184449653543</v>
      </c>
      <c r="R200" s="10">
        <v>5.86</v>
      </c>
      <c r="S200" s="10">
        <v>5.95</v>
      </c>
      <c r="T200" s="10">
        <v>13247</v>
      </c>
      <c r="U200" s="10">
        <v>1647458848.55</v>
      </c>
      <c r="V200" s="10">
        <v>1967704428.77</v>
      </c>
    </row>
    <row r="201" spans="1:22">
      <c r="A201" s="85">
        <v>176</v>
      </c>
      <c r="B201" s="10" t="s">
        <v>184</v>
      </c>
      <c r="C201" s="25" t="s">
        <v>94</v>
      </c>
      <c r="D201" s="10">
        <v>1614520466.4300001</v>
      </c>
      <c r="E201" s="10">
        <v>8885902.1699999999</v>
      </c>
      <c r="F201" s="10">
        <v>259732163.59999999</v>
      </c>
      <c r="G201" s="10">
        <v>15276763.189999999</v>
      </c>
      <c r="H201" s="12">
        <f>(E201+F201)-G201</f>
        <v>253341302.57999998</v>
      </c>
      <c r="I201" s="10">
        <v>1612053345.73</v>
      </c>
      <c r="J201" s="13">
        <f t="shared" si="108"/>
        <v>0.16681568935661206</v>
      </c>
      <c r="K201" s="10">
        <v>1820640026.3900001</v>
      </c>
      <c r="L201" s="13">
        <f t="shared" ref="L201" si="115">(K201/$K$202)</f>
        <v>0.13531181940976192</v>
      </c>
      <c r="M201" s="13">
        <f t="shared" ref="M201" si="116">((K201-I201)/I201)</f>
        <v>0.12939192193143209</v>
      </c>
      <c r="N201" s="20">
        <f t="shared" ref="N201" si="117">(G201/K201)</f>
        <v>8.3908751694815025E-3</v>
      </c>
      <c r="O201" s="21">
        <f t="shared" ref="O201" si="118">H201/K201</f>
        <v>0.13914958416152695</v>
      </c>
      <c r="P201" s="22">
        <f t="shared" ref="P201" si="119">K201/V201</f>
        <v>50.626702331218105</v>
      </c>
      <c r="Q201" s="22">
        <f t="shared" ref="Q201" si="120">H201/V201</f>
        <v>7.0446845768584065</v>
      </c>
      <c r="R201" s="10">
        <v>50.191800000000001</v>
      </c>
      <c r="S201" s="10">
        <v>50.728099999999998</v>
      </c>
      <c r="T201" s="10">
        <v>1536</v>
      </c>
      <c r="U201" s="10">
        <v>35854246.270000003</v>
      </c>
      <c r="V201" s="10">
        <v>35962050.509999998</v>
      </c>
    </row>
    <row r="202" spans="1:22" ht="15" customHeight="1">
      <c r="A202" s="109" t="s">
        <v>51</v>
      </c>
      <c r="B202" s="109"/>
      <c r="C202" s="109"/>
      <c r="D202" s="109"/>
      <c r="E202" s="109"/>
      <c r="F202" s="109"/>
      <c r="G202" s="109"/>
      <c r="H202" s="109"/>
      <c r="I202" s="36">
        <f>SUM(I200:I201)</f>
        <v>9663679429.3600006</v>
      </c>
      <c r="J202" s="34">
        <f>(I202/$I$240)</f>
        <v>1.1886508875506858E-3</v>
      </c>
      <c r="K202" s="36">
        <f>SUM(K200:K201)</f>
        <v>13455144083.73</v>
      </c>
      <c r="L202" s="34">
        <f>(K202/$K$240)</f>
        <v>1.6188400934765408E-3</v>
      </c>
      <c r="M202" s="34">
        <f t="shared" ref="M202" si="121">((K202-I202)/I202)</f>
        <v>0.39234172471107076</v>
      </c>
      <c r="N202" s="20"/>
      <c r="O202" s="40"/>
      <c r="P202" s="35"/>
      <c r="Q202" s="35"/>
      <c r="R202" s="36"/>
      <c r="S202" s="36"/>
      <c r="T202" s="36">
        <f>SUM(T200:T201)</f>
        <v>14783</v>
      </c>
      <c r="U202" s="36"/>
      <c r="V202" s="39"/>
    </row>
    <row r="203" spans="1:22" ht="4.95" customHeight="1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</row>
    <row r="204" spans="1:22">
      <c r="A204" s="108" t="s">
        <v>185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</row>
    <row r="205" spans="1:22" ht="13.05" customHeight="1">
      <c r="A205" s="112" t="s">
        <v>186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</row>
    <row r="206" spans="1:22" ht="15" customHeight="1">
      <c r="A206" s="60">
        <v>177</v>
      </c>
      <c r="B206" s="76" t="s">
        <v>187</v>
      </c>
      <c r="C206" s="19" t="s">
        <v>118</v>
      </c>
      <c r="D206" s="68">
        <v>9288779400.1800003</v>
      </c>
      <c r="E206" s="29">
        <v>66966143.43</v>
      </c>
      <c r="F206" s="29">
        <v>1483571483.97</v>
      </c>
      <c r="G206" s="17">
        <v>35113071.950000003</v>
      </c>
      <c r="H206" s="12">
        <f>(E206+F206)-G206</f>
        <v>1515424555.45</v>
      </c>
      <c r="I206" s="29">
        <v>9845629107.25</v>
      </c>
      <c r="J206" s="13">
        <f>(I206/$I$230)</f>
        <v>0.11516115563909946</v>
      </c>
      <c r="K206" s="29">
        <v>12136533901.1</v>
      </c>
      <c r="L206" s="13">
        <f>(K206/$K$230)</f>
        <v>0.11627140256974927</v>
      </c>
      <c r="M206" s="13">
        <f>((K206-I206)/I206)</f>
        <v>0.23268241865449235</v>
      </c>
      <c r="N206" s="20">
        <f>(G206/K206)</f>
        <v>2.8931713317932985E-3</v>
      </c>
      <c r="O206" s="21">
        <f>H206/K206</f>
        <v>0.12486469100643709</v>
      </c>
      <c r="P206" s="22">
        <f>K206/V206</f>
        <v>3.5897159485063113</v>
      </c>
      <c r="Q206" s="22">
        <f>H206/V206</f>
        <v>0.44822877271111977</v>
      </c>
      <c r="R206" s="29">
        <v>3.55</v>
      </c>
      <c r="S206" s="29">
        <v>3.62</v>
      </c>
      <c r="T206" s="29">
        <v>15870</v>
      </c>
      <c r="U206" s="10">
        <v>3157105876.4899998</v>
      </c>
      <c r="V206" s="10">
        <v>3380917620</v>
      </c>
    </row>
    <row r="207" spans="1:22">
      <c r="A207" s="60">
        <v>178</v>
      </c>
      <c r="B207" s="19" t="s">
        <v>188</v>
      </c>
      <c r="C207" s="19" t="s">
        <v>46</v>
      </c>
      <c r="D207" s="17">
        <v>14003738398.200001</v>
      </c>
      <c r="E207" s="17">
        <v>30053206.27</v>
      </c>
      <c r="F207" s="17">
        <v>2081492335.9400001</v>
      </c>
      <c r="G207" s="17">
        <v>47253344.719999999</v>
      </c>
      <c r="H207" s="12">
        <f>(E207+F207)-G207</f>
        <v>2064292197.49</v>
      </c>
      <c r="I207" s="17">
        <v>7281687890.1800003</v>
      </c>
      <c r="J207" s="13">
        <f>(I207/$I$230)</f>
        <v>8.5171560222481971E-2</v>
      </c>
      <c r="K207" s="17">
        <v>17353724809.34</v>
      </c>
      <c r="L207" s="13">
        <f>(K207/$K$230)</f>
        <v>0.16625355639706471</v>
      </c>
      <c r="M207" s="13">
        <f>((K207-I207)/I207)</f>
        <v>1.3832008554971207</v>
      </c>
      <c r="N207" s="20">
        <f>(G207/K207)</f>
        <v>2.7229511381076893E-3</v>
      </c>
      <c r="O207" s="21">
        <f>H207/K207</f>
        <v>0.11895383960329779</v>
      </c>
      <c r="P207" s="22">
        <f>K207/V207</f>
        <v>1212.4020130233505</v>
      </c>
      <c r="Q207" s="22">
        <f>H207/V207</f>
        <v>144.21987459189501</v>
      </c>
      <c r="R207" s="17">
        <v>1204.73</v>
      </c>
      <c r="S207" s="17">
        <v>1217.6600000000001</v>
      </c>
      <c r="T207" s="17">
        <v>4569</v>
      </c>
      <c r="U207" s="17">
        <v>7173167.4400000004</v>
      </c>
      <c r="V207" s="17">
        <v>14313507.09</v>
      </c>
    </row>
    <row r="208" spans="1:22" ht="7.05" customHeight="1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</row>
    <row r="209" spans="1:22">
      <c r="A209" s="113" t="s">
        <v>144</v>
      </c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</row>
    <row r="210" spans="1:22">
      <c r="A210" s="88">
        <v>179</v>
      </c>
      <c r="B210" s="74" t="s">
        <v>270</v>
      </c>
      <c r="C210" s="75" t="s">
        <v>58</v>
      </c>
      <c r="D210" s="50">
        <v>873361261</v>
      </c>
      <c r="E210" s="50">
        <v>16954995</v>
      </c>
      <c r="F210" s="10">
        <v>0</v>
      </c>
      <c r="G210" s="50">
        <v>2704108</v>
      </c>
      <c r="H210" s="50">
        <f>(E210+F210)-G210</f>
        <v>14250887</v>
      </c>
      <c r="I210" s="50">
        <v>1371871330</v>
      </c>
      <c r="J210" s="13">
        <f t="shared" ref="J210:J223" si="122">(I210/$I$230)</f>
        <v>1.6046337519926727E-2</v>
      </c>
      <c r="K210" s="50">
        <v>1399804142</v>
      </c>
      <c r="L210" s="13">
        <f t="shared" ref="L210" si="123">(K210/$K$230)</f>
        <v>1.3410516729041798E-2</v>
      </c>
      <c r="M210" s="13">
        <f t="shared" ref="M210:M230" si="124">((K210-I210)/I210)</f>
        <v>2.0361101940952437E-2</v>
      </c>
      <c r="N210" s="20">
        <f>(G210/K210)</f>
        <v>1.9317759669838154E-3</v>
      </c>
      <c r="O210" s="21">
        <f>H210/K210</f>
        <v>1.0180629255489087E-2</v>
      </c>
      <c r="P210" s="22">
        <f>K210/V210</f>
        <v>1.1598120302065729</v>
      </c>
      <c r="Q210" s="22">
        <f>H210/V210</f>
        <v>1.1807616285589228E-2</v>
      </c>
      <c r="R210" s="50">
        <v>1.1597999999999999</v>
      </c>
      <c r="S210" s="50">
        <v>1.1597999999999999</v>
      </c>
      <c r="T210" s="50">
        <v>900</v>
      </c>
      <c r="U210" s="50">
        <v>1194746233</v>
      </c>
      <c r="V210" s="50">
        <v>1206923282</v>
      </c>
    </row>
    <row r="211" spans="1:22">
      <c r="A211" s="88">
        <v>180</v>
      </c>
      <c r="B211" s="74" t="s">
        <v>189</v>
      </c>
      <c r="C211" s="75" t="s">
        <v>190</v>
      </c>
      <c r="D211" s="50">
        <v>322230449</v>
      </c>
      <c r="E211" s="50">
        <v>10315184</v>
      </c>
      <c r="F211" s="10">
        <v>0</v>
      </c>
      <c r="G211" s="50">
        <v>794062</v>
      </c>
      <c r="H211" s="50">
        <f>(E211+F211)-G211</f>
        <v>9521122</v>
      </c>
      <c r="I211" s="50">
        <v>371533532</v>
      </c>
      <c r="J211" s="13">
        <f t="shared" si="122"/>
        <v>4.3457081754471084E-3</v>
      </c>
      <c r="K211" s="50">
        <v>374656959</v>
      </c>
      <c r="L211" s="13">
        <f t="shared" ref="L211:L224" si="125">(K211/$K$230)</f>
        <v>3.5893188665257051E-3</v>
      </c>
      <c r="M211" s="13">
        <f t="shared" ref="M211:M224" si="126">((K211-I211)/I211)</f>
        <v>8.4068508788057387E-3</v>
      </c>
      <c r="N211" s="20">
        <f t="shared" ref="N211:N224" si="127">(G211/K211)</f>
        <v>2.1194374772043139E-3</v>
      </c>
      <c r="O211" s="21">
        <f t="shared" ref="O211:O224" si="128">H211/K211</f>
        <v>2.5412905782967187E-2</v>
      </c>
      <c r="P211" s="22">
        <f t="shared" ref="P211:P224" si="129">K211/V211</f>
        <v>1144.62681245761</v>
      </c>
      <c r="Q211" s="22">
        <f t="shared" ref="Q211:Q224" si="130">H211/V211</f>
        <v>29.088293341643293</v>
      </c>
      <c r="R211" s="50">
        <v>1144.6300000000001</v>
      </c>
      <c r="S211" s="50">
        <v>1144.6300000000001</v>
      </c>
      <c r="T211" s="50">
        <v>18</v>
      </c>
      <c r="U211" s="50">
        <v>329875</v>
      </c>
      <c r="V211" s="50">
        <v>327318</v>
      </c>
    </row>
    <row r="212" spans="1:22" ht="15" customHeight="1">
      <c r="A212" s="88">
        <v>181</v>
      </c>
      <c r="B212" s="74" t="s">
        <v>191</v>
      </c>
      <c r="C212" s="75" t="s">
        <v>62</v>
      </c>
      <c r="D212" s="50">
        <v>121353965.03</v>
      </c>
      <c r="E212" s="50">
        <v>3903433.45</v>
      </c>
      <c r="F212" s="10">
        <v>0</v>
      </c>
      <c r="G212" s="50">
        <v>501170.48</v>
      </c>
      <c r="H212" s="50">
        <f t="shared" ref="H212:H222" si="131">(E212+F212)-G212</f>
        <v>3402262.97</v>
      </c>
      <c r="I212" s="50">
        <v>315747786.31999999</v>
      </c>
      <c r="J212" s="13">
        <f t="shared" si="122"/>
        <v>3.6932002584093826E-3</v>
      </c>
      <c r="K212" s="50">
        <v>315089560.37</v>
      </c>
      <c r="L212" s="13">
        <f t="shared" si="125"/>
        <v>3.018646461819307E-3</v>
      </c>
      <c r="M212" s="13">
        <f t="shared" si="126"/>
        <v>-2.0846573705916587E-3</v>
      </c>
      <c r="N212" s="20">
        <f t="shared" si="127"/>
        <v>1.5905651695076501E-3</v>
      </c>
      <c r="O212" s="21">
        <f t="shared" si="128"/>
        <v>1.0797764819643112E-2</v>
      </c>
      <c r="P212" s="22">
        <f t="shared" si="129"/>
        <v>122.26227246570936</v>
      </c>
      <c r="Q212" s="22">
        <f t="shared" si="130"/>
        <v>1.3201592643998572</v>
      </c>
      <c r="R212" s="50">
        <v>125.2</v>
      </c>
      <c r="S212" s="50">
        <v>125.2</v>
      </c>
      <c r="T212" s="50">
        <v>80</v>
      </c>
      <c r="U212" s="50">
        <v>2542874</v>
      </c>
      <c r="V212" s="50">
        <v>2577161</v>
      </c>
    </row>
    <row r="213" spans="1:22" ht="15" customHeight="1">
      <c r="A213" s="88">
        <v>182</v>
      </c>
      <c r="B213" s="74" t="s">
        <v>313</v>
      </c>
      <c r="C213" s="75" t="s">
        <v>314</v>
      </c>
      <c r="D213" s="50">
        <v>49995000</v>
      </c>
      <c r="E213" s="50">
        <v>739573.49</v>
      </c>
      <c r="F213" s="10">
        <v>5000</v>
      </c>
      <c r="G213" s="50">
        <v>103835.47</v>
      </c>
      <c r="H213" s="50">
        <f t="shared" ref="H213" si="132">(E213+F213)-G213</f>
        <v>640738.02</v>
      </c>
      <c r="I213" s="50">
        <v>55835949.539999999</v>
      </c>
      <c r="J213" s="13">
        <f t="shared" si="122"/>
        <v>6.53095135434048E-4</v>
      </c>
      <c r="K213" s="50">
        <v>55402992.369999997</v>
      </c>
      <c r="L213" s="13">
        <f t="shared" si="125"/>
        <v>5.3077622341887601E-4</v>
      </c>
      <c r="M213" s="13">
        <f t="shared" si="126"/>
        <v>-7.7540934392069044E-3</v>
      </c>
      <c r="N213" s="20">
        <f t="shared" si="127"/>
        <v>1.8741852300422958E-3</v>
      </c>
      <c r="O213" s="21">
        <f t="shared" si="128"/>
        <v>1.1565043557953222E-2</v>
      </c>
      <c r="P213" s="22">
        <f t="shared" si="129"/>
        <v>106.36829929347617</v>
      </c>
      <c r="Q213" s="22">
        <f t="shared" si="130"/>
        <v>1.2301540145144569</v>
      </c>
      <c r="R213" s="50">
        <v>108.35</v>
      </c>
      <c r="S213" s="50">
        <v>108.35</v>
      </c>
      <c r="T213" s="50">
        <v>14</v>
      </c>
      <c r="U213" s="50">
        <v>520860</v>
      </c>
      <c r="V213" s="50">
        <v>520860</v>
      </c>
    </row>
    <row r="214" spans="1:22" ht="15" customHeight="1">
      <c r="A214" s="88">
        <v>183</v>
      </c>
      <c r="B214" s="74" t="s">
        <v>192</v>
      </c>
      <c r="C214" s="75" t="s">
        <v>167</v>
      </c>
      <c r="D214" s="50">
        <v>58078705.07</v>
      </c>
      <c r="E214" s="50">
        <v>660344.38</v>
      </c>
      <c r="F214" s="10">
        <v>0</v>
      </c>
      <c r="G214" s="50">
        <v>187362.09</v>
      </c>
      <c r="H214" s="50">
        <f t="shared" si="131"/>
        <v>472982.29000000004</v>
      </c>
      <c r="I214" s="50">
        <v>69259129.939999998</v>
      </c>
      <c r="J214" s="13">
        <f t="shared" si="122"/>
        <v>8.1010175739564634E-4</v>
      </c>
      <c r="K214" s="50">
        <v>74089173.629999995</v>
      </c>
      <c r="L214" s="13">
        <f t="shared" si="125"/>
        <v>7.0979508675149882E-4</v>
      </c>
      <c r="M214" s="13">
        <f t="shared" si="126"/>
        <v>6.9738728947134065E-2</v>
      </c>
      <c r="N214" s="20">
        <f t="shared" si="127"/>
        <v>2.5288727194567309E-3</v>
      </c>
      <c r="O214" s="21">
        <f t="shared" si="128"/>
        <v>6.3839595831108216E-3</v>
      </c>
      <c r="P214" s="22">
        <f t="shared" si="129"/>
        <v>105.88054990189255</v>
      </c>
      <c r="Q214" s="22">
        <f t="shared" si="130"/>
        <v>0.67593715121123044</v>
      </c>
      <c r="R214" s="50">
        <v>103.93</v>
      </c>
      <c r="S214" s="50">
        <v>104.95</v>
      </c>
      <c r="T214" s="50">
        <v>24</v>
      </c>
      <c r="U214" s="50">
        <v>682503</v>
      </c>
      <c r="V214" s="50">
        <v>699743</v>
      </c>
    </row>
    <row r="215" spans="1:22" ht="15" customHeight="1">
      <c r="A215" s="88">
        <v>184</v>
      </c>
      <c r="B215" s="19" t="s">
        <v>257</v>
      </c>
      <c r="C215" s="76" t="s">
        <v>69</v>
      </c>
      <c r="D215" s="16">
        <v>259091108.08000001</v>
      </c>
      <c r="E215" s="29">
        <v>3172604.73</v>
      </c>
      <c r="F215" s="29">
        <v>0</v>
      </c>
      <c r="G215" s="10">
        <v>692537.99</v>
      </c>
      <c r="H215" s="12">
        <f t="shared" si="131"/>
        <v>2480066.7400000002</v>
      </c>
      <c r="I215" s="17">
        <v>271134128</v>
      </c>
      <c r="J215" s="13">
        <f t="shared" si="122"/>
        <v>3.1713686523786571E-3</v>
      </c>
      <c r="K215" s="17">
        <v>260540090.78999999</v>
      </c>
      <c r="L215" s="13">
        <f t="shared" si="125"/>
        <v>2.4960472263878784E-3</v>
      </c>
      <c r="M215" s="13">
        <f t="shared" si="126"/>
        <v>-3.9073049520346653E-2</v>
      </c>
      <c r="N215" s="20">
        <f t="shared" si="127"/>
        <v>2.6580860853318657E-3</v>
      </c>
      <c r="O215" s="21">
        <f t="shared" si="128"/>
        <v>9.5189447907231238E-3</v>
      </c>
      <c r="P215" s="22">
        <f t="shared" si="129"/>
        <v>1.1156485724525771</v>
      </c>
      <c r="Q215" s="22">
        <f t="shared" si="130"/>
        <v>1.0619797167025147E-2</v>
      </c>
      <c r="R215" s="10">
        <v>1.1947000000000001</v>
      </c>
      <c r="S215" s="10">
        <v>1.1947000000000001</v>
      </c>
      <c r="T215" s="10">
        <v>55</v>
      </c>
      <c r="U215" s="10">
        <v>227356983.94999999</v>
      </c>
      <c r="V215" s="10">
        <v>233532401.88999999</v>
      </c>
    </row>
    <row r="216" spans="1:22" ht="15" customHeight="1">
      <c r="A216" s="88">
        <v>185</v>
      </c>
      <c r="B216" s="75" t="s">
        <v>193</v>
      </c>
      <c r="C216" s="75" t="s">
        <v>73</v>
      </c>
      <c r="D216" s="50">
        <v>5352874735.8000002</v>
      </c>
      <c r="E216" s="50">
        <v>64474920.729999997</v>
      </c>
      <c r="F216" s="10">
        <v>0</v>
      </c>
      <c r="G216" s="50">
        <v>8204299.8399999999</v>
      </c>
      <c r="H216" s="50">
        <f t="shared" si="131"/>
        <v>56270620.890000001</v>
      </c>
      <c r="I216" s="50">
        <v>5113743797.96</v>
      </c>
      <c r="J216" s="13">
        <f t="shared" si="122"/>
        <v>5.9813815755226957E-2</v>
      </c>
      <c r="K216" s="50">
        <v>5329114408.1199999</v>
      </c>
      <c r="L216" s="13">
        <f t="shared" si="125"/>
        <v>5.1054412382979607E-2</v>
      </c>
      <c r="M216" s="13">
        <f t="shared" si="126"/>
        <v>4.2116034488453753E-2</v>
      </c>
      <c r="N216" s="20">
        <f t="shared" si="127"/>
        <v>1.5395240581622838E-3</v>
      </c>
      <c r="O216" s="21">
        <f t="shared" si="128"/>
        <v>1.0559094172243733E-2</v>
      </c>
      <c r="P216" s="22">
        <f t="shared" si="129"/>
        <v>145.43440625051596</v>
      </c>
      <c r="Q216" s="22">
        <f t="shared" si="130"/>
        <v>1.5356555914835506</v>
      </c>
      <c r="R216" s="50">
        <v>145.43</v>
      </c>
      <c r="S216" s="50">
        <v>145.43</v>
      </c>
      <c r="T216" s="50">
        <v>784</v>
      </c>
      <c r="U216" s="50">
        <v>35525457</v>
      </c>
      <c r="V216" s="50">
        <v>36642735</v>
      </c>
    </row>
    <row r="217" spans="1:22" ht="15" customHeight="1">
      <c r="A217" s="88">
        <v>186</v>
      </c>
      <c r="B217" s="75" t="s">
        <v>219</v>
      </c>
      <c r="C217" s="75" t="s">
        <v>60</v>
      </c>
      <c r="D217" s="50">
        <v>1056598611.01</v>
      </c>
      <c r="E217" s="50">
        <v>10789579.23</v>
      </c>
      <c r="F217" s="10">
        <v>0</v>
      </c>
      <c r="G217" s="50">
        <v>1427866.7</v>
      </c>
      <c r="H217" s="50">
        <f t="shared" si="131"/>
        <v>9361712.5300000012</v>
      </c>
      <c r="I217" s="50">
        <v>1043666708.37</v>
      </c>
      <c r="J217" s="13">
        <f t="shared" si="122"/>
        <v>1.2207433667132585E-2</v>
      </c>
      <c r="K217" s="50">
        <v>1066372057.61</v>
      </c>
      <c r="L217" s="13">
        <f t="shared" si="125"/>
        <v>1.0216143736744015E-2</v>
      </c>
      <c r="M217" s="13">
        <f t="shared" si="126"/>
        <v>2.175536410034699E-2</v>
      </c>
      <c r="N217" s="20">
        <f t="shared" si="127"/>
        <v>1.3389948562607668E-3</v>
      </c>
      <c r="O217" s="21">
        <f t="shared" si="128"/>
        <v>8.7790302298260542E-3</v>
      </c>
      <c r="P217" s="22">
        <f t="shared" si="129"/>
        <v>1349.8521612517113</v>
      </c>
      <c r="Q217" s="22">
        <f t="shared" si="130"/>
        <v>11.850392929424808</v>
      </c>
      <c r="R217" s="50">
        <v>1349.85</v>
      </c>
      <c r="S217" s="50">
        <v>1349.85</v>
      </c>
      <c r="T217" s="50">
        <v>335</v>
      </c>
      <c r="U217" s="50">
        <v>780076.62</v>
      </c>
      <c r="V217" s="50">
        <v>789991.74</v>
      </c>
    </row>
    <row r="218" spans="1:22" ht="15" customHeight="1">
      <c r="A218" s="88">
        <v>187</v>
      </c>
      <c r="B218" s="74" t="s">
        <v>117</v>
      </c>
      <c r="C218" s="75" t="s">
        <v>118</v>
      </c>
      <c r="D218" s="50">
        <v>18133461351.66</v>
      </c>
      <c r="E218" s="50">
        <v>578166797.75</v>
      </c>
      <c r="F218" s="10">
        <v>0</v>
      </c>
      <c r="G218" s="50">
        <v>63085977.479999997</v>
      </c>
      <c r="H218" s="50">
        <f t="shared" si="131"/>
        <v>515080820.26999998</v>
      </c>
      <c r="I218" s="50">
        <v>41046248157.699997</v>
      </c>
      <c r="J218" s="13">
        <f t="shared" si="122"/>
        <v>0.48010475724798829</v>
      </c>
      <c r="K218" s="50">
        <v>43498326976.330002</v>
      </c>
      <c r="L218" s="13">
        <f t="shared" si="125"/>
        <v>0.41672618625627961</v>
      </c>
      <c r="M218" s="13">
        <f t="shared" si="126"/>
        <v>5.9739414165433574E-2</v>
      </c>
      <c r="N218" s="20">
        <f t="shared" si="127"/>
        <v>1.4503081351687108E-3</v>
      </c>
      <c r="O218" s="21">
        <f t="shared" si="128"/>
        <v>1.1841393820739031E-2</v>
      </c>
      <c r="P218" s="22">
        <f t="shared" si="129"/>
        <v>1291.7746496958989</v>
      </c>
      <c r="Q218" s="22">
        <f t="shared" si="130"/>
        <v>15.296412354696344</v>
      </c>
      <c r="R218" s="50">
        <v>1291.77</v>
      </c>
      <c r="S218" s="50">
        <v>1291.77</v>
      </c>
      <c r="T218" s="50">
        <v>12471</v>
      </c>
      <c r="U218" s="50">
        <v>32161294.260000002</v>
      </c>
      <c r="V218" s="50">
        <v>33673309.030000001</v>
      </c>
    </row>
    <row r="219" spans="1:22" ht="15" customHeight="1">
      <c r="A219" s="88">
        <v>188</v>
      </c>
      <c r="B219" s="77" t="s">
        <v>216</v>
      </c>
      <c r="C219" s="77" t="s">
        <v>217</v>
      </c>
      <c r="D219" s="50">
        <v>372320401.63</v>
      </c>
      <c r="E219" s="50">
        <v>0</v>
      </c>
      <c r="F219" s="10">
        <v>97441032.409999996</v>
      </c>
      <c r="G219" s="50">
        <v>659281.81000000006</v>
      </c>
      <c r="H219" s="50">
        <f t="shared" si="131"/>
        <v>96781750.599999994</v>
      </c>
      <c r="I219" s="50">
        <v>357090624.63</v>
      </c>
      <c r="J219" s="13">
        <f t="shared" si="122"/>
        <v>4.1767741352350006E-3</v>
      </c>
      <c r="K219" s="50">
        <v>434619163.17000002</v>
      </c>
      <c r="L219" s="13">
        <f t="shared" si="125"/>
        <v>4.1637736191620957E-3</v>
      </c>
      <c r="M219" s="13">
        <f t="shared" si="126"/>
        <v>0.21711166071730764</v>
      </c>
      <c r="N219" s="20">
        <f t="shared" si="127"/>
        <v>1.5169184101118981E-3</v>
      </c>
      <c r="O219" s="21">
        <f t="shared" si="128"/>
        <v>0.22268173794753751</v>
      </c>
      <c r="P219" s="22">
        <f t="shared" si="129"/>
        <v>135.33698023841185</v>
      </c>
      <c r="Q219" s="22">
        <f t="shared" si="130"/>
        <v>30.137073968061088</v>
      </c>
      <c r="R219" s="50">
        <v>134.84</v>
      </c>
      <c r="S219" s="50">
        <v>135.6</v>
      </c>
      <c r="T219" s="50">
        <v>132</v>
      </c>
      <c r="U219" s="50">
        <v>2709320.3</v>
      </c>
      <c r="V219" s="50">
        <v>3211385.11</v>
      </c>
    </row>
    <row r="220" spans="1:22" ht="15" customHeight="1">
      <c r="A220" s="88">
        <v>189</v>
      </c>
      <c r="B220" s="77" t="s">
        <v>218</v>
      </c>
      <c r="C220" s="77" t="s">
        <v>217</v>
      </c>
      <c r="D220" s="50">
        <v>731451878.82000005</v>
      </c>
      <c r="E220" s="50">
        <v>2097748.0699999998</v>
      </c>
      <c r="F220" s="10">
        <v>35651878.82</v>
      </c>
      <c r="G220" s="50">
        <v>1798390.15</v>
      </c>
      <c r="H220" s="50">
        <f>(E220+F220)-G220</f>
        <v>35951236.740000002</v>
      </c>
      <c r="I220" s="50">
        <v>699095458.48000002</v>
      </c>
      <c r="J220" s="13">
        <f t="shared" si="122"/>
        <v>8.1770946298717409E-3</v>
      </c>
      <c r="K220" s="50">
        <v>863432685.76999998</v>
      </c>
      <c r="L220" s="13">
        <f t="shared" si="125"/>
        <v>8.2719275715074109E-3</v>
      </c>
      <c r="M220" s="13">
        <f t="shared" si="126"/>
        <v>0.23507122710725117</v>
      </c>
      <c r="N220" s="20">
        <f t="shared" si="127"/>
        <v>2.0828377007713287E-3</v>
      </c>
      <c r="O220" s="21">
        <f t="shared" si="128"/>
        <v>4.1637567505264268E-2</v>
      </c>
      <c r="P220" s="22">
        <f t="shared" si="129"/>
        <v>147.73915913927871</v>
      </c>
      <c r="Q220" s="22">
        <f t="shared" si="130"/>
        <v>6.1514992118326965</v>
      </c>
      <c r="R220" s="50">
        <v>139.15</v>
      </c>
      <c r="S220" s="50">
        <v>139.15</v>
      </c>
      <c r="T220" s="50">
        <v>147</v>
      </c>
      <c r="U220" s="50">
        <v>5122215.8</v>
      </c>
      <c r="V220" s="50">
        <v>5844304.8600000003</v>
      </c>
    </row>
    <row r="221" spans="1:22" ht="13.95" customHeight="1">
      <c r="A221" s="88">
        <v>190</v>
      </c>
      <c r="B221" s="75" t="s">
        <v>194</v>
      </c>
      <c r="C221" s="75" t="s">
        <v>142</v>
      </c>
      <c r="D221" s="50">
        <v>2143476490.47</v>
      </c>
      <c r="E221" s="50">
        <v>40669041.829999998</v>
      </c>
      <c r="F221" s="10">
        <v>0</v>
      </c>
      <c r="G221" s="50">
        <v>4820901.92</v>
      </c>
      <c r="H221" s="50">
        <f t="shared" si="131"/>
        <v>35848139.909999996</v>
      </c>
      <c r="I221" s="50">
        <v>2642459033</v>
      </c>
      <c r="J221" s="13">
        <f t="shared" si="122"/>
        <v>3.090799304487047E-2</v>
      </c>
      <c r="K221" s="50">
        <v>2901924198</v>
      </c>
      <c r="L221" s="13">
        <f t="shared" si="125"/>
        <v>2.7801248643319277E-2</v>
      </c>
      <c r="M221" s="13">
        <f t="shared" si="126"/>
        <v>9.8190799463569206E-2</v>
      </c>
      <c r="N221" s="20">
        <f t="shared" si="127"/>
        <v>1.6612776871713448E-3</v>
      </c>
      <c r="O221" s="21">
        <f t="shared" si="128"/>
        <v>1.2353230981948618E-2</v>
      </c>
      <c r="P221" s="22">
        <f t="shared" si="129"/>
        <v>106.71603379316568</v>
      </c>
      <c r="Q221" s="22">
        <f t="shared" si="130"/>
        <v>1.3182878149244102</v>
      </c>
      <c r="R221" s="50">
        <v>106.72</v>
      </c>
      <c r="S221" s="50">
        <v>106.72</v>
      </c>
      <c r="T221" s="50">
        <v>828</v>
      </c>
      <c r="U221" s="50">
        <v>25088981</v>
      </c>
      <c r="V221" s="50">
        <v>27192954</v>
      </c>
    </row>
    <row r="222" spans="1:22">
      <c r="A222" s="88">
        <v>191</v>
      </c>
      <c r="B222" s="74" t="s">
        <v>195</v>
      </c>
      <c r="C222" s="74" t="s">
        <v>46</v>
      </c>
      <c r="D222" s="50">
        <v>1868644602.74</v>
      </c>
      <c r="E222" s="50">
        <v>42265575.759999998</v>
      </c>
      <c r="F222" s="10">
        <v>0</v>
      </c>
      <c r="G222" s="50">
        <v>5940218.4500000002</v>
      </c>
      <c r="H222" s="50">
        <f t="shared" si="131"/>
        <v>36325357.309999995</v>
      </c>
      <c r="I222" s="50">
        <v>3867166379.6700001</v>
      </c>
      <c r="J222" s="13">
        <f t="shared" si="122"/>
        <v>4.5233000804745981E-2</v>
      </c>
      <c r="K222" s="50">
        <v>3759589188.4899998</v>
      </c>
      <c r="L222" s="13">
        <f t="shared" si="125"/>
        <v>3.60179200745427E-2</v>
      </c>
      <c r="M222" s="13">
        <f t="shared" si="126"/>
        <v>-2.7818092271783838E-2</v>
      </c>
      <c r="N222" s="20">
        <f t="shared" si="127"/>
        <v>1.580017962650283E-3</v>
      </c>
      <c r="O222" s="21">
        <f t="shared" si="128"/>
        <v>9.6620549450483172E-3</v>
      </c>
      <c r="P222" s="22">
        <f t="shared" si="129"/>
        <v>147.40047605660433</v>
      </c>
      <c r="Q222" s="22">
        <f t="shared" si="130"/>
        <v>1.4241914985851902</v>
      </c>
      <c r="R222" s="50">
        <v>147.4</v>
      </c>
      <c r="S222" s="50">
        <v>147.4</v>
      </c>
      <c r="T222" s="50">
        <v>2291</v>
      </c>
      <c r="U222" s="50">
        <v>26489434.219999999</v>
      </c>
      <c r="V222" s="50">
        <v>25505950.109999999</v>
      </c>
    </row>
    <row r="223" spans="1:22" ht="15" customHeight="1">
      <c r="A223" s="88">
        <v>192</v>
      </c>
      <c r="B223" s="75" t="s">
        <v>196</v>
      </c>
      <c r="C223" s="75" t="s">
        <v>50</v>
      </c>
      <c r="D223" s="50">
        <v>2517748475</v>
      </c>
      <c r="E223" s="50">
        <v>42718141</v>
      </c>
      <c r="F223" s="10">
        <v>0</v>
      </c>
      <c r="G223" s="50">
        <v>6090395</v>
      </c>
      <c r="H223" s="50">
        <f>(E223+F223)-G223</f>
        <v>36627746</v>
      </c>
      <c r="I223" s="50">
        <v>3983629246</v>
      </c>
      <c r="J223" s="13">
        <f t="shared" si="122"/>
        <v>4.6595229477947635E-2</v>
      </c>
      <c r="K223" s="50">
        <v>4107068603</v>
      </c>
      <c r="L223" s="13">
        <f t="shared" si="125"/>
        <v>3.9346870433716596E-2</v>
      </c>
      <c r="M223" s="13">
        <f t="shared" si="126"/>
        <v>3.0986657988804213E-2</v>
      </c>
      <c r="N223" s="20">
        <f t="shared" si="127"/>
        <v>1.4829055924586415E-3</v>
      </c>
      <c r="O223" s="21">
        <f t="shared" si="128"/>
        <v>8.9182211305760366E-3</v>
      </c>
      <c r="P223" s="22">
        <f t="shared" si="129"/>
        <v>1.2217725055976854</v>
      </c>
      <c r="Q223" s="22">
        <f t="shared" si="130"/>
        <v>1.0896037376178107E-2</v>
      </c>
      <c r="R223" s="50">
        <v>1.22</v>
      </c>
      <c r="S223" s="50">
        <v>1.22</v>
      </c>
      <c r="T223" s="50">
        <v>221</v>
      </c>
      <c r="U223" s="50">
        <v>3289300001</v>
      </c>
      <c r="V223" s="50">
        <v>3361565745</v>
      </c>
    </row>
    <row r="224" spans="1:22" ht="4.95" customHeight="1">
      <c r="A224" s="60"/>
      <c r="B224" s="19"/>
      <c r="C224" s="19"/>
      <c r="D224" s="11"/>
      <c r="E224" s="11"/>
      <c r="F224" s="11"/>
      <c r="G224" s="31"/>
      <c r="H224" s="12"/>
      <c r="I224" s="23"/>
      <c r="J224" s="13"/>
      <c r="K224" s="32"/>
      <c r="L224" s="13"/>
      <c r="M224" s="13"/>
      <c r="N224" s="20"/>
      <c r="O224" s="21"/>
      <c r="P224" s="22"/>
      <c r="Q224" s="22"/>
      <c r="R224" s="12"/>
      <c r="S224" s="12"/>
      <c r="T224" s="41"/>
      <c r="U224" s="31"/>
      <c r="V224" s="41"/>
    </row>
    <row r="225" spans="1:22" ht="15" customHeight="1">
      <c r="A225" s="112" t="s">
        <v>214</v>
      </c>
      <c r="B225" s="114"/>
      <c r="C225" s="114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</row>
    <row r="226" spans="1:22" ht="15" customHeight="1">
      <c r="A226" s="87">
        <v>193</v>
      </c>
      <c r="B226" s="73" t="s">
        <v>302</v>
      </c>
      <c r="C226" s="73" t="s">
        <v>303</v>
      </c>
      <c r="D226" s="58">
        <v>442475383.91000003</v>
      </c>
      <c r="E226" s="16">
        <v>4153894.37</v>
      </c>
      <c r="F226" s="16">
        <v>32895382.91</v>
      </c>
      <c r="G226" s="16">
        <v>1168590.1299999999</v>
      </c>
      <c r="H226" s="16">
        <f>(E226+F226)-G226</f>
        <v>35880687.149999999</v>
      </c>
      <c r="I226" s="52">
        <v>388151794.25</v>
      </c>
      <c r="J226" s="53">
        <f t="shared" ref="J226:J229" si="133">(I226/$I$230)</f>
        <v>4.5400866417265638E-3</v>
      </c>
      <c r="K226" s="52">
        <v>464479491.27999997</v>
      </c>
      <c r="L226" s="13">
        <f t="shared" ref="L226" si="134">(K226/$K$230)</f>
        <v>4.4498439468878669E-3</v>
      </c>
      <c r="M226" s="13">
        <f>((K226-I226)/I226)</f>
        <v>0.1966439371418672</v>
      </c>
      <c r="N226" s="20">
        <f t="shared" ref="N226" si="135">(G226/K226)</f>
        <v>2.515913300670458E-3</v>
      </c>
      <c r="O226" s="21">
        <f t="shared" ref="O226" si="136">H226/K226</f>
        <v>7.7249238822409527E-2</v>
      </c>
      <c r="P226" s="22">
        <f t="shared" ref="P226" si="137">K226/V226</f>
        <v>114.70793287425084</v>
      </c>
      <c r="Q226" s="22">
        <f t="shared" ref="Q226" si="138">H226/V226</f>
        <v>8.8611005014279236</v>
      </c>
      <c r="R226" s="52">
        <v>114.71</v>
      </c>
      <c r="S226" s="52">
        <v>114.71</v>
      </c>
      <c r="T226" s="52">
        <v>110</v>
      </c>
      <c r="U226" s="52">
        <v>3603258</v>
      </c>
      <c r="V226" s="52">
        <v>4049236</v>
      </c>
    </row>
    <row r="227" spans="1:22" ht="15" customHeight="1">
      <c r="A227" s="91">
        <v>194</v>
      </c>
      <c r="B227" s="92" t="s">
        <v>279</v>
      </c>
      <c r="C227" s="78" t="s">
        <v>58</v>
      </c>
      <c r="D227" s="16">
        <v>5966661154</v>
      </c>
      <c r="E227" s="16">
        <v>34292816</v>
      </c>
      <c r="F227" s="16">
        <v>1066566347</v>
      </c>
      <c r="G227" s="16">
        <v>63490214</v>
      </c>
      <c r="H227" s="16">
        <f>(E227+F227)-G227</f>
        <v>1037368949</v>
      </c>
      <c r="I227" s="52">
        <v>6325124226</v>
      </c>
      <c r="J227" s="53">
        <f t="shared" si="133"/>
        <v>7.3982942836090401E-2</v>
      </c>
      <c r="K227" s="52">
        <v>9500931919</v>
      </c>
      <c r="L227" s="13">
        <f t="shared" ref="L227:L229" si="139">(K227/$K$230)</f>
        <v>9.102159553492499E-2</v>
      </c>
      <c r="M227" s="13">
        <f t="shared" ref="M227:M229" si="140">((K227-I227)/I227)</f>
        <v>0.50209412171630607</v>
      </c>
      <c r="N227" s="20">
        <f t="shared" ref="N227:N229" si="141">(G227/K227)</f>
        <v>6.682524887167334E-3</v>
      </c>
      <c r="O227" s="21">
        <f t="shared" ref="O227:O229" si="142">H227/K227</f>
        <v>0.1091860206813466</v>
      </c>
      <c r="P227" s="22">
        <f t="shared" ref="P227:P229" si="143">K227/V227</f>
        <v>129.81526284001157</v>
      </c>
      <c r="Q227" s="22">
        <f t="shared" ref="Q227:Q229" si="144">H227/V227</f>
        <v>14.174011973203948</v>
      </c>
      <c r="R227" s="52">
        <v>129.1662</v>
      </c>
      <c r="S227" s="52">
        <v>133.0607</v>
      </c>
      <c r="T227" s="52">
        <v>3950</v>
      </c>
      <c r="U227" s="52">
        <v>56584002</v>
      </c>
      <c r="V227" s="52">
        <v>73188096</v>
      </c>
    </row>
    <row r="228" spans="1:22" ht="15" customHeight="1">
      <c r="A228" s="90">
        <v>195</v>
      </c>
      <c r="B228" s="10" t="s">
        <v>215</v>
      </c>
      <c r="C228" s="25" t="s">
        <v>118</v>
      </c>
      <c r="D228" s="16">
        <v>185896108.38</v>
      </c>
      <c r="E228" s="16">
        <v>3037001.72</v>
      </c>
      <c r="F228" s="16">
        <v>24304000</v>
      </c>
      <c r="G228" s="10">
        <v>938658.94</v>
      </c>
      <c r="H228" s="12">
        <f>(E228+F228)-G228</f>
        <v>26402342.779999997</v>
      </c>
      <c r="I228" s="17">
        <v>297956593.52999997</v>
      </c>
      <c r="J228" s="53">
        <f t="shared" si="133"/>
        <v>3.4851024010174453E-3</v>
      </c>
      <c r="K228" s="17">
        <v>325344441.44999999</v>
      </c>
      <c r="L228" s="13">
        <f t="shared" si="139"/>
        <v>3.1168911020167454E-3</v>
      </c>
      <c r="M228" s="13">
        <f t="shared" si="140"/>
        <v>9.1918918777820074E-2</v>
      </c>
      <c r="N228" s="20">
        <f t="shared" si="141"/>
        <v>2.8851236425511705E-3</v>
      </c>
      <c r="O228" s="21">
        <f t="shared" si="142"/>
        <v>8.1151971314861376E-2</v>
      </c>
      <c r="P228" s="22">
        <f t="shared" si="143"/>
        <v>1412.58345478097</v>
      </c>
      <c r="Q228" s="22">
        <f t="shared" si="144"/>
        <v>114.63393200223307</v>
      </c>
      <c r="R228" s="12">
        <v>1412.58</v>
      </c>
      <c r="S228" s="12">
        <v>1412.58</v>
      </c>
      <c r="T228" s="10">
        <v>276</v>
      </c>
      <c r="U228" s="10">
        <v>229425.11</v>
      </c>
      <c r="V228" s="10">
        <v>230318.74</v>
      </c>
    </row>
    <row r="229" spans="1:22" ht="15" customHeight="1">
      <c r="A229" s="90">
        <v>196</v>
      </c>
      <c r="B229" s="10" t="s">
        <v>277</v>
      </c>
      <c r="C229" s="10" t="s">
        <v>278</v>
      </c>
      <c r="D229" s="17">
        <v>83821744.129999995</v>
      </c>
      <c r="E229" s="17">
        <v>5955714.2999999998</v>
      </c>
      <c r="F229" s="17">
        <v>0</v>
      </c>
      <c r="G229" s="17">
        <v>226381.22</v>
      </c>
      <c r="H229" s="17">
        <f>(E229+F229)-G229</f>
        <v>5729333.0800000001</v>
      </c>
      <c r="I229" s="17">
        <v>147327468.84999999</v>
      </c>
      <c r="J229" s="53">
        <f t="shared" si="133"/>
        <v>1.7232419975739207E-3</v>
      </c>
      <c r="K229" s="17">
        <v>160029457.49000001</v>
      </c>
      <c r="L229" s="13">
        <f t="shared" si="139"/>
        <v>1.5331271371599702E-3</v>
      </c>
      <c r="M229" s="13">
        <f t="shared" si="140"/>
        <v>8.6216024337813196E-2</v>
      </c>
      <c r="N229" s="20">
        <f t="shared" si="141"/>
        <v>1.4146221798830144E-3</v>
      </c>
      <c r="O229" s="21">
        <f t="shared" si="142"/>
        <v>3.5801740316204075E-2</v>
      </c>
      <c r="P229" s="22">
        <f t="shared" si="143"/>
        <v>122.64259749824501</v>
      </c>
      <c r="Q229" s="22">
        <f t="shared" si="144"/>
        <v>4.3908184273369075</v>
      </c>
      <c r="R229" s="17">
        <v>116.21</v>
      </c>
      <c r="S229" s="17">
        <v>118.6</v>
      </c>
      <c r="T229" s="17">
        <v>305</v>
      </c>
      <c r="U229" s="17">
        <v>1304844</v>
      </c>
      <c r="V229" s="17">
        <v>1304844</v>
      </c>
    </row>
    <row r="230" spans="1:22" ht="15" customHeight="1">
      <c r="A230" s="109" t="s">
        <v>51</v>
      </c>
      <c r="B230" s="109"/>
      <c r="C230" s="109"/>
      <c r="D230" s="109"/>
      <c r="E230" s="109"/>
      <c r="F230" s="109"/>
      <c r="G230" s="109"/>
      <c r="H230" s="109"/>
      <c r="I230" s="36">
        <f>SUM(I206:I229)</f>
        <v>85494358341.669998</v>
      </c>
      <c r="J230" s="34">
        <f>(I230/$I$240)</f>
        <v>1.0515968132661107E-2</v>
      </c>
      <c r="K230" s="36">
        <f>SUM(K206:K229)</f>
        <v>104381074218.31001</v>
      </c>
      <c r="L230" s="34">
        <f>(K230/$K$240)</f>
        <v>1.2558488180671163E-2</v>
      </c>
      <c r="M230" s="34">
        <f t="shared" si="124"/>
        <v>0.22091183842986536</v>
      </c>
      <c r="N230" s="20"/>
      <c r="O230" s="20"/>
      <c r="P230" s="35"/>
      <c r="Q230" s="35"/>
      <c r="R230" s="36"/>
      <c r="S230" s="36"/>
      <c r="T230" s="36">
        <f>SUM(T206:T229)</f>
        <v>43380</v>
      </c>
      <c r="U230" s="36"/>
      <c r="V230" s="36"/>
    </row>
    <row r="231" spans="1:22" ht="15" customHeight="1">
      <c r="A231" s="110" t="s">
        <v>293</v>
      </c>
      <c r="B231" s="110"/>
      <c r="C231" s="110"/>
      <c r="D231" s="110"/>
      <c r="E231" s="110"/>
      <c r="F231" s="110"/>
      <c r="G231" s="110"/>
      <c r="H231" s="110"/>
      <c r="I231" s="64">
        <f>SUM(I25,I72,I114,I156,I165,I197,I202,I230)</f>
        <v>8109517694061.6299</v>
      </c>
      <c r="J231" s="65"/>
      <c r="K231" s="64">
        <f>SUM(K25,K72,K114,K156,K165,K197,K202,K230)</f>
        <v>8281579918215.5049</v>
      </c>
      <c r="L231" s="65"/>
      <c r="M231" s="65"/>
      <c r="N231" s="66"/>
      <c r="O231" s="66"/>
      <c r="P231" s="67"/>
      <c r="Q231" s="67"/>
      <c r="R231" s="64"/>
      <c r="S231" s="64"/>
      <c r="T231" s="64">
        <f>SUM(T25,T72,T114,T156,T165,T197,T202,T230)</f>
        <v>1133217</v>
      </c>
      <c r="U231" s="64"/>
      <c r="V231" s="64"/>
    </row>
    <row r="232" spans="1:22" s="6" customFormat="1" ht="6.6" customHeight="1">
      <c r="A232" s="59"/>
      <c r="B232" s="59"/>
      <c r="C232" s="59"/>
      <c r="D232" s="59"/>
      <c r="E232" s="59"/>
      <c r="F232" s="59"/>
      <c r="G232" s="59"/>
      <c r="H232" s="59"/>
      <c r="I232" s="36"/>
      <c r="J232" s="55"/>
      <c r="K232" s="36"/>
      <c r="L232" s="55"/>
      <c r="M232" s="55"/>
      <c r="N232" s="56"/>
      <c r="O232" s="56"/>
      <c r="P232" s="57"/>
      <c r="Q232" s="57"/>
      <c r="R232" s="36"/>
      <c r="S232" s="36"/>
      <c r="T232" s="36"/>
      <c r="U232" s="36"/>
      <c r="V232" s="36"/>
    </row>
    <row r="233" spans="1:22" s="6" customFormat="1" ht="15" customHeight="1">
      <c r="A233" s="121" t="s">
        <v>281</v>
      </c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</row>
    <row r="234" spans="1:22" s="6" customFormat="1" ht="15" customHeight="1">
      <c r="A234" s="89">
        <v>1</v>
      </c>
      <c r="B234" s="25" t="s">
        <v>282</v>
      </c>
      <c r="C234" s="25" t="s">
        <v>58</v>
      </c>
      <c r="D234" s="17">
        <f>883073*FX_RATE</f>
        <v>1203977666.0642002</v>
      </c>
      <c r="E234" s="16">
        <f>8396*FX_RATE</f>
        <v>11447067.7784</v>
      </c>
      <c r="F234" s="16">
        <f>470*FX_RATE</f>
        <v>640795.83800000011</v>
      </c>
      <c r="G234" s="16">
        <f>2979*FX_RATE</f>
        <v>4061554.8966000001</v>
      </c>
      <c r="H234" s="17">
        <f>(E234+F234)-G234</f>
        <v>8026308.7197999991</v>
      </c>
      <c r="I234" s="10">
        <v>1863255736.3728001</v>
      </c>
      <c r="J234" s="13">
        <f>(I234/$I$239)</f>
        <v>9.1164828043419771E-2</v>
      </c>
      <c r="K234" s="10">
        <f>1534722*FX_RATE</f>
        <v>2092432915.0788002</v>
      </c>
      <c r="L234" s="13">
        <f>(K234/$K$239)</f>
        <v>6.9711487905806668E-2</v>
      </c>
      <c r="M234" s="13">
        <f>((K234-I234)/I234)</f>
        <v>0.12299824132147276</v>
      </c>
      <c r="N234" s="20">
        <f t="shared" ref="N234" si="145">(G234/K234)</f>
        <v>1.9410681543628096E-3</v>
      </c>
      <c r="O234" s="21">
        <f t="shared" ref="O234" si="146">H234/K234</f>
        <v>3.8358738585880692E-3</v>
      </c>
      <c r="P234" s="22">
        <f t="shared" ref="P234" si="147">K234/V234</f>
        <v>1425.0339431689822</v>
      </c>
      <c r="Q234" s="22">
        <f t="shared" ref="Q234" si="148">H234/V234</f>
        <v>5.4662504502025753</v>
      </c>
      <c r="R234" s="10">
        <f>1.0452*FX_RATE</f>
        <v>1425.0208720799999</v>
      </c>
      <c r="S234" s="10">
        <f>1.0452*FX_RATE</f>
        <v>1425.0208720799999</v>
      </c>
      <c r="T234" s="10">
        <v>55</v>
      </c>
      <c r="U234" s="10">
        <v>1291098</v>
      </c>
      <c r="V234" s="10">
        <v>1468339</v>
      </c>
    </row>
    <row r="235" spans="1:22" s="6" customFormat="1" ht="15" customHeight="1">
      <c r="A235" s="89">
        <v>2</v>
      </c>
      <c r="B235" s="25" t="s">
        <v>283</v>
      </c>
      <c r="C235" s="25" t="s">
        <v>284</v>
      </c>
      <c r="D235" s="16">
        <v>3549477548.3699999</v>
      </c>
      <c r="E235" s="16">
        <v>184371048.59</v>
      </c>
      <c r="F235" s="107">
        <v>0</v>
      </c>
      <c r="G235" s="16">
        <v>13439564.84</v>
      </c>
      <c r="H235" s="17">
        <f>(E235+F235)-G235</f>
        <v>170931483.75</v>
      </c>
      <c r="I235" s="10">
        <v>4192942566.5300002</v>
      </c>
      <c r="J235" s="13">
        <f t="shared" ref="J235:J238" si="149">(I235/$I$239)</f>
        <v>0.20515105930534611</v>
      </c>
      <c r="K235" s="10">
        <v>15547853111.870001</v>
      </c>
      <c r="L235" s="13">
        <f t="shared" ref="L235:L238" si="150">(K235/$K$239)</f>
        <v>0.51799222157072888</v>
      </c>
      <c r="M235" s="13">
        <f t="shared" ref="M235:M238" si="151">((K235-I235)/I235)</f>
        <v>2.7081006632383016</v>
      </c>
      <c r="N235" s="20">
        <f t="shared" ref="N235:N238" si="152">(G235/K235)</f>
        <v>8.6440003924011678E-4</v>
      </c>
      <c r="O235" s="21">
        <f t="shared" ref="O235:O238" si="153">H235/K235</f>
        <v>1.0993896232496719E-2</v>
      </c>
      <c r="P235" s="22">
        <f t="shared" ref="P235:P238" si="154">K235/V235</f>
        <v>108.80315262751354</v>
      </c>
      <c r="Q235" s="22">
        <f t="shared" ref="Q235:Q238" si="155">H235/V235</f>
        <v>1.1961705697553868</v>
      </c>
      <c r="R235" s="10">
        <v>123.3</v>
      </c>
      <c r="S235" s="10">
        <v>123.3</v>
      </c>
      <c r="T235" s="10">
        <v>12</v>
      </c>
      <c r="U235" s="10">
        <v>33185200</v>
      </c>
      <c r="V235" s="10">
        <v>142898921</v>
      </c>
    </row>
    <row r="236" spans="1:22" s="6" customFormat="1" ht="15" customHeight="1">
      <c r="A236" s="89">
        <v>3</v>
      </c>
      <c r="B236" s="25" t="s">
        <v>285</v>
      </c>
      <c r="C236" s="25" t="s">
        <v>134</v>
      </c>
      <c r="D236" s="16">
        <v>1251519050.0599999</v>
      </c>
      <c r="E236" s="16">
        <v>5397189.5899999999</v>
      </c>
      <c r="F236" s="16">
        <v>7506935.7999999998</v>
      </c>
      <c r="G236" s="16">
        <v>1005194.34</v>
      </c>
      <c r="H236" s="17">
        <f>(E236+F236)-G236</f>
        <v>11898931.050000001</v>
      </c>
      <c r="I236" s="10">
        <v>1144575704.8699999</v>
      </c>
      <c r="J236" s="13">
        <f t="shared" si="149"/>
        <v>5.6001463073597199E-2</v>
      </c>
      <c r="K236" s="10">
        <v>1209034070.1300001</v>
      </c>
      <c r="L236" s="13">
        <f t="shared" si="150"/>
        <v>4.0280174982050318E-2</v>
      </c>
      <c r="M236" s="13">
        <f t="shared" si="151"/>
        <v>5.6316384303580311E-2</v>
      </c>
      <c r="N236" s="20">
        <f t="shared" si="152"/>
        <v>8.3140282381944579E-4</v>
      </c>
      <c r="O236" s="21">
        <f t="shared" si="153"/>
        <v>9.8416838234513786E-3</v>
      </c>
      <c r="P236" s="22">
        <f t="shared" si="154"/>
        <v>153310.09486571481</v>
      </c>
      <c r="Q236" s="22">
        <f t="shared" si="155"/>
        <v>1508.8294806117017</v>
      </c>
      <c r="R236" s="10">
        <f>112.35*FX_RATE</f>
        <v>153177.47319000002</v>
      </c>
      <c r="S236" s="10">
        <f>112.35*FX_RATE</f>
        <v>153177.47319000002</v>
      </c>
      <c r="T236" s="10">
        <v>15</v>
      </c>
      <c r="U236" s="10">
        <v>7373.3</v>
      </c>
      <c r="V236" s="10">
        <v>7886.2</v>
      </c>
    </row>
    <row r="237" spans="1:22" ht="15" customHeight="1">
      <c r="A237" s="89">
        <v>4</v>
      </c>
      <c r="B237" s="25" t="s">
        <v>286</v>
      </c>
      <c r="C237" s="25" t="s">
        <v>287</v>
      </c>
      <c r="D237" s="16">
        <v>11110060701.58</v>
      </c>
      <c r="E237" s="16">
        <v>192449310.41999999</v>
      </c>
      <c r="F237" s="107">
        <v>0</v>
      </c>
      <c r="G237" s="16">
        <v>21132040.219999999</v>
      </c>
      <c r="H237" s="17">
        <f>(E237+F237)-G237</f>
        <v>171317270.19999999</v>
      </c>
      <c r="I237" s="10">
        <v>13051016456.99</v>
      </c>
      <c r="J237" s="13">
        <f t="shared" si="149"/>
        <v>0.63855629040461526</v>
      </c>
      <c r="K237" s="10">
        <v>10953599777.15</v>
      </c>
      <c r="L237" s="13">
        <f t="shared" si="150"/>
        <v>0.36493009304486218</v>
      </c>
      <c r="M237" s="13">
        <f t="shared" si="151"/>
        <v>-0.16070906712531527</v>
      </c>
      <c r="N237" s="20">
        <f t="shared" si="152"/>
        <v>1.9292324578156453E-3</v>
      </c>
      <c r="O237" s="21">
        <f t="shared" si="153"/>
        <v>1.5640271115015557E-2</v>
      </c>
      <c r="P237" s="22">
        <f t="shared" si="154"/>
        <v>1.050201320915628</v>
      </c>
      <c r="Q237" s="22">
        <f t="shared" si="155"/>
        <v>1.6425433384467881E-2</v>
      </c>
      <c r="R237" s="10">
        <v>1.05</v>
      </c>
      <c r="S237" s="10">
        <v>1.05</v>
      </c>
      <c r="T237" s="10">
        <v>16</v>
      </c>
      <c r="U237" s="10">
        <v>10430000000</v>
      </c>
      <c r="V237" s="10">
        <v>10430000000</v>
      </c>
    </row>
    <row r="238" spans="1:22" ht="15" customHeight="1">
      <c r="A238" s="89">
        <v>5</v>
      </c>
      <c r="B238" s="25" t="s">
        <v>288</v>
      </c>
      <c r="C238" s="25" t="s">
        <v>50</v>
      </c>
      <c r="D238" s="17">
        <v>213887352</v>
      </c>
      <c r="E238" s="16">
        <v>1403293</v>
      </c>
      <c r="F238" s="16">
        <v>25481455</v>
      </c>
      <c r="G238" s="16">
        <v>604910</v>
      </c>
      <c r="H238" s="17">
        <f>(E238+F238)-G238</f>
        <v>26279838</v>
      </c>
      <c r="I238" s="10">
        <v>186527430</v>
      </c>
      <c r="J238" s="13">
        <f t="shared" si="149"/>
        <v>9.1263591730215993E-3</v>
      </c>
      <c r="K238" s="10">
        <v>212691296</v>
      </c>
      <c r="L238" s="13">
        <f t="shared" si="150"/>
        <v>7.0860224965520408E-3</v>
      </c>
      <c r="M238" s="13">
        <f t="shared" si="151"/>
        <v>0.14026819540697044</v>
      </c>
      <c r="N238" s="20">
        <f t="shared" si="152"/>
        <v>2.8440750109492022E-3</v>
      </c>
      <c r="O238" s="21">
        <f t="shared" si="153"/>
        <v>0.12355859639879198</v>
      </c>
      <c r="P238" s="22">
        <f t="shared" si="154"/>
        <v>1.3565385247029242</v>
      </c>
      <c r="Q238" s="22">
        <f t="shared" si="155"/>
        <v>0.16761199607318134</v>
      </c>
      <c r="R238" s="10">
        <v>1.36</v>
      </c>
      <c r="S238" s="10">
        <v>1.36</v>
      </c>
      <c r="T238" s="10">
        <v>19</v>
      </c>
      <c r="U238" s="10">
        <v>156789720</v>
      </c>
      <c r="V238" s="10">
        <v>156789720.40000001</v>
      </c>
    </row>
    <row r="239" spans="1:22" ht="15" customHeight="1">
      <c r="A239" s="109" t="s">
        <v>51</v>
      </c>
      <c r="B239" s="109"/>
      <c r="C239" s="109"/>
      <c r="D239" s="109"/>
      <c r="E239" s="109"/>
      <c r="F239" s="109"/>
      <c r="G239" s="109"/>
      <c r="H239" s="109"/>
      <c r="I239" s="36">
        <f>SUM(I234:I238)</f>
        <v>20438317894.762802</v>
      </c>
      <c r="J239" s="34">
        <f>(I239/$I$240)</f>
        <v>2.5139518423845106E-3</v>
      </c>
      <c r="K239" s="69">
        <f>SUM(K234:K238)</f>
        <v>30015611170.228798</v>
      </c>
      <c r="L239" s="34">
        <f>(K239/$K$240)</f>
        <v>3.6112935313211874E-3</v>
      </c>
      <c r="M239" s="55"/>
      <c r="N239" s="56"/>
      <c r="O239" s="56"/>
      <c r="P239" s="57"/>
      <c r="Q239" s="57"/>
      <c r="R239" s="36"/>
      <c r="S239" s="36"/>
      <c r="T239" s="36">
        <f>SUM(T234:T238)</f>
        <v>117</v>
      </c>
      <c r="U239" s="36"/>
      <c r="V239" s="36"/>
    </row>
    <row r="240" spans="1:22" ht="15.6" customHeight="1">
      <c r="A240" s="120" t="s">
        <v>197</v>
      </c>
      <c r="B240" s="120"/>
      <c r="C240" s="120"/>
      <c r="D240" s="120"/>
      <c r="E240" s="120"/>
      <c r="F240" s="120"/>
      <c r="G240" s="120"/>
      <c r="H240" s="120"/>
      <c r="I240" s="62">
        <f>I231+I239</f>
        <v>8129956011956.3926</v>
      </c>
      <c r="J240" s="61"/>
      <c r="K240" s="62">
        <f>K231+K239</f>
        <v>8311595529385.7334</v>
      </c>
      <c r="L240" s="61"/>
      <c r="M240" s="61"/>
      <c r="N240" s="61"/>
      <c r="O240" s="61"/>
      <c r="P240" s="61"/>
      <c r="Q240" s="61"/>
      <c r="R240" s="63"/>
      <c r="S240" s="63"/>
      <c r="T240" s="62">
        <f>T231+T239</f>
        <v>1133334</v>
      </c>
      <c r="U240" s="63"/>
      <c r="V240" s="63"/>
    </row>
    <row r="241" spans="1:22" ht="4.95" customHeight="1">
      <c r="A241" s="51"/>
      <c r="B241" s="14"/>
      <c r="C241" s="14"/>
      <c r="D241" s="6"/>
      <c r="E241" s="6"/>
      <c r="F241" s="6"/>
      <c r="G241" s="6"/>
      <c r="H241" s="7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>
      <c r="A242" s="143" t="s">
        <v>198</v>
      </c>
      <c r="B242" s="144" t="s">
        <v>324</v>
      </c>
      <c r="C242" s="54">
        <v>1363.3954000000001</v>
      </c>
      <c r="D242" s="70"/>
      <c r="E242" s="6"/>
      <c r="F242" s="6"/>
      <c r="G242" s="6"/>
      <c r="H242" s="7"/>
      <c r="I242" s="8"/>
      <c r="J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9"/>
    </row>
  </sheetData>
  <sheetProtection algorithmName="SHA-512" hashValue="fOYryYigo90m8drWj71heVD0TpqN+aiURzE21C8yrPDAWGTTPJVdlnabCeHwTUWPY9QQkabDPH6W4qF0+ca7Ng==" saltValue="VstXE7ImKfJL26wRvZOTHQ==" spinCount="100000" sheet="1" objects="1" scenarios="1"/>
  <mergeCells count="36">
    <mergeCell ref="A239:H239"/>
    <mergeCell ref="A240:H240"/>
    <mergeCell ref="A233:V233"/>
    <mergeCell ref="A1:V1"/>
    <mergeCell ref="A3:V3"/>
    <mergeCell ref="A4:V4"/>
    <mergeCell ref="A25:H25"/>
    <mergeCell ref="A26:V26"/>
    <mergeCell ref="A27:V27"/>
    <mergeCell ref="A72:H72"/>
    <mergeCell ref="A73:V73"/>
    <mergeCell ref="A74:V74"/>
    <mergeCell ref="A114:H114"/>
    <mergeCell ref="A115:V115"/>
    <mergeCell ref="A116:V116"/>
    <mergeCell ref="A117:V117"/>
    <mergeCell ref="A135:V135"/>
    <mergeCell ref="A136:V136"/>
    <mergeCell ref="A156:H156"/>
    <mergeCell ref="A157:V157"/>
    <mergeCell ref="A158:V158"/>
    <mergeCell ref="A165:H165"/>
    <mergeCell ref="A166:V166"/>
    <mergeCell ref="A167:V167"/>
    <mergeCell ref="A197:H197"/>
    <mergeCell ref="A198:V198"/>
    <mergeCell ref="A199:V199"/>
    <mergeCell ref="A202:H202"/>
    <mergeCell ref="A230:H230"/>
    <mergeCell ref="A231:H231"/>
    <mergeCell ref="A203:V203"/>
    <mergeCell ref="A204:V204"/>
    <mergeCell ref="A205:V205"/>
    <mergeCell ref="A208:V208"/>
    <mergeCell ref="A209:V209"/>
    <mergeCell ref="A225:V225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5 J72 J114 J156 J165 J197 J202 J230 J2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B1" workbookViewId="0">
      <selection activeCell="J10" sqref="J10"/>
    </sheetView>
  </sheetViews>
  <sheetFormatPr defaultColWidth="9" defaultRowHeight="14.4"/>
  <cols>
    <col min="1" max="1" width="30.33203125" customWidth="1"/>
    <col min="2" max="2" width="9.33203125" customWidth="1"/>
    <col min="3" max="3" width="9.4414062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96"/>
      <c r="B3" s="96"/>
      <c r="C3" s="96"/>
      <c r="D3" s="2"/>
      <c r="E3" s="2"/>
      <c r="F3" s="2"/>
      <c r="G3" s="2"/>
      <c r="H3" s="2"/>
    </row>
    <row r="4" spans="1:8" ht="33" customHeight="1">
      <c r="A4" s="97" t="s">
        <v>199</v>
      </c>
      <c r="B4" s="140" t="s">
        <v>323</v>
      </c>
      <c r="C4" s="140" t="s">
        <v>327</v>
      </c>
      <c r="D4" s="129"/>
      <c r="E4" s="2"/>
      <c r="F4" s="2"/>
      <c r="G4" s="2"/>
      <c r="H4" s="2"/>
    </row>
    <row r="5" spans="1:8" ht="19.05" customHeight="1">
      <c r="A5" s="98" t="s">
        <v>20</v>
      </c>
      <c r="B5" s="141">
        <v>100.45174506524002</v>
      </c>
      <c r="C5" s="141">
        <f>February!K25/1000000000</f>
        <v>148.292010503</v>
      </c>
      <c r="D5" s="129"/>
      <c r="E5" s="2"/>
      <c r="F5" s="2"/>
      <c r="G5" s="2"/>
      <c r="H5" s="2"/>
    </row>
    <row r="6" spans="1:8">
      <c r="A6" s="97" t="s">
        <v>52</v>
      </c>
      <c r="B6" s="141">
        <v>5189.288413032009</v>
      </c>
      <c r="C6" s="141">
        <f>February!K72/1000000000</f>
        <v>5317.5723324362407</v>
      </c>
      <c r="D6" s="129"/>
      <c r="E6" s="2"/>
      <c r="F6" s="2"/>
      <c r="G6" s="2"/>
      <c r="H6" s="2"/>
    </row>
    <row r="7" spans="1:8">
      <c r="A7" s="97" t="s">
        <v>200</v>
      </c>
      <c r="B7" s="141">
        <v>240.76536151262999</v>
      </c>
      <c r="C7" s="141">
        <f>February!K114/1000000000</f>
        <v>245.02251479789004</v>
      </c>
      <c r="D7" s="129"/>
      <c r="E7" s="2"/>
      <c r="F7" s="2"/>
      <c r="G7" s="2"/>
      <c r="H7" s="2"/>
    </row>
    <row r="8" spans="1:8">
      <c r="A8" s="97" t="s">
        <v>201</v>
      </c>
      <c r="B8" s="141">
        <v>1875.9569024292011</v>
      </c>
      <c r="C8" s="141">
        <f>February!K156/1000000000</f>
        <v>1836.1119737791648</v>
      </c>
      <c r="D8" s="129"/>
      <c r="E8" s="2"/>
      <c r="F8" s="2"/>
      <c r="G8" s="2"/>
      <c r="H8" s="2"/>
    </row>
    <row r="9" spans="1:8">
      <c r="A9" s="97" t="s">
        <v>202</v>
      </c>
      <c r="B9" s="141">
        <v>513.36709383830998</v>
      </c>
      <c r="C9" s="141">
        <f>February!K165/1000000000</f>
        <v>501.58741494934998</v>
      </c>
      <c r="D9" s="129"/>
      <c r="E9" s="2"/>
      <c r="F9" s="2"/>
      <c r="G9" s="2"/>
      <c r="H9" s="2"/>
    </row>
    <row r="10" spans="1:8">
      <c r="A10" s="97" t="s">
        <v>159</v>
      </c>
      <c r="B10" s="141">
        <v>94.530140413209992</v>
      </c>
      <c r="C10" s="141">
        <f>February!K197/1000000000</f>
        <v>115.15745344782</v>
      </c>
      <c r="D10" s="129"/>
      <c r="E10" s="2"/>
      <c r="F10" s="2"/>
      <c r="G10" s="2"/>
      <c r="H10" s="2"/>
    </row>
    <row r="11" spans="1:8">
      <c r="A11" s="97" t="s">
        <v>182</v>
      </c>
      <c r="B11" s="141">
        <v>9.6636794293600001</v>
      </c>
      <c r="C11" s="141">
        <f>February!K202/1000000000</f>
        <v>13.45514408373</v>
      </c>
      <c r="D11" s="129"/>
      <c r="E11" s="2"/>
      <c r="F11" s="2"/>
      <c r="G11" s="2"/>
      <c r="H11" s="2"/>
    </row>
    <row r="12" spans="1:8">
      <c r="A12" s="97" t="s">
        <v>203</v>
      </c>
      <c r="B12" s="141">
        <v>85.494358341669994</v>
      </c>
      <c r="C12" s="141">
        <f>February!K230/1000000000</f>
        <v>104.38107421831002</v>
      </c>
      <c r="D12" s="129"/>
      <c r="E12" s="2"/>
      <c r="F12" s="2"/>
      <c r="G12" s="2"/>
      <c r="H12" s="2"/>
    </row>
    <row r="13" spans="1:8">
      <c r="A13" s="99" t="s">
        <v>281</v>
      </c>
      <c r="B13" s="141">
        <v>20.4383178947628</v>
      </c>
      <c r="C13" s="141">
        <f>February!K239/1000000000</f>
        <v>30.015611170228798</v>
      </c>
      <c r="D13" s="129"/>
      <c r="E13" s="2"/>
      <c r="F13" s="2"/>
      <c r="G13" s="2"/>
      <c r="H13" s="2"/>
    </row>
    <row r="14" spans="1:8">
      <c r="A14" s="96"/>
      <c r="B14" s="142"/>
      <c r="C14" s="142"/>
      <c r="D14" s="129"/>
      <c r="E14" s="2"/>
      <c r="F14" s="2"/>
      <c r="G14" s="2"/>
      <c r="H14" s="2"/>
    </row>
    <row r="15" spans="1:8">
      <c r="A15" s="96"/>
      <c r="B15" s="142"/>
      <c r="C15" s="142"/>
      <c r="D15" s="129"/>
      <c r="E15" s="2"/>
      <c r="F15" s="2"/>
      <c r="G15" s="2"/>
      <c r="H15" s="2"/>
    </row>
    <row r="16" spans="1:8">
      <c r="A16" s="96"/>
      <c r="B16" s="100"/>
      <c r="C16" s="96"/>
      <c r="D16" s="2"/>
      <c r="E16" s="2"/>
      <c r="F16" s="2"/>
      <c r="G16" s="2"/>
      <c r="H16" s="2"/>
    </row>
    <row r="17" spans="1:8">
      <c r="A17" s="101"/>
      <c r="B17" s="102"/>
      <c r="C17" s="96"/>
      <c r="D17" s="2"/>
      <c r="E17" s="2"/>
      <c r="F17" s="2"/>
      <c r="G17" s="2"/>
      <c r="H17" s="2"/>
    </row>
    <row r="18" spans="1:8" ht="15.6">
      <c r="A18" s="103"/>
      <c r="B18" s="46"/>
      <c r="C18" s="2"/>
      <c r="D18" s="2"/>
      <c r="E18" s="2"/>
      <c r="F18" s="2"/>
      <c r="G18" s="2"/>
      <c r="H18" s="2"/>
    </row>
    <row r="19" spans="1:8">
      <c r="A19" s="47"/>
      <c r="B19" s="45"/>
      <c r="C19" s="2"/>
      <c r="D19" s="2"/>
      <c r="E19" s="2"/>
      <c r="F19" s="2"/>
      <c r="G19" s="2"/>
      <c r="H19" s="2"/>
    </row>
    <row r="20" spans="1:8">
      <c r="A20" s="47"/>
      <c r="B20" s="46"/>
      <c r="C20" s="2"/>
      <c r="D20" s="2"/>
      <c r="E20" s="2"/>
      <c r="F20" s="2"/>
      <c r="G20" s="2"/>
      <c r="H20" s="2"/>
    </row>
    <row r="21" spans="1:8">
      <c r="A21" s="47"/>
      <c r="B21" s="45"/>
      <c r="C21" s="2"/>
      <c r="D21" s="2"/>
      <c r="E21" s="2"/>
      <c r="F21" s="2"/>
      <c r="G21" s="2"/>
      <c r="H21" s="2"/>
    </row>
    <row r="22" spans="1:8">
      <c r="A22" s="47"/>
      <c r="B22" s="48"/>
      <c r="C22" s="2"/>
      <c r="D22" s="2"/>
      <c r="E22" s="2"/>
      <c r="F22" s="2"/>
      <c r="G22" s="2"/>
      <c r="H22" s="2"/>
    </row>
    <row r="23" spans="1:8">
      <c r="A23" s="47"/>
      <c r="B23" s="45"/>
      <c r="C23" s="2"/>
      <c r="D23" s="2"/>
      <c r="E23" s="2"/>
      <c r="F23" s="2"/>
      <c r="G23" s="2"/>
      <c r="H23" s="2"/>
    </row>
    <row r="24" spans="1:8">
      <c r="A24" s="47"/>
      <c r="B24" s="45"/>
      <c r="C24" s="2"/>
      <c r="D24" s="2"/>
      <c r="E24" s="2"/>
      <c r="F24" s="2"/>
      <c r="G24" s="2"/>
      <c r="H24" s="2"/>
    </row>
    <row r="25" spans="1:8">
      <c r="A25" s="47"/>
      <c r="B25" s="45"/>
      <c r="C25" s="2"/>
      <c r="D25" s="2"/>
      <c r="E25" s="2"/>
      <c r="F25" s="2"/>
      <c r="G25" s="2"/>
      <c r="H25" s="2"/>
    </row>
    <row r="26" spans="1:8">
      <c r="A26" s="47"/>
      <c r="B26" s="45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</sheetData>
  <sheetProtection algorithmName="SHA-512" hashValue="crvRp7TRm69GB7JOXwiISwK1YQPP2z8dDC+cv17ALcTG1/AXFHEdUFoYRqP914m75xje5saOmMEhCwkSAnh1qg==" saltValue="b4RfZ7eQ1RDAgRXTMMZbv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J16" sqref="J16"/>
    </sheetView>
  </sheetViews>
  <sheetFormatPr defaultColWidth="9" defaultRowHeight="14.4"/>
  <cols>
    <col min="1" max="1" width="21.109375" customWidth="1"/>
    <col min="2" max="2" width="21.21875" customWidth="1"/>
  </cols>
  <sheetData>
    <row r="1" spans="1:7">
      <c r="A1" s="127" t="s">
        <v>199</v>
      </c>
      <c r="B1" s="128" t="s">
        <v>327</v>
      </c>
      <c r="C1" s="129"/>
      <c r="D1" s="129"/>
      <c r="E1" s="2"/>
      <c r="F1" s="2"/>
      <c r="G1" s="2"/>
    </row>
    <row r="2" spans="1:7">
      <c r="A2" s="127" t="s">
        <v>182</v>
      </c>
      <c r="B2" s="130">
        <f>February!K202</f>
        <v>13455144083.73</v>
      </c>
      <c r="C2" s="129"/>
      <c r="D2" s="129"/>
      <c r="E2" s="2"/>
      <c r="F2" s="2"/>
      <c r="G2" s="2"/>
    </row>
    <row r="3" spans="1:7">
      <c r="A3" s="127" t="s">
        <v>281</v>
      </c>
      <c r="B3" s="130">
        <f>February!K239</f>
        <v>30015611170.228798</v>
      </c>
      <c r="C3" s="129"/>
      <c r="D3" s="129"/>
      <c r="E3" s="2"/>
      <c r="F3" s="2"/>
      <c r="G3" s="2"/>
    </row>
    <row r="4" spans="1:7">
      <c r="A4" s="127" t="s">
        <v>203</v>
      </c>
      <c r="B4" s="131">
        <f>February!K230</f>
        <v>104381074218.31001</v>
      </c>
      <c r="C4" s="129"/>
      <c r="D4" s="129"/>
      <c r="E4" s="2"/>
      <c r="F4" s="2"/>
      <c r="G4" s="2"/>
    </row>
    <row r="5" spans="1:7">
      <c r="A5" s="127" t="s">
        <v>20</v>
      </c>
      <c r="B5" s="132">
        <f>February!K25</f>
        <v>148292010503</v>
      </c>
      <c r="C5" s="129"/>
      <c r="D5" s="129"/>
      <c r="E5" s="2"/>
      <c r="F5" s="2"/>
      <c r="G5" s="2"/>
    </row>
    <row r="6" spans="1:7">
      <c r="A6" s="127" t="s">
        <v>159</v>
      </c>
      <c r="B6" s="132">
        <f>February!K197</f>
        <v>115157453447.82001</v>
      </c>
      <c r="C6" s="129"/>
      <c r="D6" s="129"/>
      <c r="E6" s="2"/>
      <c r="F6" s="2"/>
      <c r="G6" s="2"/>
    </row>
    <row r="7" spans="1:7">
      <c r="A7" s="127" t="s">
        <v>200</v>
      </c>
      <c r="B7" s="133">
        <f>February!K114</f>
        <v>245022514797.89005</v>
      </c>
      <c r="C7" s="129"/>
      <c r="D7" s="129"/>
      <c r="E7" s="2"/>
      <c r="F7" s="2"/>
      <c r="G7" s="2"/>
    </row>
    <row r="8" spans="1:7">
      <c r="A8" s="127" t="s">
        <v>202</v>
      </c>
      <c r="B8" s="133">
        <f>February!K165</f>
        <v>501587414949.34998</v>
      </c>
      <c r="C8" s="129"/>
      <c r="D8" s="129"/>
      <c r="E8" s="2"/>
      <c r="F8" s="2"/>
      <c r="G8" s="2"/>
    </row>
    <row r="9" spans="1:7">
      <c r="A9" s="127" t="s">
        <v>201</v>
      </c>
      <c r="B9" s="132">
        <f>February!K156</f>
        <v>1836111973779.1648</v>
      </c>
      <c r="C9" s="129"/>
      <c r="D9" s="129"/>
      <c r="E9" s="2"/>
      <c r="F9" s="2"/>
      <c r="G9" s="2"/>
    </row>
    <row r="10" spans="1:7">
      <c r="A10" s="127" t="s">
        <v>52</v>
      </c>
      <c r="B10" s="132">
        <f>February!K72</f>
        <v>5317572332436.2402</v>
      </c>
      <c r="C10" s="129"/>
      <c r="D10" s="129"/>
      <c r="E10" s="2"/>
      <c r="G10" s="2"/>
    </row>
    <row r="11" spans="1:7">
      <c r="A11" s="129"/>
      <c r="B11" s="129"/>
      <c r="C11" s="129"/>
      <c r="D11" s="129"/>
      <c r="E11" s="2"/>
      <c r="F11" s="2"/>
      <c r="G11" s="2"/>
    </row>
    <row r="12" spans="1:7">
      <c r="A12" s="134"/>
      <c r="B12" s="129"/>
      <c r="C12" s="129"/>
      <c r="D12" s="129"/>
      <c r="E12" s="2"/>
      <c r="F12" s="2"/>
      <c r="G12" s="2"/>
    </row>
    <row r="13" spans="1:7">
      <c r="A13" s="104"/>
      <c r="B13" s="2"/>
      <c r="C13" s="2"/>
      <c r="D13" s="2"/>
      <c r="E13" s="2"/>
      <c r="F13" s="2"/>
      <c r="G13" s="2"/>
    </row>
    <row r="14" spans="1:7" ht="15" customHeight="1">
      <c r="A14" s="2"/>
      <c r="B14" s="81"/>
      <c r="C14" s="2"/>
      <c r="D14" s="2"/>
      <c r="E14" s="2"/>
      <c r="F14" s="2"/>
      <c r="G14" s="2"/>
    </row>
    <row r="15" spans="1:7">
      <c r="A15" s="2"/>
      <c r="B15" s="81"/>
      <c r="C15" s="2"/>
      <c r="D15" s="2"/>
      <c r="E15" s="2"/>
      <c r="F15" s="2"/>
      <c r="G15" s="2"/>
    </row>
    <row r="16" spans="1:7">
      <c r="A16" s="82"/>
      <c r="B16" s="81"/>
      <c r="C16" s="2"/>
      <c r="D16" s="2"/>
      <c r="E16" s="2"/>
      <c r="F16" s="2"/>
      <c r="G16" s="2"/>
    </row>
    <row r="17" spans="1:7">
      <c r="A17" s="105"/>
      <c r="B17" s="81"/>
      <c r="C17" s="2"/>
      <c r="D17" s="2"/>
      <c r="E17" s="2"/>
      <c r="F17" s="2"/>
      <c r="G17" s="2"/>
    </row>
    <row r="18" spans="1:7">
      <c r="A18" s="105"/>
      <c r="B18" s="81"/>
      <c r="C18" s="2"/>
      <c r="D18" s="2"/>
      <c r="E18" s="2"/>
      <c r="F18" s="2"/>
      <c r="G18" s="2"/>
    </row>
    <row r="19" spans="1:7">
      <c r="A19" s="82"/>
      <c r="B19" s="81"/>
      <c r="C19" s="2"/>
      <c r="D19" s="2"/>
      <c r="E19" s="2"/>
      <c r="F19" s="2"/>
      <c r="G19" s="2"/>
    </row>
    <row r="20" spans="1:7">
      <c r="A20" s="83"/>
      <c r="B20" s="81"/>
      <c r="C20" s="2"/>
      <c r="D20" s="2"/>
      <c r="E20" s="2"/>
      <c r="F20" s="2"/>
      <c r="G20" s="2"/>
    </row>
    <row r="21" spans="1:7">
      <c r="A21" s="84"/>
      <c r="B21" s="81"/>
      <c r="C21" s="2"/>
      <c r="D21" s="2"/>
      <c r="E21" s="2"/>
      <c r="F21" s="2"/>
      <c r="G21" s="2"/>
    </row>
    <row r="22" spans="1:7">
      <c r="A22" s="47"/>
      <c r="B22" s="46"/>
      <c r="C22" s="2"/>
      <c r="D22" s="2"/>
      <c r="E22" s="2"/>
      <c r="F22" s="2"/>
      <c r="G22" s="2"/>
    </row>
    <row r="23" spans="1:7">
      <c r="A23" s="2"/>
      <c r="B23" s="46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>
      <c r="A26" s="2"/>
      <c r="B26" s="2"/>
      <c r="C26" s="2"/>
      <c r="D26" s="2"/>
      <c r="E26" s="2"/>
      <c r="F26" s="2"/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/>
      <c r="B28" s="2"/>
      <c r="C28" s="2"/>
      <c r="D28" s="2"/>
      <c r="E28" s="2"/>
      <c r="F28" s="2"/>
    </row>
    <row r="29" spans="1:7">
      <c r="A29" s="2"/>
      <c r="B29" s="2"/>
      <c r="C29" s="2"/>
      <c r="D29" s="2"/>
      <c r="E29" s="2"/>
      <c r="F29" s="2"/>
    </row>
    <row r="30" spans="1:7">
      <c r="A30" s="2"/>
      <c r="B30" s="2"/>
      <c r="C30" s="2"/>
      <c r="D30" s="2"/>
      <c r="E30" s="2"/>
      <c r="F30" s="2"/>
    </row>
    <row r="33" spans="1:17" ht="16.05" customHeight="1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"/>
    </row>
    <row r="34" spans="1:17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"/>
    </row>
  </sheetData>
  <sheetProtection algorithmName="SHA-512" hashValue="b8CnA4V5Ehz2CtZBKOc7pU8uV8D053MIPIFfOWM3uu8jsBDtCxbf3nuXjvuGhUmwSFUECdUlKBa6JZCQX7IhkQ==" saltValue="/CQfE3BIZiCc7YqiPxJA/A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E8" sqref="E8"/>
    </sheetView>
  </sheetViews>
  <sheetFormatPr defaultColWidth="9" defaultRowHeight="14.4"/>
  <cols>
    <col min="1" max="1" width="34.77734375" customWidth="1"/>
    <col min="2" max="2" width="1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129"/>
      <c r="B4" s="129"/>
      <c r="C4" s="129"/>
      <c r="D4" s="2"/>
      <c r="E4" s="2"/>
      <c r="F4" s="2"/>
      <c r="G4" s="2"/>
      <c r="H4" s="2"/>
    </row>
    <row r="5" spans="1:8" ht="15.6">
      <c r="A5" s="135" t="s">
        <v>199</v>
      </c>
      <c r="B5" s="136" t="s">
        <v>204</v>
      </c>
      <c r="C5" s="129"/>
      <c r="D5" s="2"/>
      <c r="E5" s="2"/>
      <c r="F5" s="2"/>
      <c r="G5" s="2"/>
      <c r="H5" s="2"/>
    </row>
    <row r="6" spans="1:8">
      <c r="A6" s="137" t="s">
        <v>20</v>
      </c>
      <c r="B6" s="138">
        <f>February!T25</f>
        <v>75649</v>
      </c>
      <c r="C6" s="129"/>
      <c r="D6" s="2"/>
      <c r="E6" s="2"/>
      <c r="F6" s="2"/>
      <c r="G6" s="2"/>
      <c r="H6" s="2"/>
    </row>
    <row r="7" spans="1:8">
      <c r="A7" s="137" t="s">
        <v>52</v>
      </c>
      <c r="B7" s="138">
        <f>February!T72</f>
        <v>611230</v>
      </c>
      <c r="C7" s="129"/>
      <c r="D7" s="2"/>
      <c r="E7" s="2"/>
      <c r="F7" s="2"/>
      <c r="G7" s="2"/>
      <c r="H7" s="2"/>
    </row>
    <row r="8" spans="1:8">
      <c r="A8" s="137" t="s">
        <v>200</v>
      </c>
      <c r="B8" s="138">
        <f>February!T114</f>
        <v>56018</v>
      </c>
      <c r="C8" s="129"/>
      <c r="D8" s="2"/>
      <c r="E8" s="2"/>
      <c r="F8" s="2"/>
      <c r="G8" s="2"/>
      <c r="H8" s="2"/>
    </row>
    <row r="9" spans="1:8">
      <c r="A9" s="137" t="s">
        <v>201</v>
      </c>
      <c r="B9" s="138">
        <f>February!T156</f>
        <v>26845</v>
      </c>
      <c r="C9" s="129"/>
      <c r="D9" s="2"/>
      <c r="E9" s="2"/>
      <c r="F9" s="2"/>
      <c r="G9" s="2"/>
      <c r="H9" s="2"/>
    </row>
    <row r="10" spans="1:8">
      <c r="A10" s="137" t="s">
        <v>202</v>
      </c>
      <c r="B10" s="138">
        <f>February!T165</f>
        <v>223577</v>
      </c>
      <c r="C10" s="129"/>
      <c r="D10" s="2"/>
      <c r="E10" s="2"/>
      <c r="F10" s="2"/>
      <c r="G10" s="2"/>
      <c r="H10" s="2"/>
    </row>
    <row r="11" spans="1:8">
      <c r="A11" s="137" t="s">
        <v>159</v>
      </c>
      <c r="B11" s="138">
        <f>February!T197</f>
        <v>81735</v>
      </c>
      <c r="C11" s="129"/>
      <c r="D11" s="2"/>
      <c r="E11" s="2"/>
      <c r="F11" s="2"/>
      <c r="G11" s="2"/>
      <c r="H11" s="2"/>
    </row>
    <row r="12" spans="1:8">
      <c r="A12" s="137" t="s">
        <v>182</v>
      </c>
      <c r="B12" s="138">
        <f>February!T202</f>
        <v>14783</v>
      </c>
      <c r="C12" s="129"/>
      <c r="D12" s="2"/>
      <c r="E12" s="2"/>
      <c r="F12" s="2"/>
      <c r="G12" s="2"/>
      <c r="H12" s="2"/>
    </row>
    <row r="13" spans="1:8">
      <c r="A13" s="137" t="s">
        <v>203</v>
      </c>
      <c r="B13" s="138">
        <f>February!T230</f>
        <v>43380</v>
      </c>
      <c r="C13" s="129"/>
      <c r="D13" s="2"/>
      <c r="E13" s="2"/>
      <c r="F13" s="2"/>
      <c r="G13" s="2"/>
      <c r="H13" s="2"/>
    </row>
    <row r="14" spans="1:8">
      <c r="A14" s="134" t="s">
        <v>281</v>
      </c>
      <c r="B14" s="139">
        <f>February!T239</f>
        <v>117</v>
      </c>
      <c r="C14" s="129"/>
      <c r="D14" s="2"/>
      <c r="E14" s="2"/>
      <c r="F14" s="2"/>
      <c r="G14" s="2"/>
      <c r="H14" s="2"/>
    </row>
    <row r="15" spans="1:8">
      <c r="A15" s="129"/>
      <c r="B15" s="129"/>
      <c r="C15" s="129"/>
      <c r="D15" s="2"/>
      <c r="E15" s="2"/>
      <c r="F15" s="2"/>
      <c r="G15" s="2"/>
      <c r="H15" s="2"/>
    </row>
    <row r="16" spans="1:8">
      <c r="A16" s="129"/>
      <c r="B16" s="129"/>
      <c r="C16" s="129"/>
      <c r="D16" s="2"/>
      <c r="E16" s="2"/>
      <c r="F16" s="2"/>
      <c r="G16" s="2"/>
      <c r="H16" s="2"/>
    </row>
    <row r="17" spans="1:8">
      <c r="A17" s="129"/>
      <c r="B17" s="129"/>
      <c r="C17" s="129"/>
      <c r="D17" s="2"/>
      <c r="E17" s="2"/>
      <c r="F17" s="2"/>
      <c r="G17" s="2"/>
      <c r="H17" s="2"/>
    </row>
    <row r="18" spans="1:8">
      <c r="A18" s="129"/>
      <c r="B18" s="129"/>
      <c r="C18" s="129"/>
      <c r="D18" s="2"/>
      <c r="E18" s="2"/>
      <c r="F18" s="2"/>
      <c r="G18" s="2"/>
      <c r="H18" s="2"/>
    </row>
    <row r="19" spans="1:8">
      <c r="A19" s="129"/>
      <c r="B19" s="129"/>
      <c r="C19" s="129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</sheetData>
  <sheetProtection algorithmName="SHA-512" hashValue="QBpBD4GIsjKK1PRg/cNPPXB/pEkGKqquJZo85k7I+pOsRRxJgs5mGwFscz5d5VJ91YQA8Tucw44p+K5QFOHTaw==" saltValue="PgkxpH61+aY1Od5w84/EI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February</vt:lpstr>
      <vt:lpstr>NAV Comparison</vt:lpstr>
      <vt:lpstr>Market Share</vt:lpstr>
      <vt:lpstr>Unitholders</vt:lpstr>
      <vt:lpstr>February!_Hlk34300669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2026-04-12T22:16:23Z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