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3016" windowHeight="904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7" i="1" l="1"/>
  <c r="N152" i="1" l="1"/>
  <c r="N149" i="1"/>
  <c r="S147" i="1" l="1"/>
  <c r="Q147" i="1"/>
  <c r="N147" i="1"/>
  <c r="T156" i="1"/>
  <c r="N161" i="1" l="1"/>
  <c r="T137" i="1" l="1"/>
  <c r="R137" i="1"/>
  <c r="O137" i="1"/>
  <c r="T133" i="1" l="1"/>
  <c r="R133" i="1"/>
  <c r="O133" i="1"/>
  <c r="T134" i="1"/>
  <c r="R134" i="1"/>
  <c r="O134" i="1"/>
  <c r="T128" i="1" l="1"/>
  <c r="R128" i="1"/>
  <c r="O128" i="1"/>
  <c r="T136" i="1" l="1"/>
  <c r="R136" i="1"/>
  <c r="O136" i="1"/>
  <c r="O141" i="1"/>
  <c r="R126" i="1"/>
  <c r="O126" i="1"/>
  <c r="O160" i="1"/>
  <c r="T142" i="1"/>
  <c r="R142" i="1"/>
  <c r="O142" i="1"/>
  <c r="T154" i="1"/>
  <c r="R154" i="1"/>
  <c r="O154" i="1"/>
  <c r="R156" i="1"/>
  <c r="O156" i="1"/>
  <c r="T144" i="1"/>
  <c r="R144" i="1"/>
  <c r="O144" i="1"/>
  <c r="T143" i="1"/>
  <c r="R143" i="1"/>
  <c r="O143" i="1"/>
  <c r="AB246" i="1"/>
  <c r="AA246" i="1"/>
  <c r="Z246" i="1"/>
  <c r="U247" i="1"/>
  <c r="T246" i="1"/>
  <c r="Y246" i="1" s="1"/>
  <c r="R246" i="1"/>
  <c r="O246" i="1"/>
  <c r="X246" i="1" s="1"/>
  <c r="K247" i="1"/>
  <c r="T121" i="1"/>
  <c r="R121" i="1"/>
  <c r="O121" i="1"/>
  <c r="T135" i="1"/>
  <c r="R135" i="1"/>
  <c r="O135" i="1"/>
  <c r="T127" i="1"/>
  <c r="R127" i="1"/>
  <c r="O127" i="1"/>
  <c r="T153" i="1"/>
  <c r="R153" i="1"/>
  <c r="O153" i="1"/>
  <c r="O148" i="1"/>
  <c r="O159" i="1"/>
  <c r="T122" i="1"/>
  <c r="R122" i="1"/>
  <c r="O122" i="1"/>
  <c r="T241" i="1"/>
  <c r="R241" i="1"/>
  <c r="O241" i="1"/>
  <c r="T124" i="1"/>
  <c r="R124" i="1"/>
  <c r="O124" i="1"/>
  <c r="T123" i="1" l="1"/>
  <c r="R123" i="1"/>
  <c r="O123" i="1"/>
  <c r="T146" i="1" l="1"/>
  <c r="R146" i="1"/>
  <c r="O146" i="1"/>
  <c r="T125" i="1"/>
  <c r="R125" i="1"/>
  <c r="O125" i="1"/>
  <c r="O150" i="1"/>
  <c r="T151" i="1"/>
  <c r="R151" i="1"/>
  <c r="O151" i="1"/>
  <c r="O243" i="1" l="1"/>
  <c r="T243" i="1"/>
  <c r="R243" i="1"/>
  <c r="T131" i="1"/>
  <c r="R131" i="1"/>
  <c r="O131" i="1"/>
  <c r="O130" i="1"/>
  <c r="T130" i="1"/>
  <c r="R130" i="1"/>
  <c r="T157" i="1"/>
  <c r="R157" i="1"/>
  <c r="O157" i="1"/>
  <c r="T138" i="1"/>
  <c r="R138" i="1"/>
  <c r="O138" i="1"/>
  <c r="T158" i="1"/>
  <c r="R158" i="1"/>
  <c r="O158" i="1"/>
  <c r="O132" i="1"/>
  <c r="E243" i="1" l="1"/>
  <c r="E247" i="1" s="1"/>
  <c r="T152" i="1" l="1"/>
  <c r="R152" i="1"/>
  <c r="T159" i="1" l="1"/>
  <c r="R159" i="1"/>
  <c r="T160" i="1" l="1"/>
  <c r="R160" i="1"/>
  <c r="T141" i="1"/>
  <c r="R141" i="1"/>
  <c r="E237" i="1" l="1"/>
  <c r="T149" i="1" l="1"/>
  <c r="R149" i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T150" i="1"/>
  <c r="R150" i="1"/>
  <c r="O203" i="1" l="1"/>
  <c r="P176" i="1" s="1"/>
  <c r="P192" i="1" l="1"/>
  <c r="P190" i="1"/>
  <c r="B5" i="3"/>
  <c r="T148" i="1"/>
  <c r="R148" i="1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142" i="1"/>
  <c r="X33" i="1" l="1"/>
  <c r="Y33" i="1"/>
  <c r="Z33" i="1"/>
  <c r="AA33" i="1"/>
  <c r="AB33" i="1"/>
  <c r="O161" i="1" l="1"/>
  <c r="P135" i="1" s="1"/>
  <c r="P131" i="1" l="1"/>
  <c r="P142" i="1"/>
  <c r="P132" i="1"/>
  <c r="T126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X157" i="1" l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T132" i="1"/>
  <c r="AB196" i="1" l="1"/>
  <c r="AA196" i="1"/>
  <c r="Z196" i="1"/>
  <c r="Y196" i="1"/>
  <c r="X196" i="1"/>
  <c r="X148" i="1" l="1"/>
  <c r="Y136" i="1"/>
  <c r="Y131" i="1"/>
  <c r="Y130" i="1"/>
  <c r="Y243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4" i="1"/>
  <c r="AA244" i="1"/>
  <c r="Z244" i="1"/>
  <c r="Y244" i="1"/>
  <c r="X244" i="1"/>
  <c r="AB243" i="1"/>
  <c r="AA243" i="1"/>
  <c r="Z243" i="1"/>
  <c r="X243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4" i="1"/>
  <c r="AA134" i="1"/>
  <c r="Z134" i="1"/>
  <c r="Y134" i="1"/>
  <c r="X134" i="1"/>
  <c r="AB133" i="1"/>
  <c r="AA133" i="1"/>
  <c r="Z133" i="1"/>
  <c r="Y133" i="1"/>
  <c r="X133" i="1"/>
  <c r="AB132" i="1"/>
  <c r="AA132" i="1"/>
  <c r="Z132" i="1"/>
  <c r="Y132" i="1"/>
  <c r="R132" i="1"/>
  <c r="AB131" i="1"/>
  <c r="AA131" i="1"/>
  <c r="Z131" i="1"/>
  <c r="AB130" i="1"/>
  <c r="AA130" i="1"/>
  <c r="Z130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5" i="1"/>
  <c r="AA95" i="1"/>
  <c r="Z95" i="1"/>
  <c r="Y95" i="1"/>
  <c r="X95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3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2" i="1"/>
  <c r="AA12" i="1"/>
  <c r="Z12" i="1"/>
  <c r="Y12" i="1"/>
  <c r="X12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8" i="1"/>
  <c r="P74" i="1"/>
  <c r="P88" i="1"/>
  <c r="P99" i="1"/>
  <c r="P72" i="1"/>
  <c r="P223" i="1"/>
  <c r="P41" i="1"/>
  <c r="P73" i="1"/>
  <c r="P49" i="1"/>
  <c r="F31" i="1"/>
  <c r="P31" i="1"/>
  <c r="B16" i="2"/>
  <c r="B6" i="2" s="1"/>
  <c r="F142" i="1"/>
  <c r="P33" i="1"/>
  <c r="P98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2" i="1"/>
  <c r="P24" i="1"/>
  <c r="F7" i="1"/>
  <c r="F11" i="1"/>
  <c r="F15" i="1"/>
  <c r="P30" i="1"/>
  <c r="F103" i="1"/>
  <c r="P220" i="1"/>
  <c r="F115" i="1"/>
  <c r="F21" i="1"/>
  <c r="F19" i="1"/>
  <c r="Z203" i="1"/>
  <c r="F17" i="1"/>
  <c r="F102" i="1"/>
  <c r="F181" i="1"/>
  <c r="F179" i="1"/>
  <c r="F177" i="1"/>
  <c r="F175" i="1"/>
  <c r="P168" i="1"/>
  <c r="P196" i="1"/>
  <c r="P185" i="1"/>
  <c r="P47" i="1"/>
  <c r="F250" i="1"/>
  <c r="F98" i="1"/>
  <c r="F100" i="1"/>
  <c r="F96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3" i="1"/>
  <c r="Z209" i="1"/>
  <c r="F233" i="1"/>
  <c r="F208" i="1"/>
  <c r="F183" i="1"/>
  <c r="F168" i="1"/>
  <c r="F23" i="1"/>
  <c r="D13" i="4"/>
  <c r="Z237" i="1"/>
  <c r="P89" i="1"/>
  <c r="F54" i="1"/>
  <c r="P55" i="1"/>
  <c r="F56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3" i="1"/>
  <c r="F150" i="1"/>
  <c r="F152" i="1"/>
  <c r="F121" i="1"/>
  <c r="F123" i="1"/>
  <c r="F131" i="1"/>
  <c r="F129" i="1"/>
  <c r="F138" i="1"/>
  <c r="F156" i="1"/>
  <c r="F125" i="1"/>
  <c r="F143" i="1"/>
  <c r="F145" i="1"/>
  <c r="F147" i="1"/>
  <c r="F158" i="1"/>
  <c r="F149" i="1"/>
  <c r="F132" i="1"/>
  <c r="F151" i="1"/>
  <c r="F160" i="1"/>
  <c r="F122" i="1"/>
  <c r="F134" i="1"/>
  <c r="F153" i="1"/>
  <c r="F124" i="1"/>
  <c r="F128" i="1"/>
  <c r="F130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5" i="1"/>
  <c r="F97" i="1"/>
  <c r="F99" i="1"/>
  <c r="F101" i="1"/>
  <c r="Z76" i="1"/>
  <c r="F6" i="1"/>
  <c r="F8" i="1"/>
  <c r="F10" i="1"/>
  <c r="F12" i="1"/>
  <c r="F14" i="1"/>
  <c r="F16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7" i="1"/>
  <c r="P108" i="1"/>
  <c r="P79" i="1"/>
  <c r="P85" i="1"/>
  <c r="P93" i="1"/>
  <c r="P101" i="1"/>
  <c r="P105" i="1"/>
  <c r="P112" i="1"/>
  <c r="P83" i="1"/>
  <c r="P87" i="1"/>
  <c r="P91" i="1"/>
  <c r="P95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3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4" i="1"/>
  <c r="P8" i="1"/>
  <c r="P16" i="1"/>
  <c r="P7" i="1"/>
  <c r="P9" i="1"/>
  <c r="P11" i="1"/>
  <c r="P13" i="1"/>
  <c r="P15" i="1"/>
  <c r="P19" i="1"/>
  <c r="P17" i="1"/>
  <c r="P21" i="1"/>
  <c r="P80" i="1"/>
  <c r="F83" i="1"/>
  <c r="P84" i="1"/>
  <c r="P90" i="1"/>
  <c r="P92" i="1"/>
  <c r="P94" i="1"/>
  <c r="P96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8" i="1"/>
  <c r="F50" i="1"/>
  <c r="P51" i="1"/>
  <c r="F52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7" i="1"/>
  <c r="F49" i="1"/>
  <c r="P50" i="1"/>
  <c r="F51" i="1"/>
  <c r="P52" i="1"/>
  <c r="P54" i="1"/>
  <c r="F55" i="1"/>
  <c r="P56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2" i="1"/>
  <c r="X123" i="1"/>
  <c r="X130" i="1"/>
  <c r="X131" i="1"/>
  <c r="X132" i="1"/>
  <c r="X158" i="1"/>
  <c r="C17" i="2"/>
  <c r="C7" i="2" s="1"/>
  <c r="X170" i="1"/>
  <c r="P169" i="1"/>
  <c r="P167" i="1"/>
  <c r="P165" i="1"/>
  <c r="P164" i="1"/>
  <c r="P244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3" i="1"/>
  <c r="F244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4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0" i="1"/>
  <c r="P147" i="1"/>
  <c r="P124" i="1"/>
  <c r="P126" i="1"/>
  <c r="P133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<sst xmlns="http://schemas.openxmlformats.org/spreadsheetml/2006/main" count="1690" uniqueCount="350">
  <si>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</si>
  <si>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</si>
  <si>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</si>
  <si>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</si>
  <si>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</si>
  <si>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</si>
  <si>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</si>
  <si>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</si>
  <si>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</si>
  <si>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</si>
  <si>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</si>
  <si>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</si>
  <si>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</si>
  <si>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</si>
  <si>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</si>
  <si>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</si>
  <si>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</si>
  <si>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</si>
  <si>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</si>
  <si>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</si>
  <si>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</si>
  <si>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</si>
  <si>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</si>
  <si>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</si>
  <si>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</si>
  <si>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</si>
  <si>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</si>
  <si>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</si>
  <si>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</si>
  <si>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</si>
  <si>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</si>
  <si>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</si>
  <si>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</si>
  <si>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</si>
  <si>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</si>
  <si>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</si>
  <si>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</si>
  <si>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</si>
  <si>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</si>
  <si>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</si>
  <si>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</si>
  <si>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</si>
  <si>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</si>
  <si>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</si>
  <si>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</si>
  <si>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</si>
  <si>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</si>
  <si>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</si>
  <si>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</si>
  <si>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</si>
  <si>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</si>
  <si>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</si>
  <si>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</si>
  <si>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</si>
  <si>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</si>
  <si>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</si>
  <si>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</si>
  <si>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</si>
  <si>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</si>
  <si>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</si>
  <si>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</si>
  <si>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</si>
  <si>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</si>
  <si>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</si>
  <si>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</si>
  <si>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</si>
  <si>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</si>
  <si>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</si>
  <si>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</si>
  <si>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</si>
  <si>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</si>
  <si>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</si>
  <si>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</si>
  <si>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</si>
  <si>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</si>
  <si>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</si>
  <si>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</si>
  <si>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</si>
  <si>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</si>
  <si>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</si>
  <si>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</si>
  <si>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</si>
  <si>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</si>
  <si>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</si>
  <si>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</si>
  <si>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</si>
  <si>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</si>
  <si>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</si>
  <si>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</si>
  <si>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</si>
  <si>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</si>
  <si>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</si>
  <si>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</si>
  <si>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</si>
  <si>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</si>
  <si>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</si>
  <si>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</si>
  <si>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</si>
  <si>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</si>
  <si>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</si>
  <si>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</si>
  <si>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</si>
  <si>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</si>
  <si>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</si>
  <si>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</si>
  <si>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</si>
  <si>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</si>
  <si>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</si>
  <si>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</si>
  <si>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</si>
  <si>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</si>
  <si>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</si>
  <si>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</si>
  <si>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</si>
  <si>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</si>
  <si>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</si>
  <si>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</si>
  <si>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</si>
  <si>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</si>
  <si>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</si>
  <si>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</si>
  <si>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</si>
  <si>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</si>
  <si>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</si>
  <si>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</si>
  <si>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</si>
  <si>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</si>
  <si>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</si>
  <si>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</si>
  <si>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</si>
  <si>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</si>
  <si>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</si>
  <si>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</si>
  <si>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</si>
  <si>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</si>
  <si>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</si>
  <si>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</si>
  <si>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</si>
  <si>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</si>
  <si>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</si>
  <si>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</si>
  <si>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</si>
  <si>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</si>
  <si>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</si>
  <si>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</si>
  <si>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</si>
  <si>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</si>
  <si>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</si>
  <si>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</si>
  <si>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</si>
  <si>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</si>
  <si>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</si>
  <si>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</si>
  <si>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</si>
  <si>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</si>
  <si>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</si>
  <si>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</si>
  <si>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</si>
  <si>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</si>
  <si>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</si>
  <si>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</si>
  <si>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</si>
  <si>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</si>
  <si>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</si>
  <si>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</si>
  <si>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</si>
  <si>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</si>
  <si>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</si>
  <si>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</si>
  <si>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</si>
  <si>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</si>
  <si>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</si>
  <si>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</si>
  <si>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</si>
  <si>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</si>
  <si>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</si>
  <si>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</si>
  <si>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</si>
  <si>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</si>
  <si>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</si>
  <si>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</si>
  <si>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</si>
  <si>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</si>
  <si>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</si>
  <si>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</si>
  <si>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</si>
  <si>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</si>
  <si>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</si>
  <si>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</si>
  <si>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</si>
  <si>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</si>
  <si>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</si>
  <si>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</si>
  <si>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</si>
  <si>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</si>
  <si>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</si>
  <si>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</si>
  <si>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</si>
  <si>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</si>
  <si>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</si>
  <si>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</si>
  <si>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</si>
  <si>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</si>
  <si>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</si>
  <si>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</si>
  <si>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</si>
  <si>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</si>
  <si>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</si>
  <si>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</si>
  <si>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</si>
  <si>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</si>
  <si>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</si>
  <si>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</si>
  <si>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</si>
  <si>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</si>
  <si>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</si>
  <si>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</si>
  <si>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</si>
  <si>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</si>
  <si>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</si>
  <si>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</si>
  <si>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</si>
  <si>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</si>
  <si>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</si>
  <si>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</si>
  <si>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</si>
  <si>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</si>
  <si>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</si>
  <si>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</si>
  <si>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</si>
  <si>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</si>
  <si>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</si>
  <si>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</si>
  <si>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</si>
  <si>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</si>
  <si>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</si>
  <si>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</si>
  <si>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</si>
  <si>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</si>
  <si>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</si>
  <si>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</si>
  <si>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</si>
  <si>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</si>
  <si>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</si>
  <si>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</si>
  <si>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</si>
  <si>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</si>
  <si>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</si>
  <si>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</si>
  <si>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</si>
  <si>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</si>
  <si>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</si>
  <si>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</si>
  <si>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</si>
  <si>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</si>
  <si>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</si>
  <si>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</si>
  <si>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</si>
  <si>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</si>
  <si>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</si>
  <si>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</si>
  <si>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</si>
  <si>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</si>
  <si>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</si>
  <si>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</si>
  <si>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</si>
  <si>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</si>
  <si>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</si>
  <si>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</si>
  <si>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</si>
  <si>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</si>
  <si>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</si>
  <si>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</si>
  <si>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</si>
  <si>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</si>
  <si>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</si>
  <si>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</si>
  <si>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</si>
  <si>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</si>
  <si>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</si>
  <si>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</si>
  <si>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</si>
  <si>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</si>
  <si>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</si>
  <si>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</si>
  <si>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</si>
  <si>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</si>
  <si>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</si>
  <si>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</si>
  <si>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</si>
  <si>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</si>
  <si>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</si>
  <si>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</si>
  <si>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</si>
  <si>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</si>
  <si>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</si>
  <si>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</si>
  <si>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</si>
  <si>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</si>
  <si>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</si>
  <si>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</si>
  <si>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</si>
  <si>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</si>
  <si>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</si>
  <si>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</si>
  <si>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</si>
  <si>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</si>
  <si>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</si>
  <si>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</si>
  <si>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</si>
  <si>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</si>
  <si>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</si>
  <si>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</si>
  <si>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</si>
  <si>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</si>
  <si>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</si>
  <si>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</si>
  <si>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</si>
  <si>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</si>
  <si>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</si>
  <si>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</si>
  <si>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</si>
  <si>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</si>
  <si>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</si>
  <si>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Mynest Money Market Fund</t>
  </si>
  <si>
    <t>Myrtle Balanced Plus Fund</t>
  </si>
  <si>
    <t>Myrtle Dollar Shield Fund</t>
  </si>
  <si>
    <t>NAV, Unit Price and Yield as at Week Ended April 24, 2026</t>
  </si>
  <si>
    <t>Week Ended April 24, 2026</t>
  </si>
  <si>
    <t>WEEKLY VALUATION REPORT OF COLLECTIVE INVESTMENT SCHEMES AS AT WEEK ENDED THURSDAY, APRIL 30, 2026</t>
  </si>
  <si>
    <t>NAV, Unit Price and Yield as at Week Ended April 30, 2026</t>
  </si>
  <si>
    <t>NFEM RATE NG₦/US$ as at 30th April, 2026 = N1374.9431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</si>
  <si>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</si>
  <si>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</si>
  <si>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</si>
  <si>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</si>
  <si>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</si>
  <si>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</si>
  <si>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</si>
  <si>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</si>
  <si>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</si>
  <si>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</si>
  <si>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</si>
  <si>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</si>
  <si>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</si>
  <si>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t>Week Ended April 30, 2026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</si>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</sst>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1">
    <xf numFmtId="0" fontId="0" fillId="0" borderId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5" fillId="2" borderId="0" xfId="0" applyFont="1" applyFill="1" applyAlignment="1">
      <alignment wrapText="1"/>
    </xf>
    <xf numFmtId="10" fontId="22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19" fillId="0" borderId="0" xfId="1" applyFont="1"/>
    <xf numFmtId="2" fontId="0" fillId="0" borderId="0" xfId="0" applyNumberFormat="1"/>
    <xf numFmtId="165" fontId="0" fillId="0" borderId="0" xfId="0" applyNumberFormat="1"/>
    <xf numFmtId="4" fontId="24" fillId="10" borderId="0" xfId="0" applyNumberFormat="1" applyFont="1" applyFill="1" applyAlignment="1">
      <alignment horizontal="right" vertical="center" wrapText="1"/>
    </xf>
    <xf numFmtId="166" fontId="11" fillId="0" borderId="0" xfId="1" applyNumberFormat="1" applyFont="1"/>
    <xf numFmtId="4" fontId="27" fillId="0" borderId="0" xfId="0" applyNumberFormat="1" applyFont="1"/>
    <xf numFmtId="4" fontId="18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0" fillId="0" borderId="0" xfId="0" applyFont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0" fillId="2" borderId="0" xfId="0" applyFont="1" applyFill="1" applyAlignment="1">
      <alignment wrapText="1"/>
    </xf>
    <xf numFmtId="43" fontId="32" fillId="0" borderId="0" xfId="16" applyFont="1" applyBorder="1"/>
    <xf numFmtId="2" fontId="32" fillId="0" borderId="0" xfId="0" applyNumberFormat="1" applyFont="1"/>
    <xf numFmtId="10" fontId="32" fillId="0" borderId="0" xfId="2" applyNumberFormat="1" applyFont="1" applyBorder="1"/>
    <xf numFmtId="10" fontId="33" fillId="0" borderId="0" xfId="2" applyNumberFormat="1" applyFont="1" applyBorder="1"/>
    <xf numFmtId="10" fontId="0" fillId="0" borderId="0" xfId="2" applyNumberFormat="1" applyFont="1"/>
    <xf numFmtId="43" fontId="2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1" fillId="0" borderId="0" xfId="0" applyFont="1"/>
    <xf numFmtId="0" fontId="42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10" fontId="22" fillId="10" borderId="0" xfId="2" applyNumberFormat="1" applyFont="1" applyFill="1" applyAlignment="1">
      <alignment horizontal="right" vertical="center" wrapText="1"/>
    </xf>
    <xf numFmtId="164" fontId="43" fillId="2" borderId="2" xfId="1" applyFont="1" applyFill="1" applyBorder="1"/>
    <xf numFmtId="10" fontId="43" fillId="2" borderId="2" xfId="2" applyNumberFormat="1" applyFont="1" applyFill="1" applyBorder="1"/>
    <xf numFmtId="164" fontId="43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9" fillId="2" borderId="0" xfId="0" applyFont="1" applyFill="1"/>
    <xf numFmtId="0" fontId="45" fillId="2" borderId="0" xfId="0" applyFont="1" applyFill="1" applyAlignment="1">
      <alignment horizontal="right"/>
    </xf>
    <xf numFmtId="16" fontId="45" fillId="2" borderId="0" xfId="0" applyNumberFormat="1" applyFont="1" applyFill="1" applyAlignment="1">
      <alignment horizontal="center" wrapText="1"/>
    </xf>
    <xf numFmtId="0" fontId="46" fillId="2" borderId="0" xfId="0" applyFont="1" applyFill="1"/>
    <xf numFmtId="0" fontId="45" fillId="2" borderId="0" xfId="0" applyFont="1" applyFill="1" applyAlignment="1">
      <alignment horizontal="right" wrapText="1"/>
    </xf>
    <xf numFmtId="4" fontId="47" fillId="2" borderId="0" xfId="0" applyNumberFormat="1" applyFont="1" applyFill="1"/>
    <xf numFmtId="4" fontId="47" fillId="2" borderId="0" xfId="0" applyNumberFormat="1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2" borderId="0" xfId="0" applyFont="1" applyFill="1" applyAlignment="1">
      <alignment horizontal="right" wrapText="1"/>
    </xf>
    <xf numFmtId="164" fontId="11" fillId="2" borderId="0" xfId="1" applyFont="1" applyFill="1" applyBorder="1"/>
    <xf numFmtId="4" fontId="11" fillId="2" borderId="0" xfId="0" applyNumberFormat="1" applyFont="1" applyFill="1"/>
    <xf numFmtId="0" fontId="48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/>
    </xf>
    <xf numFmtId="4" fontId="50" fillId="2" borderId="0" xfId="0" applyNumberFormat="1" applyFont="1" applyFill="1"/>
    <xf numFmtId="0" fontId="49" fillId="0" borderId="0" xfId="0" applyFont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2" borderId="0" xfId="0" applyFont="1" applyFill="1" applyAlignment="1">
      <alignment horizontal="right"/>
    </xf>
    <xf numFmtId="16" fontId="49" fillId="2" borderId="0" xfId="0" applyNumberFormat="1" applyFont="1" applyFill="1"/>
    <xf numFmtId="4" fontId="50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4" fillId="0" borderId="0" xfId="0" applyFont="1"/>
    <xf numFmtId="16" fontId="52" fillId="2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  <xf numFmtId="0" fontId="5" fillId="6" borderId="3" xfId="0" applyFont="1" applyFill="1" applyBorder="1"/>
    <xf numFmtId="0" fontId="13" fillId="7" borderId="3" xfId="0" applyFont="1" applyFill="1" applyBorder="1"/>
    <xf numFmtId="0" fontId="14" fillId="7" borderId="3" xfId="0" applyFont="1" applyFill="1" applyBorder="1"/>
    <xf numFmtId="0" fontId="5" fillId="0" borderId="3" xfId="0" applyFont="1" applyBorder="1"/>
    <xf numFmtId="4" fontId="18" fillId="2" borderId="3" xfId="0" applyNumberFormat="1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4" fontId="16" fillId="2" borderId="3" xfId="0" applyNumberFormat="1" applyFont="1" applyFill="1" applyBorder="1"/>
    <xf numFmtId="10" fontId="16" fillId="7" borderId="3" xfId="2" applyNumberFormat="1" applyFont="1" applyFill="1" applyBorder="1" applyAlignment="1">
      <alignment horizontal="center"/>
    </xf>
    <xf numFmtId="164" fontId="16" fillId="9" borderId="3" xfId="1" applyFont="1" applyFill="1" applyBorder="1" applyAlignment="1">
      <alignment horizontal="center"/>
    </xf>
    <xf numFmtId="10" fontId="16" fillId="9" borderId="3" xfId="2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2" fontId="19" fillId="0" borderId="3" xfId="0" applyNumberFormat="1" applyFont="1" applyBorder="1"/>
    <xf numFmtId="164" fontId="18" fillId="2" borderId="3" xfId="1" applyFont="1" applyFill="1" applyBorder="1"/>
    <xf numFmtId="164" fontId="18" fillId="2" borderId="3" xfId="10" applyFont="1" applyFill="1" applyBorder="1"/>
    <xf numFmtId="4" fontId="19" fillId="0" borderId="3" xfId="0" applyNumberFormat="1" applyFont="1" applyBorder="1"/>
    <xf numFmtId="4" fontId="16" fillId="0" borderId="3" xfId="0" applyNumberFormat="1" applyFont="1" applyBorder="1"/>
    <xf numFmtId="4" fontId="18" fillId="2" borderId="3" xfId="0" applyNumberFormat="1" applyFont="1" applyFill="1" applyBorder="1" applyAlignment="1">
      <alignment horizontal="right"/>
    </xf>
    <xf numFmtId="0" fontId="16" fillId="0" borderId="3" xfId="0" applyFont="1" applyBorder="1"/>
    <xf numFmtId="0" fontId="16" fillId="2" borderId="3" xfId="0" applyFont="1" applyFill="1" applyBorder="1"/>
    <xf numFmtId="0" fontId="15" fillId="2" borderId="3" xfId="0" applyFont="1" applyFill="1" applyBorder="1" applyAlignment="1">
      <alignment horizontal="right"/>
    </xf>
    <xf numFmtId="164" fontId="15" fillId="2" borderId="3" xfId="1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0" fontId="18" fillId="2" borderId="3" xfId="2" applyNumberFormat="1" applyFont="1" applyFill="1" applyBorder="1" applyAlignment="1">
      <alignment horizontal="center" vertical="top" wrapText="1"/>
    </xf>
    <xf numFmtId="4" fontId="18" fillId="2" borderId="3" xfId="1" applyNumberFormat="1" applyFont="1" applyFill="1" applyBorder="1" applyAlignment="1">
      <alignment vertical="top" wrapText="1"/>
    </xf>
    <xf numFmtId="164" fontId="15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 vertical="top" wrapText="1"/>
    </xf>
    <xf numFmtId="164" fontId="18" fillId="2" borderId="3" xfId="10" applyFont="1" applyFill="1" applyBorder="1" applyAlignment="1">
      <alignment horizontal="right"/>
    </xf>
    <xf numFmtId="4" fontId="18" fillId="2" borderId="3" xfId="1" applyNumberFormat="1" applyFont="1" applyFill="1" applyBorder="1" applyAlignment="1">
      <alignment horizontal="right"/>
    </xf>
    <xf numFmtId="164" fontId="18" fillId="2" borderId="3" xfId="10" applyFont="1" applyFill="1" applyBorder="1" applyAlignment="1">
      <alignment horizontal="right" wrapText="1"/>
    </xf>
    <xf numFmtId="164" fontId="18" fillId="9" borderId="3" xfId="1" applyFont="1" applyFill="1" applyBorder="1" applyAlignment="1">
      <alignment horizontal="center" wrapText="1"/>
    </xf>
    <xf numFmtId="10" fontId="18" fillId="9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18" fillId="7" borderId="3" xfId="2" applyNumberFormat="1" applyFont="1" applyFill="1" applyBorder="1" applyAlignment="1">
      <alignment horizontal="center" wrapText="1"/>
    </xf>
    <xf numFmtId="164" fontId="15" fillId="2" borderId="3" xfId="1" applyFont="1" applyFill="1" applyBorder="1" applyAlignment="1">
      <alignment horizontal="right"/>
    </xf>
    <xf numFmtId="10" fontId="18" fillId="9" borderId="3" xfId="1" applyNumberFormat="1" applyFont="1" applyFill="1" applyBorder="1" applyAlignment="1">
      <alignment horizontal="center"/>
    </xf>
    <xf numFmtId="2" fontId="18" fillId="2" borderId="3" xfId="0" applyNumberFormat="1" applyFont="1" applyFill="1" applyBorder="1"/>
    <xf numFmtId="164" fontId="18" fillId="2" borderId="3" xfId="10" applyFont="1" applyFill="1" applyBorder="1" applyAlignment="1">
      <alignment wrapText="1"/>
    </xf>
    <xf numFmtId="0" fontId="18" fillId="2" borderId="3" xfId="0" applyFont="1" applyFill="1" applyBorder="1" applyAlignment="1">
      <alignment horizontal="left" wrapText="1"/>
    </xf>
    <xf numFmtId="2" fontId="16" fillId="2" borderId="3" xfId="0" applyNumberFormat="1" applyFont="1" applyFill="1" applyBorder="1"/>
    <xf numFmtId="164" fontId="18" fillId="11" borderId="3" xfId="1" applyFont="1" applyFill="1" applyBorder="1" applyAlignment="1">
      <alignment horizontal="center"/>
    </xf>
    <xf numFmtId="10" fontId="18" fillId="11" borderId="3" xfId="2" applyNumberFormat="1" applyFont="1" applyFill="1" applyBorder="1" applyAlignment="1">
      <alignment horizontal="center"/>
    </xf>
    <xf numFmtId="164" fontId="19" fillId="0" borderId="3" xfId="1" applyFont="1" applyBorder="1"/>
    <xf numFmtId="0" fontId="18" fillId="0" borderId="3" xfId="0" applyFont="1" applyBorder="1"/>
    <xf numFmtId="0" fontId="15" fillId="0" borderId="3" xfId="0" applyFont="1" applyBorder="1" applyAlignment="1">
      <alignment horizontal="right"/>
    </xf>
    <xf numFmtId="4" fontId="18" fillId="9" borderId="3" xfId="1" applyNumberFormat="1" applyFont="1" applyFill="1" applyBorder="1" applyAlignment="1">
      <alignment horizontal="center"/>
    </xf>
    <xf numFmtId="4" fontId="26" fillId="0" borderId="3" xfId="0" applyNumberFormat="1" applyFont="1" applyBorder="1"/>
    <xf numFmtId="0" fontId="20" fillId="2" borderId="3" xfId="0" applyFont="1" applyFill="1" applyBorder="1"/>
    <xf numFmtId="4" fontId="18" fillId="2" borderId="3" xfId="1" applyNumberFormat="1" applyFont="1" applyFill="1" applyBorder="1" applyAlignment="1">
      <alignment horizontal="right" vertical="top" wrapText="1"/>
    </xf>
    <xf numFmtId="4" fontId="18" fillId="9" borderId="3" xfId="1" applyNumberFormat="1" applyFont="1" applyFill="1" applyBorder="1" applyAlignment="1">
      <alignment horizontal="center" vertical="top" wrapText="1"/>
    </xf>
    <xf numFmtId="164" fontId="15" fillId="2" borderId="3" xfId="1" applyFont="1" applyFill="1" applyBorder="1"/>
    <xf numFmtId="43" fontId="18" fillId="2" borderId="3" xfId="0" applyNumberFormat="1" applyFont="1" applyFill="1" applyBorder="1"/>
    <xf numFmtId="43" fontId="18" fillId="9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right" wrapText="1"/>
    </xf>
    <xf numFmtId="4" fontId="18" fillId="2" borderId="3" xfId="10" applyNumberFormat="1" applyFont="1" applyFill="1" applyBorder="1" applyAlignment="1">
      <alignment horizontal="right"/>
    </xf>
    <xf numFmtId="4" fontId="18" fillId="2" borderId="3" xfId="10" applyNumberFormat="1" applyFont="1" applyFill="1" applyBorder="1" applyAlignment="1">
      <alignment horizontal="right" wrapText="1"/>
    </xf>
    <xf numFmtId="4" fontId="15" fillId="9" borderId="3" xfId="1" applyNumberFormat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 vertical="center"/>
    </xf>
    <xf numFmtId="0" fontId="15" fillId="14" borderId="3" xfId="0" applyFont="1" applyFill="1" applyBorder="1" applyAlignment="1">
      <alignment horizontal="right" vertical="center"/>
    </xf>
    <xf numFmtId="164" fontId="15" fillId="14" borderId="3" xfId="1" applyFont="1" applyFill="1" applyBorder="1" applyAlignment="1">
      <alignment horizontal="right" vertical="center" wrapText="1"/>
    </xf>
    <xf numFmtId="10" fontId="18" fillId="14" borderId="3" xfId="1" applyNumberFormat="1" applyFont="1" applyFill="1" applyBorder="1" applyAlignment="1">
      <alignment horizontal="right" vertical="center" wrapText="1"/>
    </xf>
    <xf numFmtId="4" fontId="18" fillId="14" borderId="3" xfId="1" applyNumberFormat="1" applyFont="1" applyFill="1" applyBorder="1" applyAlignment="1">
      <alignment horizontal="right" vertical="center" wrapText="1"/>
    </xf>
    <xf numFmtId="9" fontId="18" fillId="14" borderId="3" xfId="2" applyFont="1" applyFill="1" applyBorder="1" applyAlignment="1">
      <alignment horizontal="center" vertical="center" wrapText="1"/>
    </xf>
    <xf numFmtId="4" fontId="18" fillId="14" borderId="3" xfId="1" applyNumberFormat="1" applyFont="1" applyFill="1" applyBorder="1" applyAlignment="1">
      <alignment horizontal="center" vertical="center" wrapText="1"/>
    </xf>
    <xf numFmtId="10" fontId="16" fillId="14" borderId="3" xfId="2" applyNumberFormat="1" applyFont="1" applyFill="1" applyBorder="1" applyAlignment="1">
      <alignment horizontal="center" vertical="top" wrapText="1"/>
    </xf>
    <xf numFmtId="164" fontId="15" fillId="14" borderId="3" xfId="1" applyFont="1" applyFill="1" applyBorder="1" applyAlignment="1">
      <alignment horizontal="right" vertical="top" wrapText="1"/>
    </xf>
    <xf numFmtId="0" fontId="18" fillId="2" borderId="3" xfId="0" applyFont="1" applyFill="1" applyBorder="1" applyAlignment="1">
      <alignment horizontal="center" wrapText="1"/>
    </xf>
    <xf numFmtId="4" fontId="18" fillId="2" borderId="3" xfId="10" applyNumberFormat="1" applyFont="1" applyFill="1" applyBorder="1" applyAlignment="1">
      <alignment horizontal="right" vertical="top" wrapText="1"/>
    </xf>
    <xf numFmtId="164" fontId="28" fillId="14" borderId="3" xfId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center" vertical="top" wrapText="1"/>
    </xf>
    <xf numFmtId="167" fontId="16" fillId="14" borderId="3" xfId="2" applyNumberFormat="1" applyFont="1" applyFill="1" applyBorder="1" applyAlignment="1">
      <alignment horizontal="center" vertical="top" wrapText="1"/>
    </xf>
    <xf numFmtId="10" fontId="16" fillId="14" borderId="3" xfId="1" applyNumberFormat="1" applyFont="1" applyFill="1" applyBorder="1" applyAlignment="1">
      <alignment horizontal="center" vertical="top" wrapText="1"/>
    </xf>
    <xf numFmtId="164" fontId="18" fillId="2" borderId="3" xfId="10" applyFont="1" applyFill="1" applyBorder="1" applyAlignment="1">
      <alignment horizontal="right" vertical="top" wrapText="1"/>
    </xf>
    <xf numFmtId="10" fontId="18" fillId="7" borderId="3" xfId="2" applyNumberFormat="1" applyFont="1" applyFill="1" applyBorder="1" applyAlignment="1">
      <alignment horizontal="center" vertical="top" wrapText="1"/>
    </xf>
    <xf numFmtId="164" fontId="18" fillId="9" borderId="3" xfId="1" applyFont="1" applyFill="1" applyBorder="1" applyAlignment="1">
      <alignment horizontal="center" vertical="top" wrapText="1"/>
    </xf>
    <xf numFmtId="164" fontId="18" fillId="2" borderId="3" xfId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/>
    </xf>
    <xf numFmtId="0" fontId="15" fillId="14" borderId="3" xfId="0" applyFont="1" applyFill="1" applyBorder="1" applyAlignment="1">
      <alignment horizontal="right"/>
    </xf>
    <xf numFmtId="0" fontId="18" fillId="15" borderId="3" xfId="0" applyFont="1" applyFill="1" applyBorder="1" applyAlignment="1">
      <alignment horizontal="right" vertical="top" wrapText="1"/>
    </xf>
    <xf numFmtId="0" fontId="25" fillId="15" borderId="3" xfId="0" applyFont="1" applyFill="1" applyBorder="1" applyAlignment="1">
      <alignment horizontal="right" vertical="top" wrapText="1"/>
    </xf>
    <xf numFmtId="164" fontId="25" fillId="15" borderId="3" xfId="1" applyFont="1" applyFill="1" applyBorder="1" applyAlignment="1">
      <alignment horizontal="right" vertical="top" wrapText="1"/>
    </xf>
    <xf numFmtId="164" fontId="10" fillId="15" borderId="3" xfId="1" applyFont="1" applyFill="1" applyBorder="1" applyAlignment="1">
      <alignment horizontal="right" vertical="top" wrapText="1"/>
    </xf>
    <xf numFmtId="4" fontId="10" fillId="15" borderId="3" xfId="0" applyNumberFormat="1" applyFont="1" applyFill="1" applyBorder="1" applyAlignment="1">
      <alignment horizontal="right"/>
    </xf>
    <xf numFmtId="9" fontId="10" fillId="15" borderId="3" xfId="2" applyFont="1" applyFill="1" applyBorder="1" applyAlignment="1">
      <alignment horizontal="center"/>
    </xf>
    <xf numFmtId="4" fontId="10" fillId="15" borderId="3" xfId="0" applyNumberFormat="1" applyFont="1" applyFill="1" applyBorder="1" applyAlignment="1">
      <alignment horizontal="center"/>
    </xf>
    <xf numFmtId="10" fontId="10" fillId="15" borderId="3" xfId="2" applyNumberFormat="1" applyFont="1" applyFill="1" applyBorder="1" applyAlignment="1">
      <alignment horizontal="center" vertical="top" wrapText="1"/>
    </xf>
    <xf numFmtId="167" fontId="10" fillId="15" borderId="3" xfId="2" applyNumberFormat="1" applyFont="1" applyFill="1" applyBorder="1" applyAlignment="1">
      <alignment horizontal="center" vertical="top" wrapText="1"/>
    </xf>
    <xf numFmtId="167" fontId="18" fillId="15" borderId="3" xfId="2" applyNumberFormat="1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right" vertical="center"/>
    </xf>
    <xf numFmtId="0" fontId="29" fillId="5" borderId="3" xfId="0" applyFont="1" applyFill="1" applyBorder="1" applyAlignment="1">
      <alignment horizontal="left" vertical="center"/>
    </xf>
    <xf numFmtId="0" fontId="9" fillId="5" borderId="3" xfId="0" applyFont="1" applyFill="1" applyBorder="1"/>
    <xf numFmtId="0" fontId="18" fillId="0" borderId="3" xfId="0" applyFont="1" applyBorder="1" applyAlignment="1">
      <alignment horizontal="center"/>
    </xf>
    <xf numFmtId="4" fontId="18" fillId="2" borderId="3" xfId="44" applyNumberFormat="1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49" fontId="18" fillId="2" borderId="3" xfId="0" applyNumberFormat="1" applyFont="1" applyFill="1" applyBorder="1" applyAlignment="1">
      <alignment wrapText="1"/>
    </xf>
    <xf numFmtId="4" fontId="18" fillId="0" borderId="3" xfId="0" applyNumberFormat="1" applyFont="1" applyBorder="1" applyAlignment="1">
      <alignment wrapText="1"/>
    </xf>
    <xf numFmtId="4" fontId="18" fillId="2" borderId="1" xfId="10" applyNumberFormat="1" applyFont="1" applyFill="1" applyBorder="1" applyAlignment="1">
      <alignment horizontal="right"/>
    </xf>
    <xf numFmtId="0" fontId="54" fillId="0" borderId="0" xfId="0" applyFont="1"/>
    <xf numFmtId="0" fontId="18" fillId="2" borderId="3" xfId="0" applyFont="1" applyFill="1" applyBorder="1" applyAlignment="1">
      <alignment horizontal="center" wrapText="1"/>
    </xf>
    <xf numFmtId="10" fontId="16" fillId="2" borderId="3" xfId="2" applyNumberFormat="1" applyFont="1" applyFill="1" applyBorder="1" applyAlignment="1">
      <alignment horizontal="center"/>
    </xf>
    <xf numFmtId="10" fontId="18" fillId="2" borderId="3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 vertical="top" wrapText="1"/>
    </xf>
    <xf numFmtId="164" fontId="18" fillId="2" borderId="3" xfId="1" applyFont="1" applyFill="1" applyBorder="1" applyAlignment="1">
      <alignment horizontal="center"/>
    </xf>
    <xf numFmtId="164" fontId="18" fillId="2" borderId="3" xfId="1" applyFont="1" applyFill="1" applyBorder="1" applyAlignment="1">
      <alignment horizontal="center" wrapText="1"/>
    </xf>
    <xf numFmtId="0" fontId="56" fillId="5" borderId="3" xfId="0" applyFont="1" applyFill="1" applyBorder="1"/>
    <xf numFmtId="0" fontId="15" fillId="15" borderId="3" xfId="0" applyFont="1" applyFill="1" applyBorder="1" applyAlignment="1">
      <alignment horizontal="center" vertical="top" wrapText="1"/>
    </xf>
    <xf numFmtId="164" fontId="18" fillId="14" borderId="3" xfId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center" vertical="top" wrapText="1"/>
    </xf>
    <xf numFmtId="0" fontId="15" fillId="22" borderId="3" xfId="0" applyFont="1" applyFill="1" applyBorder="1" applyAlignment="1">
      <alignment horizontal="center" vertical="top" wrapText="1"/>
    </xf>
    <xf numFmtId="0" fontId="15" fillId="22" borderId="3" xfId="0" applyFont="1" applyFill="1" applyBorder="1" applyAlignment="1">
      <alignment vertical="top" wrapText="1"/>
    </xf>
    <xf numFmtId="0" fontId="13" fillId="22" borderId="3" xfId="0" applyFont="1" applyFill="1" applyBorder="1" applyAlignment="1">
      <alignment vertical="top" wrapText="1"/>
    </xf>
    <xf numFmtId="0" fontId="13" fillId="22" borderId="3" xfId="0" applyFont="1" applyFill="1" applyBorder="1" applyAlignment="1">
      <alignment horizontal="center" vertical="top"/>
    </xf>
    <xf numFmtId="0" fontId="13" fillId="22" borderId="3" xfId="0" applyFont="1" applyFill="1" applyBorder="1" applyAlignment="1">
      <alignment horizontal="center" vertical="top" wrapText="1"/>
    </xf>
    <xf numFmtId="164" fontId="13" fillId="22" borderId="3" xfId="1" applyFont="1" applyFill="1" applyBorder="1" applyAlignment="1">
      <alignment horizontal="center" vertical="top"/>
    </xf>
    <xf numFmtId="10" fontId="16" fillId="22" borderId="3" xfId="2" applyNumberFormat="1" applyFont="1" applyFill="1" applyBorder="1" applyAlignment="1">
      <alignment horizontal="center" vertical="top" wrapText="1"/>
    </xf>
    <xf numFmtId="10" fontId="16" fillId="22" borderId="3" xfId="1" applyNumberFormat="1" applyFont="1" applyFill="1" applyBorder="1" applyAlignment="1">
      <alignment horizontal="center" vertical="top" wrapText="1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wrapText="1"/>
    </xf>
    <xf numFmtId="164" fontId="18" fillId="2" borderId="3" xfId="1" applyFont="1" applyFill="1" applyBorder="1" applyAlignment="1">
      <alignment wrapText="1"/>
    </xf>
    <xf numFmtId="0" fontId="18" fillId="2" borderId="3" xfId="0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25" fillId="13" borderId="3" xfId="0" applyFont="1" applyFill="1" applyBorder="1" applyAlignment="1">
      <alignment horizontal="center" wrapText="1"/>
    </xf>
    <xf numFmtId="0" fontId="25" fillId="8" borderId="3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13" fillId="7" borderId="5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24,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216.34030366850018</c:v>
                </c:pt>
                <c:pt idx="1">
                  <c:v>5684.6814589689548</c:v>
                </c:pt>
                <c:pt idx="2">
                  <c:v>235.70647222829081</c:v>
                </c:pt>
                <c:pt idx="3">
                  <c:v>1845.5139378006818</c:v>
                </c:pt>
                <c:pt idx="4">
                  <c:v>505.63789731583006</c:v>
                </c:pt>
                <c:pt idx="5" formatCode="_-* #,##0.00_-;\-* #,##0.00_-;_-* &quot;-&quot;??_-;_-@_-">
                  <c:v>137.04628263608222</c:v>
                </c:pt>
                <c:pt idx="6">
                  <c:v>18.040731810320001</c:v>
                </c:pt>
                <c:pt idx="7">
                  <c:v>125.94507915049832</c:v>
                </c:pt>
                <c:pt idx="8">
                  <c:v>31.632969925556733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30,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234.65650655800678</c:v>
                </c:pt>
                <c:pt idx="1">
                  <c:v>5710.6440913866309</c:v>
                </c:pt>
                <c:pt idx="2">
                  <c:v>235.77329133045038</c:v>
                </c:pt>
                <c:pt idx="3">
                  <c:v>1871.0027534872156</c:v>
                </c:pt>
                <c:pt idx="4">
                  <c:v>506.71167330949521</c:v>
                </c:pt>
                <c:pt idx="5" formatCode="_-* #,##0.00_-;\-* #,##0.00_-;_-* &quot;-&quot;??_-;_-@_-">
                  <c:v>144.44978399667878</c:v>
                </c:pt>
                <c:pt idx="6">
                  <c:v>19.513541737859999</c:v>
                </c:pt>
                <c:pt idx="7">
                  <c:v>133.93446740073963</c:v>
                </c:pt>
                <c:pt idx="8">
                  <c:v>31.899721332017464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30TH APRIL,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30-Apr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19513541737.860001</c:v>
                </c:pt>
                <c:pt idx="1">
                  <c:v>31899721332.017464</c:v>
                </c:pt>
                <c:pt idx="2">
                  <c:v>133934467400.73964</c:v>
                </c:pt>
                <c:pt idx="3" formatCode="_-* #,##0.00_-;\-* #,##0.00_-;_-* &quot;-&quot;??_-;_-@_-">
                  <c:v>144449783996.67877</c:v>
                </c:pt>
                <c:pt idx="4">
                  <c:v>234656506558.00677</c:v>
                </c:pt>
                <c:pt idx="5">
                  <c:v>235773291330.45038</c:v>
                </c:pt>
                <c:pt idx="6">
                  <c:v>506711673309.49524</c:v>
                </c:pt>
                <c:pt idx="7">
                  <c:v>1871002753487.2156</c:v>
                </c:pt>
                <c:pt idx="8">
                  <c:v>5710644091386.6309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46094</c:v>
                </c:pt>
                <c:pt idx="1">
                  <c:v>46099</c:v>
                </c:pt>
                <c:pt idx="2">
                  <c:v>46108</c:v>
                </c:pt>
                <c:pt idx="3">
                  <c:v>46114</c:v>
                </c:pt>
                <c:pt idx="4">
                  <c:v>46122</c:v>
                </c:pt>
                <c:pt idx="5">
                  <c:v>46129</c:v>
                </c:pt>
                <c:pt idx="6">
                  <c:v>46136</c:v>
                </c:pt>
                <c:pt idx="7">
                  <c:v>46142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8362.1373987365132</c:v>
                </c:pt>
                <c:pt idx="1">
                  <c:v>8418.7881429582667</c:v>
                </c:pt>
                <c:pt idx="2">
                  <c:v>8440.5567676688224</c:v>
                </c:pt>
                <c:pt idx="3">
                  <c:v>8593.7769156229697</c:v>
                </c:pt>
                <c:pt idx="4">
                  <c:v>8623.4476305652915</c:v>
                </c:pt>
                <c:pt idx="5">
                  <c:v>8682.1345271243354</c:v>
                </c:pt>
                <c:pt idx="6">
                  <c:v>8800.5451335047146</c:v>
                </c:pt>
                <c:pt idx="7">
                  <c:v>8888.5858305390957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46094</c:v>
                </c:pt>
                <c:pt idx="1">
                  <c:v>46099</c:v>
                </c:pt>
                <c:pt idx="2">
                  <c:v>46108</c:v>
                </c:pt>
                <c:pt idx="3">
                  <c:v>46114</c:v>
                </c:pt>
                <c:pt idx="4">
                  <c:v>46122</c:v>
                </c:pt>
                <c:pt idx="5">
                  <c:v>46129</c:v>
                </c:pt>
                <c:pt idx="6">
                  <c:v>46136</c:v>
                </c:pt>
                <c:pt idx="7">
                  <c:v>46142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24.024073678480001</c:v>
                </c:pt>
                <c:pt idx="1">
                  <c:v>24.06611184246</c:v>
                </c:pt>
                <c:pt idx="2">
                  <c:v>24.226803601379999</c:v>
                </c:pt>
                <c:pt idx="3">
                  <c:v>24.882508960419997</c:v>
                </c:pt>
                <c:pt idx="4">
                  <c:v>25.247393537559997</c:v>
                </c:pt>
                <c:pt idx="5">
                  <c:v>27.644948093229999</c:v>
                </c:pt>
                <c:pt idx="6">
                  <c:v>28.90522929934</c:v>
                </c:pt>
                <c:pt idx="7">
                  <c:v>30.630921333499995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H276"/>
  <sheetViews>
    <sheetView tabSelected="1" zoomScale="130" zoomScaleNormal="130" workbookViewId="0">
      <pane ySplit="3" topLeftCell="A4" activePane="bottomLeft" state="frozen"/>
      <selection activeCell="K15" sqref="K15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6" t="s">
        <v>329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</row>
    <row r="2" spans="1:32" ht="14.4" customHeight="1">
      <c r="A2" s="81"/>
      <c r="B2" s="82"/>
      <c r="C2" s="83"/>
      <c r="D2" s="218" t="s">
        <v>327</v>
      </c>
      <c r="E2" s="219"/>
      <c r="F2" s="219"/>
      <c r="G2" s="219"/>
      <c r="H2" s="219"/>
      <c r="I2" s="219"/>
      <c r="J2" s="219"/>
      <c r="K2" s="219"/>
      <c r="L2" s="219"/>
      <c r="M2" s="220"/>
      <c r="N2" s="218" t="s">
        <v>330</v>
      </c>
      <c r="O2" s="219"/>
      <c r="P2" s="219"/>
      <c r="Q2" s="219"/>
      <c r="R2" s="219"/>
      <c r="S2" s="219"/>
      <c r="T2" s="219"/>
      <c r="U2" s="219"/>
      <c r="V2" s="219"/>
      <c r="W2" s="220"/>
      <c r="X2" s="217" t="s">
        <v>0</v>
      </c>
      <c r="Y2" s="217"/>
      <c r="Z2" s="217"/>
      <c r="AA2" s="217" t="s">
        <v>1</v>
      </c>
      <c r="AB2" s="217"/>
      <c r="AD2" s="50"/>
    </row>
    <row r="3" spans="1:32" ht="20.399999999999999">
      <c r="A3" s="194" t="s">
        <v>2</v>
      </c>
      <c r="B3" s="195" t="s">
        <v>3</v>
      </c>
      <c r="C3" s="196" t="s">
        <v>4</v>
      </c>
      <c r="D3" s="197" t="s">
        <v>346</v>
      </c>
      <c r="E3" s="197" t="s">
        <v>5</v>
      </c>
      <c r="F3" s="198" t="s">
        <v>6</v>
      </c>
      <c r="G3" s="198" t="s">
        <v>348</v>
      </c>
      <c r="H3" s="198" t="s">
        <v>11</v>
      </c>
      <c r="I3" s="198" t="s">
        <v>349</v>
      </c>
      <c r="J3" s="198" t="s">
        <v>7</v>
      </c>
      <c r="K3" s="198" t="s">
        <v>8</v>
      </c>
      <c r="L3" s="198" t="s">
        <v>9</v>
      </c>
      <c r="M3" s="198" t="s">
        <v>10</v>
      </c>
      <c r="N3" s="197" t="s">
        <v>346</v>
      </c>
      <c r="O3" s="199" t="s">
        <v>5</v>
      </c>
      <c r="P3" s="198" t="s">
        <v>6</v>
      </c>
      <c r="Q3" s="198" t="s">
        <v>348</v>
      </c>
      <c r="R3" s="198" t="s">
        <v>11</v>
      </c>
      <c r="S3" s="198" t="s">
        <v>349</v>
      </c>
      <c r="T3" s="198" t="s">
        <v>7</v>
      </c>
      <c r="U3" s="198" t="s">
        <v>8</v>
      </c>
      <c r="V3" s="198" t="s">
        <v>9</v>
      </c>
      <c r="W3" s="198" t="s">
        <v>10</v>
      </c>
      <c r="X3" s="197" t="s">
        <v>12</v>
      </c>
      <c r="Y3" s="198" t="s">
        <v>13</v>
      </c>
      <c r="Z3" s="198" t="s">
        <v>14</v>
      </c>
      <c r="AA3" s="198" t="s">
        <v>15</v>
      </c>
      <c r="AB3" s="198" t="s">
        <v>16</v>
      </c>
      <c r="AD3" s="52"/>
      <c r="AF3" s="50"/>
    </row>
    <row r="4" spans="1:32" ht="5.25" customHeight="1">
      <c r="A4" s="84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</row>
    <row r="5" spans="1:32" ht="15" customHeight="1">
      <c r="A5" s="214" t="s">
        <v>17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</row>
    <row r="6" spans="1:32">
      <c r="A6" s="179">
        <v>1</v>
      </c>
      <c r="B6" s="85" t="s">
        <v>18</v>
      </c>
      <c r="C6" s="86" t="s">
        <v>19</v>
      </c>
      <c r="D6" s="184" t="s">
        <v>347</v>
      </c>
      <c r="E6" s="87">
        <v>12108751302.73</v>
      </c>
      <c r="F6" s="88">
        <f t="shared" ref="F6:F24" si="0">(E6/$E$26)</f>
        <v>5.5970852852662754E-2</v>
      </c>
      <c r="G6" s="185" t="s">
        <v>347</v>
      </c>
      <c r="H6" s="87">
        <v>882.19269999999995</v>
      </c>
      <c r="I6" s="185" t="s">
        <v>347</v>
      </c>
      <c r="J6" s="87">
        <v>886.18230000000005</v>
      </c>
      <c r="K6" s="89">
        <v>1705</v>
      </c>
      <c r="L6" s="90">
        <v>4.53E-2</v>
      </c>
      <c r="M6" s="90">
        <v>0.42530000000000001</v>
      </c>
      <c r="N6" s="185" t="s">
        <v>347</v>
      </c>
      <c r="O6" s="87">
        <v>13510518722.9</v>
      </c>
      <c r="P6" s="88">
        <f t="shared" ref="P6:P25" si="1">(O6/$O$26)</f>
        <v>5.7575725988063396E-2</v>
      </c>
      <c r="Q6" s="185" t="s">
        <v>347</v>
      </c>
      <c r="R6" s="87">
        <v>921.16920000000005</v>
      </c>
      <c r="S6" s="185" t="s">
        <v>347</v>
      </c>
      <c r="T6" s="87">
        <v>925.18700000000001</v>
      </c>
      <c r="U6" s="89">
        <v>1705</v>
      </c>
      <c r="V6" s="90">
        <v>4.4200000000000003E-2</v>
      </c>
      <c r="W6" s="90">
        <v>0.48830000000000001</v>
      </c>
      <c r="X6" s="200">
        <f>((O6-E6)/E6)</f>
        <v>0.11576482042817761</v>
      </c>
      <c r="Y6" s="200">
        <f>((T6-J6)/J6)</f>
        <v>4.4014307214215356E-2</v>
      </c>
      <c r="Z6" s="200">
        <f>((U6-K6)/K6)</f>
        <v>0</v>
      </c>
      <c r="AA6" s="200">
        <f>V6-L6</f>
        <v>-1.0999999999999968E-3</v>
      </c>
      <c r="AB6" s="201">
        <f>W6-M6</f>
        <v>6.3E-2</v>
      </c>
      <c r="AC6" s="45"/>
    </row>
    <row r="7" spans="1:32">
      <c r="A7" s="179">
        <v>2</v>
      </c>
      <c r="B7" s="85" t="s">
        <v>20</v>
      </c>
      <c r="C7" s="86" t="s">
        <v>21</v>
      </c>
      <c r="D7" s="184" t="s">
        <v>347</v>
      </c>
      <c r="E7" s="91">
        <v>2257683472.29</v>
      </c>
      <c r="F7" s="92">
        <f t="shared" si="0"/>
        <v>1.0435796908880487E-2</v>
      </c>
      <c r="G7" s="185" t="s">
        <v>347</v>
      </c>
      <c r="H7" s="91">
        <v>583.05730000000005</v>
      </c>
      <c r="I7" s="185" t="s">
        <v>347</v>
      </c>
      <c r="J7" s="91">
        <v>590.67129999999997</v>
      </c>
      <c r="K7" s="93">
        <v>755</v>
      </c>
      <c r="L7" s="94">
        <v>1.3514E-2</v>
      </c>
      <c r="M7" s="94">
        <v>0.42330000000000001</v>
      </c>
      <c r="N7" s="185" t="s">
        <v>347</v>
      </c>
      <c r="O7" s="91">
        <v>2339887779.3299999</v>
      </c>
      <c r="P7" s="92">
        <f t="shared" si="1"/>
        <v>9.9715444231740606E-3</v>
      </c>
      <c r="Q7" s="185" t="s">
        <v>347</v>
      </c>
      <c r="R7" s="91">
        <v>618.41880000000003</v>
      </c>
      <c r="S7" s="185" t="s">
        <v>347</v>
      </c>
      <c r="T7" s="91">
        <v>626.62829999999997</v>
      </c>
      <c r="U7" s="93">
        <v>770</v>
      </c>
      <c r="V7" s="94">
        <v>1.0925000000000001E-2</v>
      </c>
      <c r="W7" s="94">
        <v>0.50960000000000005</v>
      </c>
      <c r="X7" s="202">
        <f t="shared" ref="X7:X26" si="2">((O7-E7)/E7)</f>
        <v>3.641090881381126E-2</v>
      </c>
      <c r="Y7" s="202">
        <f t="shared" ref="Y7:Y26" si="3">((T7-J7)/J7)</f>
        <v>6.0874804650234392E-2</v>
      </c>
      <c r="Z7" s="202">
        <f t="shared" ref="Z7:Z26" si="4">((U7-K7)/K7)</f>
        <v>1.9867549668874173E-2</v>
      </c>
      <c r="AA7" s="200">
        <f t="shared" ref="AA7:AA26" si="5">V7-L7</f>
        <v>-2.5889999999999993E-3</v>
      </c>
      <c r="AB7" s="201">
        <f t="shared" ref="AB7:AB26" si="6">W7-M7</f>
        <v>8.6300000000000043E-2</v>
      </c>
      <c r="AC7" s="53"/>
      <c r="AD7" s="53"/>
      <c r="AE7" s="50"/>
    </row>
    <row r="8" spans="1:32">
      <c r="A8" s="179">
        <v>3</v>
      </c>
      <c r="B8" s="85" t="s">
        <v>22</v>
      </c>
      <c r="C8" s="86" t="s">
        <v>23</v>
      </c>
      <c r="D8" s="184" t="s">
        <v>347</v>
      </c>
      <c r="E8" s="91">
        <v>16340746334.790001</v>
      </c>
      <c r="F8" s="92">
        <f t="shared" si="0"/>
        <v>7.553260329997985E-2</v>
      </c>
      <c r="G8" s="185" t="s">
        <v>347</v>
      </c>
      <c r="H8" s="91">
        <v>73.494600000000005</v>
      </c>
      <c r="I8" s="185" t="s">
        <v>347</v>
      </c>
      <c r="J8" s="95">
        <v>75.710499999999996</v>
      </c>
      <c r="K8" s="89">
        <v>10858</v>
      </c>
      <c r="L8" s="90">
        <v>2.8366482347012553E-2</v>
      </c>
      <c r="M8" s="90">
        <v>0.38764307511844648</v>
      </c>
      <c r="N8" s="185" t="s">
        <v>347</v>
      </c>
      <c r="O8" s="91">
        <v>18254490020.029999</v>
      </c>
      <c r="P8" s="92">
        <f t="shared" si="1"/>
        <v>7.7792388064541113E-2</v>
      </c>
      <c r="Q8" s="185" t="s">
        <v>347</v>
      </c>
      <c r="R8" s="91">
        <v>77.798699999999997</v>
      </c>
      <c r="S8" s="185" t="s">
        <v>347</v>
      </c>
      <c r="T8" s="95">
        <v>80.144300000000001</v>
      </c>
      <c r="U8" s="89">
        <v>11145</v>
      </c>
      <c r="V8" s="90">
        <v>5.8562550769047927E-2</v>
      </c>
      <c r="W8" s="90">
        <v>0.46890699315438833</v>
      </c>
      <c r="X8" s="202">
        <f t="shared" si="2"/>
        <v>0.11711482731762214</v>
      </c>
      <c r="Y8" s="202">
        <f t="shared" si="3"/>
        <v>5.8562550769047955E-2</v>
      </c>
      <c r="Z8" s="202">
        <f t="shared" si="4"/>
        <v>2.6432123779701604E-2</v>
      </c>
      <c r="AA8" s="200">
        <f t="shared" si="5"/>
        <v>3.0196068422035375E-2</v>
      </c>
      <c r="AB8" s="201">
        <f t="shared" si="6"/>
        <v>8.1263918035941851E-2</v>
      </c>
      <c r="AC8" s="41"/>
      <c r="AD8" s="49"/>
      <c r="AE8" s="22"/>
      <c r="AF8" s="51"/>
    </row>
    <row r="9" spans="1:32">
      <c r="A9" s="179">
        <v>4</v>
      </c>
      <c r="B9" s="85" t="s">
        <v>24</v>
      </c>
      <c r="C9" s="86" t="s">
        <v>25</v>
      </c>
      <c r="D9" s="184" t="s">
        <v>347</v>
      </c>
      <c r="E9" s="91">
        <v>2948688184.0100002</v>
      </c>
      <c r="F9" s="92">
        <f t="shared" si="0"/>
        <v>1.3629860613158316E-2</v>
      </c>
      <c r="G9" s="185" t="s">
        <v>347</v>
      </c>
      <c r="H9" s="91">
        <v>356.01729999999998</v>
      </c>
      <c r="I9" s="185" t="s">
        <v>347</v>
      </c>
      <c r="J9" s="91">
        <v>356.01729999999998</v>
      </c>
      <c r="K9" s="93">
        <v>2566</v>
      </c>
      <c r="L9" s="94">
        <v>5.3999999999999999E-2</v>
      </c>
      <c r="M9" s="94">
        <v>0.42259999999999998</v>
      </c>
      <c r="N9" s="185" t="s">
        <v>347</v>
      </c>
      <c r="O9" s="91">
        <v>3284814571.0100002</v>
      </c>
      <c r="P9" s="92">
        <f t="shared" si="1"/>
        <v>1.3998395438474656E-2</v>
      </c>
      <c r="Q9" s="185" t="s">
        <v>347</v>
      </c>
      <c r="R9" s="91">
        <v>377.58960000000002</v>
      </c>
      <c r="S9" s="185" t="s">
        <v>347</v>
      </c>
      <c r="T9" s="91">
        <v>377.58960000000002</v>
      </c>
      <c r="U9" s="93">
        <v>2588</v>
      </c>
      <c r="V9" s="94">
        <v>6.0600000000000001E-2</v>
      </c>
      <c r="W9" s="94">
        <v>0.50880000000000003</v>
      </c>
      <c r="X9" s="202">
        <f t="shared" si="2"/>
        <v>0.11399183841232501</v>
      </c>
      <c r="Y9" s="202">
        <f t="shared" si="3"/>
        <v>6.0593403747514638E-2</v>
      </c>
      <c r="Z9" s="202">
        <f t="shared" si="4"/>
        <v>8.5736554949337497E-3</v>
      </c>
      <c r="AA9" s="200">
        <f t="shared" si="5"/>
        <v>6.6000000000000017E-3</v>
      </c>
      <c r="AB9" s="201">
        <f t="shared" si="6"/>
        <v>8.6200000000000054E-2</v>
      </c>
    </row>
    <row r="10" spans="1:32">
      <c r="A10" s="179">
        <v>5</v>
      </c>
      <c r="B10" s="85" t="s">
        <v>26</v>
      </c>
      <c r="C10" s="86" t="s">
        <v>27</v>
      </c>
      <c r="D10" s="184" t="s">
        <v>347</v>
      </c>
      <c r="E10" s="91">
        <v>10070226732.6</v>
      </c>
      <c r="F10" s="92">
        <f t="shared" si="0"/>
        <v>4.6548084484667643E-2</v>
      </c>
      <c r="G10" s="185" t="s">
        <v>347</v>
      </c>
      <c r="H10" s="91">
        <v>2.8978000000000002</v>
      </c>
      <c r="I10" s="185" t="s">
        <v>347</v>
      </c>
      <c r="J10" s="91">
        <v>2.9312</v>
      </c>
      <c r="K10" s="93">
        <v>2118</v>
      </c>
      <c r="L10" s="94">
        <v>5.33E-2</v>
      </c>
      <c r="M10" s="94">
        <v>0.56579999999999997</v>
      </c>
      <c r="N10" s="185" t="s">
        <v>347</v>
      </c>
      <c r="O10" s="91">
        <v>11322850480.66</v>
      </c>
      <c r="P10" s="92">
        <f>(O10/$O$26)</f>
        <v>4.8252872450655897E-2</v>
      </c>
      <c r="Q10" s="185" t="s">
        <v>347</v>
      </c>
      <c r="R10" s="91">
        <v>3.0939999999999999</v>
      </c>
      <c r="S10" s="185" t="s">
        <v>347</v>
      </c>
      <c r="T10" s="91">
        <v>3.1337999999999999</v>
      </c>
      <c r="U10" s="93">
        <v>2225</v>
      </c>
      <c r="V10" s="94">
        <v>6.8400000000000002E-2</v>
      </c>
      <c r="W10" s="94">
        <v>0.67290000000000005</v>
      </c>
      <c r="X10" s="202">
        <f t="shared" si="2"/>
        <v>0.12438883267691714</v>
      </c>
      <c r="Y10" s="202">
        <f t="shared" si="3"/>
        <v>6.9118449781659347E-2</v>
      </c>
      <c r="Z10" s="202">
        <f t="shared" si="4"/>
        <v>5.051935788479698E-2</v>
      </c>
      <c r="AA10" s="200">
        <f t="shared" si="5"/>
        <v>1.5100000000000002E-2</v>
      </c>
      <c r="AB10" s="201">
        <f t="shared" si="6"/>
        <v>0.10710000000000008</v>
      </c>
    </row>
    <row r="11" spans="1:32">
      <c r="A11" s="179">
        <v>6</v>
      </c>
      <c r="B11" s="85" t="s">
        <v>28</v>
      </c>
      <c r="C11" s="86" t="s">
        <v>29</v>
      </c>
      <c r="D11" s="184" t="s">
        <v>347</v>
      </c>
      <c r="E11" s="96">
        <v>676571338.11000001</v>
      </c>
      <c r="F11" s="92">
        <f t="shared" si="0"/>
        <v>3.127347639978888E-3</v>
      </c>
      <c r="G11" s="185" t="s">
        <v>347</v>
      </c>
      <c r="H11" s="91">
        <v>320.09500000000003</v>
      </c>
      <c r="I11" s="185" t="s">
        <v>347</v>
      </c>
      <c r="J11" s="91">
        <v>322.7901</v>
      </c>
      <c r="K11" s="89">
        <v>202</v>
      </c>
      <c r="L11" s="90">
        <v>7.437E-3</v>
      </c>
      <c r="M11" s="90">
        <v>0.495</v>
      </c>
      <c r="N11" s="185" t="s">
        <v>347</v>
      </c>
      <c r="O11" s="96">
        <v>785587730.88999999</v>
      </c>
      <c r="P11" s="92">
        <f t="shared" si="1"/>
        <v>3.3478199365241284E-3</v>
      </c>
      <c r="Q11" s="185" t="s">
        <v>347</v>
      </c>
      <c r="R11" s="91">
        <v>342.26</v>
      </c>
      <c r="S11" s="185" t="s">
        <v>347</v>
      </c>
      <c r="T11" s="91">
        <v>344.971</v>
      </c>
      <c r="U11" s="89">
        <v>208</v>
      </c>
      <c r="V11" s="90">
        <v>1.3579000000000001E-2</v>
      </c>
      <c r="W11" s="90">
        <v>0.59850000000000003</v>
      </c>
      <c r="X11" s="202">
        <f t="shared" si="2"/>
        <v>0.16113066965641337</v>
      </c>
      <c r="Y11" s="202">
        <f t="shared" si="3"/>
        <v>6.871617190242206E-2</v>
      </c>
      <c r="Z11" s="202">
        <f t="shared" si="4"/>
        <v>2.9702970297029702E-2</v>
      </c>
      <c r="AA11" s="200">
        <f t="shared" si="5"/>
        <v>6.1420000000000008E-3</v>
      </c>
      <c r="AB11" s="201">
        <f t="shared" si="6"/>
        <v>0.10350000000000004</v>
      </c>
    </row>
    <row r="12" spans="1:32">
      <c r="A12" s="179">
        <v>7</v>
      </c>
      <c r="B12" s="85" t="s">
        <v>337</v>
      </c>
      <c r="C12" s="86" t="s">
        <v>79</v>
      </c>
      <c r="D12" s="184" t="s">
        <v>347</v>
      </c>
      <c r="E12" s="91">
        <v>6030897176.8100004</v>
      </c>
      <c r="F12" s="92">
        <f t="shared" si="0"/>
        <v>2.7876900764876377E-2</v>
      </c>
      <c r="G12" s="185" t="s">
        <v>347</v>
      </c>
      <c r="H12" s="91">
        <v>626.76</v>
      </c>
      <c r="I12" s="185" t="s">
        <v>347</v>
      </c>
      <c r="J12" s="91">
        <v>636.42999999999995</v>
      </c>
      <c r="K12" s="89">
        <v>2061</v>
      </c>
      <c r="L12" s="90">
        <v>4.5900000000000003E-2</v>
      </c>
      <c r="M12" s="90">
        <v>7.5300000000000006E-2</v>
      </c>
      <c r="N12" s="185" t="s">
        <v>347</v>
      </c>
      <c r="O12" s="91">
        <v>6285564620.3100004</v>
      </c>
      <c r="P12" s="92">
        <f t="shared" si="1"/>
        <v>2.678623624167957E-2</v>
      </c>
      <c r="Q12" s="185" t="s">
        <v>347</v>
      </c>
      <c r="R12" s="91">
        <v>628.86</v>
      </c>
      <c r="S12" s="185" t="s">
        <v>347</v>
      </c>
      <c r="T12" s="91">
        <v>638.37</v>
      </c>
      <c r="U12" s="89">
        <v>2079</v>
      </c>
      <c r="V12" s="90">
        <v>3.2000000000000002E-3</v>
      </c>
      <c r="W12" s="90">
        <v>0.38719999999999999</v>
      </c>
      <c r="X12" s="202">
        <f t="shared" si="2"/>
        <v>4.2227124096767391E-2</v>
      </c>
      <c r="Y12" s="202">
        <f t="shared" si="3"/>
        <v>3.0482535392738473E-3</v>
      </c>
      <c r="Z12" s="202">
        <f t="shared" si="4"/>
        <v>8.7336244541484712E-3</v>
      </c>
      <c r="AA12" s="200">
        <f t="shared" si="5"/>
        <v>-4.2700000000000002E-2</v>
      </c>
      <c r="AB12" s="201">
        <f t="shared" si="6"/>
        <v>0.31189999999999996</v>
      </c>
      <c r="AC12" s="41"/>
      <c r="AD12" s="41"/>
    </row>
    <row r="13" spans="1:32">
      <c r="A13" s="179">
        <v>8</v>
      </c>
      <c r="B13" s="85" t="s">
        <v>30</v>
      </c>
      <c r="C13" s="86" t="s">
        <v>31</v>
      </c>
      <c r="D13" s="184" t="s">
        <v>347</v>
      </c>
      <c r="E13" s="97">
        <v>638104165.02999997</v>
      </c>
      <c r="F13" s="92">
        <f t="shared" si="0"/>
        <v>2.9495390096510709E-3</v>
      </c>
      <c r="G13" s="185" t="s">
        <v>347</v>
      </c>
      <c r="H13" s="91">
        <v>318.74</v>
      </c>
      <c r="I13" s="185" t="s">
        <v>347</v>
      </c>
      <c r="J13" s="91">
        <v>333.19</v>
      </c>
      <c r="K13" s="93">
        <v>2469</v>
      </c>
      <c r="L13" s="94">
        <v>3.04E-2</v>
      </c>
      <c r="M13" s="94">
        <v>0.26134000000000002</v>
      </c>
      <c r="N13" s="185" t="s">
        <v>347</v>
      </c>
      <c r="O13" s="97">
        <v>648871095.46000004</v>
      </c>
      <c r="P13" s="92">
        <f t="shared" si="1"/>
        <v>2.7651954125533697E-3</v>
      </c>
      <c r="Q13" s="185" t="s">
        <v>347</v>
      </c>
      <c r="R13" s="91">
        <v>324.12</v>
      </c>
      <c r="S13" s="185" t="s">
        <v>347</v>
      </c>
      <c r="T13" s="91">
        <v>339.02</v>
      </c>
      <c r="U13" s="93">
        <v>2469</v>
      </c>
      <c r="V13" s="94">
        <v>1.6879999999999999E-2</v>
      </c>
      <c r="W13" s="94">
        <v>0.28260000000000002</v>
      </c>
      <c r="X13" s="202">
        <f t="shared" si="2"/>
        <v>1.6873311631642254E-2</v>
      </c>
      <c r="Y13" s="202">
        <f t="shared" si="3"/>
        <v>1.7497523935292129E-2</v>
      </c>
      <c r="Z13" s="202">
        <f t="shared" si="4"/>
        <v>0</v>
      </c>
      <c r="AA13" s="200">
        <f t="shared" si="5"/>
        <v>-1.3520000000000001E-2</v>
      </c>
      <c r="AB13" s="201">
        <f t="shared" si="6"/>
        <v>2.1260000000000001E-2</v>
      </c>
    </row>
    <row r="14" spans="1:32">
      <c r="A14" s="179">
        <v>9</v>
      </c>
      <c r="B14" s="85" t="s">
        <v>32</v>
      </c>
      <c r="C14" s="86" t="s">
        <v>33</v>
      </c>
      <c r="D14" s="184" t="s">
        <v>347</v>
      </c>
      <c r="E14" s="96">
        <v>139525957.55019999</v>
      </c>
      <c r="F14" s="92">
        <f t="shared" si="0"/>
        <v>6.4493742120283156E-4</v>
      </c>
      <c r="G14" s="185" t="s">
        <v>347</v>
      </c>
      <c r="H14" s="91">
        <v>482.58609999999999</v>
      </c>
      <c r="I14" s="185" t="s">
        <v>347</v>
      </c>
      <c r="J14" s="91">
        <v>498.97649999999999</v>
      </c>
      <c r="K14" s="93">
        <v>40</v>
      </c>
      <c r="L14" s="94">
        <v>5.6899999999999999E-2</v>
      </c>
      <c r="M14" s="94">
        <v>0.52429999999999999</v>
      </c>
      <c r="N14" s="185" t="s">
        <v>347</v>
      </c>
      <c r="O14" s="96">
        <v>146541303.57679999</v>
      </c>
      <c r="P14" s="92">
        <f t="shared" si="1"/>
        <v>6.244928202771789E-4</v>
      </c>
      <c r="Q14" s="185" t="s">
        <v>347</v>
      </c>
      <c r="R14" s="91">
        <v>506.76339999999999</v>
      </c>
      <c r="S14" s="185" t="s">
        <v>347</v>
      </c>
      <c r="T14" s="91">
        <v>524.13909999999998</v>
      </c>
      <c r="U14" s="93">
        <v>34</v>
      </c>
      <c r="V14" s="94">
        <v>5.0299999999999997E-2</v>
      </c>
      <c r="W14" s="94">
        <v>0.60089999999999999</v>
      </c>
      <c r="X14" s="202">
        <f t="shared" si="2"/>
        <v>5.0279862971561798E-2</v>
      </c>
      <c r="Y14" s="202">
        <f t="shared" si="3"/>
        <v>5.0428426990048625E-2</v>
      </c>
      <c r="Z14" s="202">
        <f t="shared" si="4"/>
        <v>-0.15</v>
      </c>
      <c r="AA14" s="200">
        <f t="shared" si="5"/>
        <v>-6.6000000000000017E-3</v>
      </c>
      <c r="AB14" s="201">
        <f t="shared" si="6"/>
        <v>7.6600000000000001E-2</v>
      </c>
    </row>
    <row r="15" spans="1:32" ht="14.25" customHeight="1">
      <c r="A15" s="179">
        <v>10</v>
      </c>
      <c r="B15" s="85" t="s">
        <v>34</v>
      </c>
      <c r="C15" s="86" t="s">
        <v>35</v>
      </c>
      <c r="D15" s="184" t="s">
        <v>347</v>
      </c>
      <c r="E15" s="97">
        <v>19655679047.790001</v>
      </c>
      <c r="F15" s="92">
        <f t="shared" si="0"/>
        <v>9.0855373291462788E-2</v>
      </c>
      <c r="G15" s="185" t="s">
        <v>347</v>
      </c>
      <c r="H15" s="91">
        <v>5.9820010000000003</v>
      </c>
      <c r="I15" s="185" t="s">
        <v>347</v>
      </c>
      <c r="J15" s="91">
        <v>6.0328200000000001</v>
      </c>
      <c r="K15" s="93">
        <v>9314</v>
      </c>
      <c r="L15" s="94">
        <v>5.04E-2</v>
      </c>
      <c r="M15" s="94">
        <v>0.50360000000000005</v>
      </c>
      <c r="N15" s="185" t="s">
        <v>347</v>
      </c>
      <c r="O15" s="97">
        <v>20543400462.779999</v>
      </c>
      <c r="P15" s="92">
        <f t="shared" si="1"/>
        <v>8.7546690113626563E-2</v>
      </c>
      <c r="Q15" s="185" t="s">
        <v>347</v>
      </c>
      <c r="R15" s="91">
        <v>5.9774399999999996</v>
      </c>
      <c r="S15" s="185" t="s">
        <v>347</v>
      </c>
      <c r="T15" s="91">
        <v>6.0281520000000004</v>
      </c>
      <c r="U15" s="93">
        <v>9899</v>
      </c>
      <c r="V15" s="94">
        <v>-8.0000000000000004E-4</v>
      </c>
      <c r="W15" s="94">
        <v>0.50249999999999995</v>
      </c>
      <c r="X15" s="202">
        <f t="shared" si="2"/>
        <v>4.5163609602681697E-2</v>
      </c>
      <c r="Y15" s="202">
        <f t="shared" si="3"/>
        <v>-7.7376749181969171E-4</v>
      </c>
      <c r="Z15" s="202">
        <f t="shared" si="4"/>
        <v>6.2808675112733525E-2</v>
      </c>
      <c r="AA15" s="200">
        <f t="shared" si="5"/>
        <v>-5.1200000000000002E-2</v>
      </c>
      <c r="AB15" s="201">
        <f t="shared" si="6"/>
        <v>-1.1000000000001009E-3</v>
      </c>
    </row>
    <row r="16" spans="1:32" ht="14.25" customHeight="1">
      <c r="A16" s="177">
        <v>11</v>
      </c>
      <c r="B16" s="85" t="s">
        <v>36</v>
      </c>
      <c r="C16" s="86" t="s">
        <v>37</v>
      </c>
      <c r="D16" s="184" t="s">
        <v>347</v>
      </c>
      <c r="E16" s="97">
        <v>493183491.50999999</v>
      </c>
      <c r="F16" s="92">
        <f t="shared" si="0"/>
        <v>2.2796653381133673E-3</v>
      </c>
      <c r="G16" s="185" t="s">
        <v>347</v>
      </c>
      <c r="H16" s="91">
        <v>42.58</v>
      </c>
      <c r="I16" s="185" t="s">
        <v>347</v>
      </c>
      <c r="J16" s="91">
        <v>42.86</v>
      </c>
      <c r="K16" s="93">
        <v>116</v>
      </c>
      <c r="L16" s="94">
        <v>0.03</v>
      </c>
      <c r="M16" s="94">
        <v>0.54</v>
      </c>
      <c r="N16" s="185" t="s">
        <v>347</v>
      </c>
      <c r="O16" s="97">
        <v>493183491.50999999</v>
      </c>
      <c r="P16" s="92">
        <f t="shared" si="1"/>
        <v>2.1017251928963057E-3</v>
      </c>
      <c r="Q16" s="185" t="s">
        <v>347</v>
      </c>
      <c r="R16" s="91">
        <v>47.21</v>
      </c>
      <c r="S16" s="185" t="s">
        <v>347</v>
      </c>
      <c r="T16" s="91">
        <v>47.49</v>
      </c>
      <c r="U16" s="93">
        <v>120</v>
      </c>
      <c r="V16" s="94">
        <v>0.16</v>
      </c>
      <c r="W16" s="94">
        <v>0.8</v>
      </c>
      <c r="X16" s="202">
        <f t="shared" ref="X16" si="7">((O16-E16)/E16)</f>
        <v>0</v>
      </c>
      <c r="Y16" s="202">
        <f t="shared" ref="Y16" si="8">((T16-J16)/J16)</f>
        <v>0.10802613159122731</v>
      </c>
      <c r="Z16" s="202">
        <f t="shared" ref="Z16" si="9">((U16-K16)/K16)</f>
        <v>3.4482758620689655E-2</v>
      </c>
      <c r="AA16" s="200">
        <f t="shared" ref="AA16" si="10">V16-L16</f>
        <v>0.13</v>
      </c>
      <c r="AB16" s="201">
        <f t="shared" ref="AB16" si="11">W16-M16</f>
        <v>0.26</v>
      </c>
    </row>
    <row r="17" spans="1:33">
      <c r="A17" s="179">
        <v>12</v>
      </c>
      <c r="B17" s="85" t="s">
        <v>335</v>
      </c>
      <c r="C17" s="86" t="s">
        <v>38</v>
      </c>
      <c r="D17" s="184" t="s">
        <v>347</v>
      </c>
      <c r="E17" s="98">
        <v>4050994265.5</v>
      </c>
      <c r="F17" s="92">
        <f t="shared" si="0"/>
        <v>1.8725102058224748E-2</v>
      </c>
      <c r="G17" s="185" t="s">
        <v>347</v>
      </c>
      <c r="H17" s="91">
        <v>7.88</v>
      </c>
      <c r="I17" s="185" t="s">
        <v>347</v>
      </c>
      <c r="J17" s="91">
        <v>8.0399999999999991</v>
      </c>
      <c r="K17" s="93">
        <v>3798</v>
      </c>
      <c r="L17" s="94">
        <v>3.6842105263157926E-2</v>
      </c>
      <c r="M17" s="94">
        <v>0.42320000000000002</v>
      </c>
      <c r="N17" s="185" t="s">
        <v>347</v>
      </c>
      <c r="O17" s="97">
        <v>3832339871.3600001</v>
      </c>
      <c r="P17" s="92">
        <f t="shared" si="1"/>
        <v>1.6331700865974713E-2</v>
      </c>
      <c r="Q17" s="185" t="s">
        <v>347</v>
      </c>
      <c r="R17" s="91">
        <v>8.27</v>
      </c>
      <c r="S17" s="185" t="s">
        <v>347</v>
      </c>
      <c r="T17" s="91">
        <v>8.4499999999999993</v>
      </c>
      <c r="U17" s="93">
        <v>3805</v>
      </c>
      <c r="V17" s="94">
        <v>3.9300000000000002E-2</v>
      </c>
      <c r="W17" s="94">
        <v>0.49459999999999998</v>
      </c>
      <c r="X17" s="202">
        <f t="shared" si="2"/>
        <v>-5.3975488438024764E-2</v>
      </c>
      <c r="Y17" s="202">
        <f t="shared" si="3"/>
        <v>5.0995024875621915E-2</v>
      </c>
      <c r="Z17" s="202">
        <f t="shared" si="4"/>
        <v>1.8430753027909425E-3</v>
      </c>
      <c r="AA17" s="200">
        <f t="shared" si="5"/>
        <v>2.4578947368420756E-3</v>
      </c>
      <c r="AB17" s="201">
        <f t="shared" si="6"/>
        <v>7.1399999999999963E-2</v>
      </c>
      <c r="AC17" s="41"/>
    </row>
    <row r="18" spans="1:33">
      <c r="A18" s="179">
        <v>13</v>
      </c>
      <c r="B18" s="85" t="s">
        <v>39</v>
      </c>
      <c r="C18" s="86" t="s">
        <v>40</v>
      </c>
      <c r="D18" s="184" t="s">
        <v>347</v>
      </c>
      <c r="E18" s="91">
        <v>8813101994.8500004</v>
      </c>
      <c r="F18" s="92">
        <f t="shared" si="0"/>
        <v>4.0737217455118213E-2</v>
      </c>
      <c r="G18" s="185" t="s">
        <v>347</v>
      </c>
      <c r="H18" s="91">
        <v>48.53</v>
      </c>
      <c r="I18" s="185" t="s">
        <v>347</v>
      </c>
      <c r="J18" s="91">
        <v>48.76</v>
      </c>
      <c r="K18" s="93">
        <v>1993</v>
      </c>
      <c r="L18" s="94">
        <v>4.0899999999999999E-2</v>
      </c>
      <c r="M18" s="94">
        <v>0.49180000000000001</v>
      </c>
      <c r="N18" s="185" t="s">
        <v>347</v>
      </c>
      <c r="O18" s="91">
        <v>9840714609.7900009</v>
      </c>
      <c r="P18" s="92">
        <f>(O18/$O$26)</f>
        <v>4.1936679080992752E-2</v>
      </c>
      <c r="Q18" s="185" t="s">
        <v>347</v>
      </c>
      <c r="R18" s="91">
        <v>51.01</v>
      </c>
      <c r="S18" s="185" t="s">
        <v>347</v>
      </c>
      <c r="T18" s="91">
        <v>51.26</v>
      </c>
      <c r="U18" s="93">
        <v>2035</v>
      </c>
      <c r="V18" s="94">
        <v>5.1200000000000002E-2</v>
      </c>
      <c r="W18" s="94">
        <v>0.56830000000000003</v>
      </c>
      <c r="X18" s="202">
        <f t="shared" si="2"/>
        <v>0.11660055852530622</v>
      </c>
      <c r="Y18" s="202">
        <f t="shared" si="3"/>
        <v>5.1271534044298607E-2</v>
      </c>
      <c r="Z18" s="202">
        <f t="shared" si="4"/>
        <v>2.1073758153537382E-2</v>
      </c>
      <c r="AA18" s="200">
        <f t="shared" si="5"/>
        <v>1.0300000000000004E-2</v>
      </c>
      <c r="AB18" s="201">
        <f t="shared" si="6"/>
        <v>7.6500000000000012E-2</v>
      </c>
    </row>
    <row r="19" spans="1:33">
      <c r="A19" s="179">
        <v>14</v>
      </c>
      <c r="B19" s="85" t="s">
        <v>41</v>
      </c>
      <c r="C19" s="86" t="s">
        <v>42</v>
      </c>
      <c r="D19" s="184" t="s">
        <v>347</v>
      </c>
      <c r="E19" s="91">
        <v>316716843.29000002</v>
      </c>
      <c r="F19" s="92">
        <f t="shared" si="0"/>
        <v>1.4639752182991641E-3</v>
      </c>
      <c r="G19" s="185" t="s">
        <v>347</v>
      </c>
      <c r="H19" s="91">
        <v>2.93</v>
      </c>
      <c r="I19" s="185" t="s">
        <v>347</v>
      </c>
      <c r="J19" s="91">
        <v>3</v>
      </c>
      <c r="K19" s="93">
        <v>36</v>
      </c>
      <c r="L19" s="94">
        <v>1.6500000000000001E-2</v>
      </c>
      <c r="M19" s="94">
        <v>0.4899</v>
      </c>
      <c r="N19" s="185" t="s">
        <v>347</v>
      </c>
      <c r="O19" s="91">
        <v>342929808.66000003</v>
      </c>
      <c r="P19" s="92">
        <f t="shared" si="1"/>
        <v>1.4614118896175941E-3</v>
      </c>
      <c r="Q19" s="185" t="s">
        <v>347</v>
      </c>
      <c r="R19" s="91">
        <v>3.17184</v>
      </c>
      <c r="S19" s="185" t="s">
        <v>347</v>
      </c>
      <c r="T19" s="91">
        <v>3.2383570000000002</v>
      </c>
      <c r="U19" s="93">
        <v>36</v>
      </c>
      <c r="V19" s="94">
        <v>0.1206</v>
      </c>
      <c r="W19" s="94">
        <v>0.61050000000000004</v>
      </c>
      <c r="X19" s="202">
        <f t="shared" si="2"/>
        <v>8.2764671110333865E-2</v>
      </c>
      <c r="Y19" s="202">
        <f t="shared" si="3"/>
        <v>7.9452333333333389E-2</v>
      </c>
      <c r="Z19" s="202">
        <f t="shared" si="4"/>
        <v>0</v>
      </c>
      <c r="AA19" s="200">
        <f t="shared" si="5"/>
        <v>0.1041</v>
      </c>
      <c r="AB19" s="201">
        <f t="shared" si="6"/>
        <v>0.12060000000000004</v>
      </c>
    </row>
    <row r="20" spans="1:33">
      <c r="A20" s="179">
        <v>15</v>
      </c>
      <c r="B20" s="85" t="s">
        <v>43</v>
      </c>
      <c r="C20" s="86" t="s">
        <v>44</v>
      </c>
      <c r="D20" s="184" t="s">
        <v>347</v>
      </c>
      <c r="E20" s="99">
        <v>21476608766.650002</v>
      </c>
      <c r="F20" s="92">
        <f t="shared" si="0"/>
        <v>9.9272342704846916E-2</v>
      </c>
      <c r="G20" s="185" t="s">
        <v>347</v>
      </c>
      <c r="H20" s="91">
        <v>75.97</v>
      </c>
      <c r="I20" s="185" t="s">
        <v>347</v>
      </c>
      <c r="J20" s="91">
        <v>76.06</v>
      </c>
      <c r="K20" s="93">
        <v>17873</v>
      </c>
      <c r="L20" s="94">
        <v>3.1099999999999999E-2</v>
      </c>
      <c r="M20" s="94">
        <v>0.60050000000000003</v>
      </c>
      <c r="N20" s="185" t="s">
        <v>347</v>
      </c>
      <c r="O20" s="99">
        <v>23139801853.84</v>
      </c>
      <c r="P20" s="92">
        <f t="shared" si="1"/>
        <v>9.8611379642779565E-2</v>
      </c>
      <c r="Q20" s="185" t="s">
        <v>347</v>
      </c>
      <c r="R20" s="91">
        <v>79.61</v>
      </c>
      <c r="S20" s="185" t="s">
        <v>347</v>
      </c>
      <c r="T20" s="91">
        <v>79.72</v>
      </c>
      <c r="U20" s="93">
        <v>18236</v>
      </c>
      <c r="V20" s="94">
        <v>7.6899999999999996E-2</v>
      </c>
      <c r="W20" s="94">
        <v>0.6774</v>
      </c>
      <c r="X20" s="202">
        <f t="shared" si="2"/>
        <v>7.7442072221974426E-2</v>
      </c>
      <c r="Y20" s="202">
        <f t="shared" si="3"/>
        <v>4.8119905337891095E-2</v>
      </c>
      <c r="Z20" s="202">
        <f t="shared" si="4"/>
        <v>2.0309964751300844E-2</v>
      </c>
      <c r="AA20" s="200">
        <f t="shared" si="5"/>
        <v>4.5799999999999993E-2</v>
      </c>
      <c r="AB20" s="201">
        <f t="shared" si="6"/>
        <v>7.6899999999999968E-2</v>
      </c>
    </row>
    <row r="21" spans="1:33" ht="12.75" customHeight="1">
      <c r="A21" s="179">
        <v>16</v>
      </c>
      <c r="B21" s="85" t="s">
        <v>45</v>
      </c>
      <c r="C21" s="86" t="s">
        <v>46</v>
      </c>
      <c r="D21" s="184" t="s">
        <v>347</v>
      </c>
      <c r="E21" s="91">
        <v>4760576727.0900002</v>
      </c>
      <c r="F21" s="92">
        <f t="shared" si="0"/>
        <v>2.2005038572861884E-2</v>
      </c>
      <c r="G21" s="185" t="s">
        <v>347</v>
      </c>
      <c r="H21" s="91">
        <v>17400.080000000002</v>
      </c>
      <c r="I21" s="185" t="s">
        <v>347</v>
      </c>
      <c r="J21" s="91">
        <v>17617.2</v>
      </c>
      <c r="K21" s="93">
        <v>72</v>
      </c>
      <c r="L21" s="94">
        <v>4.7100000000000003E-2</v>
      </c>
      <c r="M21" s="94">
        <v>0.36980000000000002</v>
      </c>
      <c r="N21" s="185" t="s">
        <v>347</v>
      </c>
      <c r="O21" s="91">
        <v>5024383761.1400003</v>
      </c>
      <c r="P21" s="92">
        <f t="shared" si="1"/>
        <v>2.141165329203424E-2</v>
      </c>
      <c r="Q21" s="185" t="s">
        <v>347</v>
      </c>
      <c r="R21" s="91">
        <v>17923.509999999998</v>
      </c>
      <c r="S21" s="185" t="s">
        <v>347</v>
      </c>
      <c r="T21" s="91">
        <v>18144.439999999999</v>
      </c>
      <c r="U21" s="93">
        <v>74</v>
      </c>
      <c r="V21" s="94">
        <v>2.9899999999999999E-2</v>
      </c>
      <c r="W21" s="94">
        <v>0.4108</v>
      </c>
      <c r="X21" s="202">
        <f t="shared" si="2"/>
        <v>5.5414931671788771E-2</v>
      </c>
      <c r="Y21" s="202">
        <f t="shared" si="3"/>
        <v>2.9927570783098219E-2</v>
      </c>
      <c r="Z21" s="202">
        <f t="shared" si="4"/>
        <v>2.7777777777777776E-2</v>
      </c>
      <c r="AA21" s="200">
        <f t="shared" si="5"/>
        <v>-1.7200000000000003E-2</v>
      </c>
      <c r="AB21" s="201">
        <f t="shared" si="6"/>
        <v>4.0999999999999981E-2</v>
      </c>
      <c r="AD21" s="41"/>
    </row>
    <row r="22" spans="1:33">
      <c r="A22" s="179">
        <v>17</v>
      </c>
      <c r="B22" s="85" t="s">
        <v>47</v>
      </c>
      <c r="C22" s="86" t="s">
        <v>46</v>
      </c>
      <c r="D22" s="184" t="s">
        <v>347</v>
      </c>
      <c r="E22" s="91">
        <v>63700957650.419998</v>
      </c>
      <c r="F22" s="92">
        <f t="shared" si="0"/>
        <v>0.29444794414280495</v>
      </c>
      <c r="G22" s="185" t="s">
        <v>347</v>
      </c>
      <c r="H22" s="91">
        <v>61221.64</v>
      </c>
      <c r="I22" s="185" t="s">
        <v>347</v>
      </c>
      <c r="J22" s="91">
        <v>62006.52</v>
      </c>
      <c r="K22" s="93">
        <v>28588</v>
      </c>
      <c r="L22" s="94">
        <v>6.4000000000000001E-2</v>
      </c>
      <c r="M22" s="94">
        <v>0.43280000000000002</v>
      </c>
      <c r="N22" s="185" t="s">
        <v>347</v>
      </c>
      <c r="O22" s="91">
        <v>68999453386.580002</v>
      </c>
      <c r="P22" s="92">
        <f t="shared" si="1"/>
        <v>0.29404449251665404</v>
      </c>
      <c r="Q22" s="185" t="s">
        <v>347</v>
      </c>
      <c r="R22" s="91">
        <v>64639.53</v>
      </c>
      <c r="S22" s="185" t="s">
        <v>347</v>
      </c>
      <c r="T22" s="91">
        <v>65485.27</v>
      </c>
      <c r="U22" s="93">
        <v>29243</v>
      </c>
      <c r="V22" s="94">
        <v>5.6099999999999997E-2</v>
      </c>
      <c r="W22" s="94">
        <v>0.5131</v>
      </c>
      <c r="X22" s="202">
        <f t="shared" si="2"/>
        <v>8.3177646484331458E-2</v>
      </c>
      <c r="Y22" s="202">
        <f t="shared" si="3"/>
        <v>5.6102971106909406E-2</v>
      </c>
      <c r="Z22" s="202">
        <f t="shared" si="4"/>
        <v>2.2911711207499651E-2</v>
      </c>
      <c r="AA22" s="200">
        <f t="shared" si="5"/>
        <v>-7.9000000000000042E-3</v>
      </c>
      <c r="AB22" s="201">
        <f t="shared" si="6"/>
        <v>8.0299999999999983E-2</v>
      </c>
    </row>
    <row r="23" spans="1:33">
      <c r="A23" s="177">
        <v>18</v>
      </c>
      <c r="B23" s="86" t="s">
        <v>48</v>
      </c>
      <c r="C23" s="86" t="s">
        <v>49</v>
      </c>
      <c r="D23" s="184" t="s">
        <v>347</v>
      </c>
      <c r="E23" s="91">
        <v>15192597990.24</v>
      </c>
      <c r="F23" s="92">
        <f t="shared" si="0"/>
        <v>7.0225462997961438E-2</v>
      </c>
      <c r="G23" s="185" t="s">
        <v>347</v>
      </c>
      <c r="H23" s="91">
        <v>2.6706599999999998</v>
      </c>
      <c r="I23" s="185" t="s">
        <v>347</v>
      </c>
      <c r="J23" s="100">
        <v>2.6962100000000002</v>
      </c>
      <c r="K23" s="93">
        <v>8181</v>
      </c>
      <c r="L23" s="94">
        <v>4.02E-2</v>
      </c>
      <c r="M23" s="94">
        <v>0.38929999999999998</v>
      </c>
      <c r="N23" s="185" t="s">
        <v>347</v>
      </c>
      <c r="O23" s="91">
        <v>16440268200.450001</v>
      </c>
      <c r="P23" s="92">
        <f t="shared" si="1"/>
        <v>7.0060994436504098E-2</v>
      </c>
      <c r="Q23" s="185" t="s">
        <v>347</v>
      </c>
      <c r="R23" s="91">
        <v>2.7751899999999998</v>
      </c>
      <c r="S23" s="185" t="s">
        <v>347</v>
      </c>
      <c r="T23" s="100">
        <v>2.8021400000000001</v>
      </c>
      <c r="U23" s="93">
        <v>8349</v>
      </c>
      <c r="V23" s="94">
        <v>3.9E-2</v>
      </c>
      <c r="W23" s="94">
        <v>0.44369999999999998</v>
      </c>
      <c r="X23" s="202">
        <f t="shared" ref="X23:X24" si="12">((O23-E23)/E23)</f>
        <v>8.2123558525772022E-2</v>
      </c>
      <c r="Y23" s="202">
        <f t="shared" ref="Y23:Y24" si="13">((T23-J23)/J23)</f>
        <v>3.9288482722043105E-2</v>
      </c>
      <c r="Z23" s="202">
        <f t="shared" ref="Z23:Z24" si="14">((U23-K23)/K23)</f>
        <v>2.0535386872020535E-2</v>
      </c>
      <c r="AA23" s="200">
        <f t="shared" ref="AA23:AA24" si="15">V23-L23</f>
        <v>-1.1999999999999997E-3</v>
      </c>
      <c r="AB23" s="201">
        <f t="shared" ref="AB23:AB24" si="16">W23-M23</f>
        <v>5.4400000000000004E-2</v>
      </c>
      <c r="AE23" s="50"/>
    </row>
    <row r="24" spans="1:33">
      <c r="A24" s="177">
        <v>19</v>
      </c>
      <c r="B24" s="85" t="s">
        <v>313</v>
      </c>
      <c r="C24" s="86" t="s">
        <v>119</v>
      </c>
      <c r="D24" s="184" t="s">
        <v>347</v>
      </c>
      <c r="E24" s="91">
        <v>6857366222.3500004</v>
      </c>
      <c r="F24" s="92">
        <f t="shared" si="0"/>
        <v>3.1697127655222264E-2</v>
      </c>
      <c r="G24" s="185" t="s">
        <v>347</v>
      </c>
      <c r="H24" s="91">
        <v>1.87</v>
      </c>
      <c r="I24" s="185" t="s">
        <v>347</v>
      </c>
      <c r="J24" s="100">
        <v>1.89</v>
      </c>
      <c r="K24" s="93">
        <v>1649</v>
      </c>
      <c r="L24" s="94">
        <v>7.7499999999999999E-2</v>
      </c>
      <c r="M24" s="94">
        <v>0.83730000000000004</v>
      </c>
      <c r="N24" s="185" t="s">
        <v>347</v>
      </c>
      <c r="O24" s="91">
        <v>8692630860.5200005</v>
      </c>
      <c r="P24" s="92">
        <f t="shared" si="1"/>
        <v>3.704406491013363E-2</v>
      </c>
      <c r="Q24" s="185" t="s">
        <v>347</v>
      </c>
      <c r="R24" s="91">
        <v>2.06</v>
      </c>
      <c r="S24" s="185" t="s">
        <v>347</v>
      </c>
      <c r="T24" s="100">
        <v>2.09</v>
      </c>
      <c r="U24" s="93">
        <v>2290</v>
      </c>
      <c r="V24" s="94">
        <v>0.1024</v>
      </c>
      <c r="W24" s="94">
        <v>1.0250999999999999</v>
      </c>
      <c r="X24" s="202">
        <f t="shared" si="12"/>
        <v>0.26763404179703559</v>
      </c>
      <c r="Y24" s="202">
        <f t="shared" si="13"/>
        <v>0.1058201058201058</v>
      </c>
      <c r="Z24" s="202">
        <f t="shared" si="14"/>
        <v>0.38872043662825956</v>
      </c>
      <c r="AA24" s="200">
        <f t="shared" si="15"/>
        <v>2.4900000000000005E-2</v>
      </c>
      <c r="AB24" s="201">
        <f t="shared" si="16"/>
        <v>0.18779999999999986</v>
      </c>
      <c r="AD24" s="41"/>
      <c r="AE24" s="41"/>
      <c r="AF24" s="41"/>
      <c r="AG24" s="41"/>
    </row>
    <row r="25" spans="1:33">
      <c r="A25" s="179">
        <v>20</v>
      </c>
      <c r="B25" s="86" t="s">
        <v>50</v>
      </c>
      <c r="C25" s="86" t="s">
        <v>51</v>
      </c>
      <c r="D25" s="184" t="s">
        <v>347</v>
      </c>
      <c r="E25" s="91">
        <v>19811326004.889999</v>
      </c>
      <c r="F25" s="92">
        <f>(E25/$E$26)</f>
        <v>9.1574827570026149E-2</v>
      </c>
      <c r="G25" s="185" t="s">
        <v>347</v>
      </c>
      <c r="H25" s="91">
        <v>340.68</v>
      </c>
      <c r="I25" s="185" t="s">
        <v>347</v>
      </c>
      <c r="J25" s="100">
        <v>345.85</v>
      </c>
      <c r="K25" s="93">
        <v>137</v>
      </c>
      <c r="L25" s="94">
        <v>3.7400000000000003E-2</v>
      </c>
      <c r="M25" s="94">
        <v>0.61129999999999995</v>
      </c>
      <c r="N25" s="185" t="s">
        <v>347</v>
      </c>
      <c r="O25" s="91">
        <v>20728273927.209999</v>
      </c>
      <c r="P25" s="92">
        <f t="shared" si="1"/>
        <v>8.833453728284324E-2</v>
      </c>
      <c r="Q25" s="185" t="s">
        <v>347</v>
      </c>
      <c r="R25" s="91">
        <v>354.8</v>
      </c>
      <c r="S25" s="185" t="s">
        <v>347</v>
      </c>
      <c r="T25" s="100">
        <v>360.34</v>
      </c>
      <c r="U25" s="93">
        <v>143</v>
      </c>
      <c r="V25" s="94">
        <v>4.1700000000000001E-2</v>
      </c>
      <c r="W25" s="94">
        <v>0.67849999999999999</v>
      </c>
      <c r="X25" s="202">
        <f t="shared" si="2"/>
        <v>4.6284025718100384E-2</v>
      </c>
      <c r="Y25" s="202">
        <f t="shared" si="3"/>
        <v>4.1896776058984966E-2</v>
      </c>
      <c r="Z25" s="202">
        <f t="shared" si="4"/>
        <v>4.3795620437956206E-2</v>
      </c>
      <c r="AA25" s="200">
        <f t="shared" si="5"/>
        <v>4.2999999999999983E-3</v>
      </c>
      <c r="AB25" s="201">
        <f t="shared" si="6"/>
        <v>6.7200000000000037E-2</v>
      </c>
      <c r="AD25" s="41"/>
      <c r="AE25" s="41"/>
    </row>
    <row r="26" spans="1:33">
      <c r="A26" s="101"/>
      <c r="B26" s="102"/>
      <c r="C26" s="103" t="s">
        <v>52</v>
      </c>
      <c r="D26" s="184" t="s">
        <v>347</v>
      </c>
      <c r="E26" s="104">
        <f>SUM(E6:E25)</f>
        <v>216340303668.50018</v>
      </c>
      <c r="F26" s="105">
        <f>(E26/$E$238)</f>
        <v>2.4671281868582175E-2</v>
      </c>
      <c r="G26" s="185"/>
      <c r="H26" s="106"/>
      <c r="I26" s="106"/>
      <c r="J26" s="107"/>
      <c r="K26" s="108">
        <f>SUM(K6:K25)</f>
        <v>94531</v>
      </c>
      <c r="L26" s="109"/>
      <c r="M26" s="93">
        <v>0</v>
      </c>
      <c r="N26" s="185" t="s">
        <v>347</v>
      </c>
      <c r="O26" s="104">
        <f>SUM(O6:O25)</f>
        <v>234656506558.00677</v>
      </c>
      <c r="P26" s="105">
        <f>(O26/$O$238)</f>
        <v>2.6494842841281986E-2</v>
      </c>
      <c r="Q26" s="187"/>
      <c r="R26" s="106"/>
      <c r="S26" s="106"/>
      <c r="T26" s="107"/>
      <c r="U26" s="108">
        <f>SUM(U6:U25)</f>
        <v>97453</v>
      </c>
      <c r="V26" s="109"/>
      <c r="W26" s="108"/>
      <c r="X26" s="202">
        <f t="shared" si="2"/>
        <v>8.4663849402618216E-2</v>
      </c>
      <c r="Y26" s="202" t="e">
        <f t="shared" si="3"/>
        <v>#DIV/0!</v>
      </c>
      <c r="Z26" s="202">
        <f t="shared" si="4"/>
        <v>3.0910494969904053E-2</v>
      </c>
      <c r="AA26" s="200">
        <f t="shared" si="5"/>
        <v>0</v>
      </c>
      <c r="AB26" s="201">
        <f t="shared" si="6"/>
        <v>0</v>
      </c>
    </row>
    <row r="27" spans="1:33" ht="4.5" customHeight="1">
      <c r="A27" s="101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</row>
    <row r="28" spans="1:33" ht="15" customHeight="1">
      <c r="A28" s="214" t="s">
        <v>53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</row>
    <row r="29" spans="1:33">
      <c r="A29" s="175">
        <v>21</v>
      </c>
      <c r="B29" s="85" t="s">
        <v>54</v>
      </c>
      <c r="C29" s="86" t="s">
        <v>19</v>
      </c>
      <c r="D29" s="184" t="s">
        <v>347</v>
      </c>
      <c r="E29" s="110">
        <v>6020540846.4799995</v>
      </c>
      <c r="F29" s="92">
        <f t="shared" ref="F29:F36" si="17">(E29/$O$76)</f>
        <v>1.0542665153236894E-3</v>
      </c>
      <c r="G29" s="185" t="s">
        <v>347</v>
      </c>
      <c r="H29" s="100">
        <v>100</v>
      </c>
      <c r="I29" s="185" t="s">
        <v>347</v>
      </c>
      <c r="J29" s="100">
        <v>100</v>
      </c>
      <c r="K29" s="93">
        <v>928</v>
      </c>
      <c r="L29" s="94">
        <v>0.1452</v>
      </c>
      <c r="M29" s="94">
        <v>0.1452</v>
      </c>
      <c r="N29" s="185" t="s">
        <v>347</v>
      </c>
      <c r="O29" s="110">
        <v>6123948107.5799999</v>
      </c>
      <c r="P29" s="92">
        <f t="shared" ref="P29:P36" si="18">(O29/$O$76)</f>
        <v>1.0723743258342357E-3</v>
      </c>
      <c r="Q29" s="185" t="s">
        <v>347</v>
      </c>
      <c r="R29" s="100">
        <v>100</v>
      </c>
      <c r="S29" s="185" t="s">
        <v>347</v>
      </c>
      <c r="T29" s="100">
        <v>100</v>
      </c>
      <c r="U29" s="93">
        <v>928</v>
      </c>
      <c r="V29" s="94">
        <v>0.14530000000000001</v>
      </c>
      <c r="W29" s="94">
        <v>0.14530000000000001</v>
      </c>
      <c r="X29" s="202">
        <f>((O29-E29)/E29)</f>
        <v>1.7175742800658683E-2</v>
      </c>
      <c r="Y29" s="202">
        <f>((T29-J29)/J29)</f>
        <v>0</v>
      </c>
      <c r="Z29" s="202">
        <f>((U29-K29)/K29)</f>
        <v>0</v>
      </c>
      <c r="AA29" s="202">
        <f>V29-L29</f>
        <v>1.0000000000001674E-4</v>
      </c>
      <c r="AB29" s="203">
        <f>W29-M29</f>
        <v>1.0000000000001674E-4</v>
      </c>
    </row>
    <row r="30" spans="1:33" ht="15.6">
      <c r="A30" s="175">
        <v>22</v>
      </c>
      <c r="B30" s="85" t="s">
        <v>55</v>
      </c>
      <c r="C30" s="86" t="s">
        <v>56</v>
      </c>
      <c r="D30" s="184" t="s">
        <v>347</v>
      </c>
      <c r="E30" s="110">
        <v>39902282948.93</v>
      </c>
      <c r="F30" s="92">
        <f t="shared" si="17"/>
        <v>6.9873524440289747E-3</v>
      </c>
      <c r="G30" s="185" t="s">
        <v>347</v>
      </c>
      <c r="H30" s="100">
        <v>100</v>
      </c>
      <c r="I30" s="185" t="s">
        <v>347</v>
      </c>
      <c r="J30" s="100">
        <v>100</v>
      </c>
      <c r="K30" s="93">
        <v>4761</v>
      </c>
      <c r="L30" s="94">
        <v>0.17271900000000001</v>
      </c>
      <c r="M30" s="94">
        <v>0.17271900000000001</v>
      </c>
      <c r="N30" s="185" t="s">
        <v>347</v>
      </c>
      <c r="O30" s="110">
        <v>41058071000.860001</v>
      </c>
      <c r="P30" s="92">
        <f t="shared" si="18"/>
        <v>7.1897443342315666E-3</v>
      </c>
      <c r="Q30" s="185" t="s">
        <v>347</v>
      </c>
      <c r="R30" s="100">
        <v>100</v>
      </c>
      <c r="S30" s="185" t="s">
        <v>347</v>
      </c>
      <c r="T30" s="100">
        <v>100</v>
      </c>
      <c r="U30" s="93">
        <v>4793</v>
      </c>
      <c r="V30" s="94">
        <v>0.167129</v>
      </c>
      <c r="W30" s="94">
        <v>0.167129</v>
      </c>
      <c r="X30" s="202">
        <f t="shared" ref="X30:X76" si="19">((O30-E30)/E30)</f>
        <v>2.8965461785965138E-2</v>
      </c>
      <c r="Y30" s="202">
        <f t="shared" ref="Y30:Y76" si="20">((T30-J30)/J30)</f>
        <v>0</v>
      </c>
      <c r="Z30" s="202">
        <f t="shared" ref="Z30:Z76" si="21">((U30-K30)/K30)</f>
        <v>6.7212770426381008E-3</v>
      </c>
      <c r="AA30" s="200">
        <f t="shared" ref="AA30:AA76" si="22">V30-L30</f>
        <v>-5.5900000000000116E-3</v>
      </c>
      <c r="AB30" s="201">
        <f t="shared" ref="AB30:AB76" si="23">W30-M30</f>
        <v>-5.5900000000000116E-3</v>
      </c>
      <c r="AD30" s="183"/>
    </row>
    <row r="31" spans="1:33">
      <c r="A31" s="175">
        <v>23</v>
      </c>
      <c r="B31" s="85" t="s">
        <v>322</v>
      </c>
      <c r="C31" s="86" t="s">
        <v>321</v>
      </c>
      <c r="D31" s="184" t="s">
        <v>347</v>
      </c>
      <c r="E31" s="110">
        <v>1856586274.5699999</v>
      </c>
      <c r="F31" s="92">
        <f t="shared" si="17"/>
        <v>3.2510978531656185E-4</v>
      </c>
      <c r="G31" s="185" t="s">
        <v>347</v>
      </c>
      <c r="H31" s="100">
        <v>1</v>
      </c>
      <c r="I31" s="185" t="s">
        <v>347</v>
      </c>
      <c r="J31" s="100">
        <v>1</v>
      </c>
      <c r="K31" s="93">
        <v>166</v>
      </c>
      <c r="L31" s="94">
        <v>0.1736</v>
      </c>
      <c r="M31" s="94">
        <v>0.1736</v>
      </c>
      <c r="N31" s="185" t="s">
        <v>347</v>
      </c>
      <c r="O31" s="110">
        <v>1847097254.8</v>
      </c>
      <c r="P31" s="92">
        <f t="shared" si="18"/>
        <v>3.2344814792187424E-4</v>
      </c>
      <c r="Q31" s="185" t="s">
        <v>347</v>
      </c>
      <c r="R31" s="100">
        <v>1</v>
      </c>
      <c r="S31" s="185" t="s">
        <v>347</v>
      </c>
      <c r="T31" s="100">
        <v>1</v>
      </c>
      <c r="U31" s="93">
        <v>166</v>
      </c>
      <c r="V31" s="94">
        <v>0.1726</v>
      </c>
      <c r="W31" s="94">
        <v>0.1726</v>
      </c>
      <c r="X31" s="202">
        <f t="shared" ref="X31" si="24">((O31-E31)/E31)</f>
        <v>-5.1110039430824258E-3</v>
      </c>
      <c r="Y31" s="202">
        <f t="shared" ref="Y31" si="25">((T31-J31)/J31)</f>
        <v>0</v>
      </c>
      <c r="Z31" s="202">
        <f t="shared" ref="Z31" si="26">((U31-K31)/K31)</f>
        <v>0</v>
      </c>
      <c r="AA31" s="200">
        <f t="shared" ref="AA31" si="27">V31-L31</f>
        <v>-1.0000000000000009E-3</v>
      </c>
      <c r="AB31" s="201">
        <f t="shared" ref="AB31" si="28">W31-M31</f>
        <v>-1.0000000000000009E-3</v>
      </c>
    </row>
    <row r="32" spans="1:33">
      <c r="A32" s="175">
        <v>24</v>
      </c>
      <c r="B32" s="85" t="s">
        <v>57</v>
      </c>
      <c r="C32" s="86" t="s">
        <v>21</v>
      </c>
      <c r="D32" s="184" t="s">
        <v>347</v>
      </c>
      <c r="E32" s="110">
        <v>3424965647.5500002</v>
      </c>
      <c r="F32" s="92">
        <f t="shared" si="17"/>
        <v>5.997512001695008E-4</v>
      </c>
      <c r="G32" s="185" t="s">
        <v>347</v>
      </c>
      <c r="H32" s="100">
        <v>100</v>
      </c>
      <c r="I32" s="185" t="s">
        <v>347</v>
      </c>
      <c r="J32" s="100">
        <v>100</v>
      </c>
      <c r="K32" s="93">
        <v>2518</v>
      </c>
      <c r="L32" s="94">
        <v>0.15870000000000001</v>
      </c>
      <c r="M32" s="94">
        <v>0.15870000000000001</v>
      </c>
      <c r="N32" s="185" t="s">
        <v>347</v>
      </c>
      <c r="O32" s="110">
        <v>3424965647.5500002</v>
      </c>
      <c r="P32" s="92">
        <f t="shared" si="18"/>
        <v>5.997512001695008E-4</v>
      </c>
      <c r="Q32" s="185" t="s">
        <v>347</v>
      </c>
      <c r="R32" s="100">
        <v>100</v>
      </c>
      <c r="S32" s="185" t="s">
        <v>347</v>
      </c>
      <c r="T32" s="100">
        <v>100</v>
      </c>
      <c r="U32" s="93">
        <v>2525</v>
      </c>
      <c r="V32" s="94">
        <v>0.15870000000000001</v>
      </c>
      <c r="W32" s="94">
        <v>0.15870000000000001</v>
      </c>
      <c r="X32" s="202">
        <f t="shared" si="19"/>
        <v>0</v>
      </c>
      <c r="Y32" s="202">
        <f t="shared" si="20"/>
        <v>0</v>
      </c>
      <c r="Z32" s="202">
        <f t="shared" si="21"/>
        <v>2.7799841143764893E-3</v>
      </c>
      <c r="AA32" s="200">
        <f t="shared" si="22"/>
        <v>0</v>
      </c>
      <c r="AB32" s="201">
        <f t="shared" si="23"/>
        <v>0</v>
      </c>
    </row>
    <row r="33" spans="1:28">
      <c r="A33" s="175">
        <v>25</v>
      </c>
      <c r="B33" s="85" t="s">
        <v>318</v>
      </c>
      <c r="C33" s="86" t="s">
        <v>319</v>
      </c>
      <c r="D33" s="184" t="s">
        <v>347</v>
      </c>
      <c r="E33" s="110">
        <v>920052856.88999999</v>
      </c>
      <c r="F33" s="92">
        <v>0</v>
      </c>
      <c r="G33" s="185" t="s">
        <v>347</v>
      </c>
      <c r="H33" s="100">
        <v>100</v>
      </c>
      <c r="I33" s="185" t="s">
        <v>347</v>
      </c>
      <c r="J33" s="100">
        <v>100</v>
      </c>
      <c r="K33" s="93">
        <v>129</v>
      </c>
      <c r="L33" s="94">
        <v>0.14583499999999999</v>
      </c>
      <c r="M33" s="94">
        <v>0.14583499999999999</v>
      </c>
      <c r="N33" s="185" t="s">
        <v>347</v>
      </c>
      <c r="O33" s="110">
        <v>954999276.64999998</v>
      </c>
      <c r="P33" s="92">
        <f t="shared" si="18"/>
        <v>1.6723144734066446E-4</v>
      </c>
      <c r="Q33" s="185" t="s">
        <v>347</v>
      </c>
      <c r="R33" s="100">
        <v>100</v>
      </c>
      <c r="S33" s="185" t="s">
        <v>347</v>
      </c>
      <c r="T33" s="100">
        <v>100</v>
      </c>
      <c r="U33" s="93">
        <v>136</v>
      </c>
      <c r="V33" s="94">
        <v>0.14338200000000001</v>
      </c>
      <c r="W33" s="94">
        <v>0.14338200000000001</v>
      </c>
      <c r="X33" s="202">
        <f t="shared" ref="X33" si="29">((O33-E33)/E33)</f>
        <v>3.7983056623645838E-2</v>
      </c>
      <c r="Y33" s="202">
        <f t="shared" ref="Y33" si="30">((T33-J33)/J33)</f>
        <v>0</v>
      </c>
      <c r="Z33" s="202">
        <f t="shared" ref="Z33" si="31">((U33-K33)/K33)</f>
        <v>5.4263565891472867E-2</v>
      </c>
      <c r="AA33" s="200">
        <f t="shared" ref="AA33" si="32">V33-L33</f>
        <v>-2.452999999999983E-3</v>
      </c>
      <c r="AB33" s="201">
        <f t="shared" ref="AB33" si="33">W33-M33</f>
        <v>-2.452999999999983E-3</v>
      </c>
    </row>
    <row r="34" spans="1:28">
      <c r="A34" s="175">
        <v>26</v>
      </c>
      <c r="B34" s="85" t="s">
        <v>58</v>
      </c>
      <c r="C34" s="86" t="s">
        <v>23</v>
      </c>
      <c r="D34" s="184" t="s">
        <v>347</v>
      </c>
      <c r="E34" s="110">
        <v>406519234983.06</v>
      </c>
      <c r="F34" s="92">
        <f t="shared" si="17"/>
        <v>7.1186231969212241E-2</v>
      </c>
      <c r="G34" s="185" t="s">
        <v>347</v>
      </c>
      <c r="H34" s="100">
        <v>1</v>
      </c>
      <c r="I34" s="185" t="s">
        <v>347</v>
      </c>
      <c r="J34" s="100">
        <v>1</v>
      </c>
      <c r="K34" s="93">
        <v>83760</v>
      </c>
      <c r="L34" s="94">
        <v>0.17019999999999999</v>
      </c>
      <c r="M34" s="94">
        <v>0.17019999999999999</v>
      </c>
      <c r="N34" s="185" t="s">
        <v>347</v>
      </c>
      <c r="O34" s="110">
        <v>405313077838.06</v>
      </c>
      <c r="P34" s="92">
        <f t="shared" si="18"/>
        <v>7.0975019866742178E-2</v>
      </c>
      <c r="Q34" s="185" t="s">
        <v>347</v>
      </c>
      <c r="R34" s="100">
        <v>1</v>
      </c>
      <c r="S34" s="185" t="s">
        <v>347</v>
      </c>
      <c r="T34" s="100">
        <v>1</v>
      </c>
      <c r="U34" s="93">
        <v>84170</v>
      </c>
      <c r="V34" s="94">
        <v>0.1729</v>
      </c>
      <c r="W34" s="94">
        <v>0.1729</v>
      </c>
      <c r="X34" s="202">
        <f t="shared" si="19"/>
        <v>-2.9670358526829896E-3</v>
      </c>
      <c r="Y34" s="202">
        <f t="shared" si="20"/>
        <v>0</v>
      </c>
      <c r="Z34" s="202">
        <f t="shared" si="21"/>
        <v>4.8949379178605543E-3</v>
      </c>
      <c r="AA34" s="200">
        <f t="shared" si="22"/>
        <v>2.7000000000000079E-3</v>
      </c>
      <c r="AB34" s="201">
        <f t="shared" si="23"/>
        <v>2.7000000000000079E-3</v>
      </c>
    </row>
    <row r="35" spans="1:28">
      <c r="A35" s="175">
        <v>27</v>
      </c>
      <c r="B35" s="85" t="s">
        <v>59</v>
      </c>
      <c r="C35" s="86" t="s">
        <v>60</v>
      </c>
      <c r="D35" s="184" t="s">
        <v>347</v>
      </c>
      <c r="E35" s="110">
        <v>2392506438.1399999</v>
      </c>
      <c r="F35" s="92">
        <f t="shared" si="17"/>
        <v>4.1895562039116031E-4</v>
      </c>
      <c r="G35" s="185" t="s">
        <v>347</v>
      </c>
      <c r="H35" s="100">
        <v>1</v>
      </c>
      <c r="I35" s="185" t="s">
        <v>347</v>
      </c>
      <c r="J35" s="100">
        <v>1</v>
      </c>
      <c r="K35" s="93">
        <v>597</v>
      </c>
      <c r="L35" s="94">
        <v>0.16800000000000001</v>
      </c>
      <c r="M35" s="94">
        <v>0.16800000000000001</v>
      </c>
      <c r="N35" s="185" t="s">
        <v>347</v>
      </c>
      <c r="O35" s="110">
        <v>2438582856.0900002</v>
      </c>
      <c r="P35" s="92">
        <f t="shared" si="18"/>
        <v>4.2702413546803184E-4</v>
      </c>
      <c r="Q35" s="185" t="s">
        <v>347</v>
      </c>
      <c r="R35" s="100">
        <v>1</v>
      </c>
      <c r="S35" s="185" t="s">
        <v>347</v>
      </c>
      <c r="T35" s="100">
        <v>1</v>
      </c>
      <c r="U35" s="93">
        <v>597</v>
      </c>
      <c r="V35" s="94">
        <v>0.16900000000000001</v>
      </c>
      <c r="W35" s="94">
        <v>0.16900000000000001</v>
      </c>
      <c r="X35" s="202">
        <f t="shared" si="19"/>
        <v>1.9258639063818511E-2</v>
      </c>
      <c r="Y35" s="202">
        <f t="shared" si="20"/>
        <v>0</v>
      </c>
      <c r="Z35" s="202">
        <f t="shared" si="21"/>
        <v>0</v>
      </c>
      <c r="AA35" s="200">
        <f t="shared" si="22"/>
        <v>1.0000000000000009E-3</v>
      </c>
      <c r="AB35" s="201">
        <f t="shared" si="23"/>
        <v>1.0000000000000009E-3</v>
      </c>
    </row>
    <row r="36" spans="1:28">
      <c r="A36" s="175">
        <v>28</v>
      </c>
      <c r="B36" s="85" t="s">
        <v>61</v>
      </c>
      <c r="C36" s="86" t="s">
        <v>25</v>
      </c>
      <c r="D36" s="184" t="s">
        <v>347</v>
      </c>
      <c r="E36" s="110">
        <v>174541751233.60999</v>
      </c>
      <c r="F36" s="92">
        <f t="shared" si="17"/>
        <v>3.0564284595650332E-2</v>
      </c>
      <c r="G36" s="185" t="s">
        <v>347</v>
      </c>
      <c r="H36" s="100">
        <v>1</v>
      </c>
      <c r="I36" s="185" t="s">
        <v>347</v>
      </c>
      <c r="J36" s="100">
        <v>1</v>
      </c>
      <c r="K36" s="93">
        <v>40009</v>
      </c>
      <c r="L36" s="94">
        <v>0.15590000000000001</v>
      </c>
      <c r="M36" s="94">
        <v>0.15590000000000001</v>
      </c>
      <c r="N36" s="185" t="s">
        <v>347</v>
      </c>
      <c r="O36" s="110">
        <v>174130759775.42001</v>
      </c>
      <c r="P36" s="92">
        <f t="shared" si="18"/>
        <v>3.0492315225538497E-2</v>
      </c>
      <c r="Q36" s="185" t="s">
        <v>347</v>
      </c>
      <c r="R36" s="100">
        <v>1</v>
      </c>
      <c r="S36" s="185" t="s">
        <v>347</v>
      </c>
      <c r="T36" s="100">
        <v>1</v>
      </c>
      <c r="U36" s="93">
        <v>40078</v>
      </c>
      <c r="V36" s="94">
        <v>0.15570000000000001</v>
      </c>
      <c r="W36" s="94">
        <v>0.15570000000000001</v>
      </c>
      <c r="X36" s="202">
        <f t="shared" si="19"/>
        <v>-2.3546885217158912E-3</v>
      </c>
      <c r="Y36" s="202">
        <f t="shared" si="20"/>
        <v>0</v>
      </c>
      <c r="Z36" s="202">
        <f t="shared" si="21"/>
        <v>1.7246119623084805E-3</v>
      </c>
      <c r="AA36" s="200">
        <f t="shared" si="22"/>
        <v>-2.0000000000000573E-4</v>
      </c>
      <c r="AB36" s="201">
        <f t="shared" si="23"/>
        <v>-2.0000000000000573E-4</v>
      </c>
    </row>
    <row r="37" spans="1:28">
      <c r="A37" s="175">
        <v>29</v>
      </c>
      <c r="B37" s="85" t="s">
        <v>62</v>
      </c>
      <c r="C37" s="86" t="s">
        <v>27</v>
      </c>
      <c r="D37" s="184" t="s">
        <v>347</v>
      </c>
      <c r="E37" s="91">
        <v>27084479213.360001</v>
      </c>
      <c r="F37" s="92">
        <f t="shared" ref="F37" si="34">(E37/$E$26)</f>
        <v>0.12519386704227681</v>
      </c>
      <c r="G37" s="185" t="s">
        <v>347</v>
      </c>
      <c r="H37" s="91">
        <v>1</v>
      </c>
      <c r="I37" s="185" t="s">
        <v>347</v>
      </c>
      <c r="J37" s="91">
        <v>1</v>
      </c>
      <c r="K37" s="93">
        <v>1814</v>
      </c>
      <c r="L37" s="94">
        <v>0.17469999999999999</v>
      </c>
      <c r="M37" s="94">
        <v>0.17469999999999999</v>
      </c>
      <c r="N37" s="185" t="s">
        <v>347</v>
      </c>
      <c r="O37" s="91">
        <v>27010533722.360001</v>
      </c>
      <c r="P37" s="92">
        <f t="shared" ref="P37" si="35">(O37/$O$26)</f>
        <v>0.11510668985299596</v>
      </c>
      <c r="Q37" s="185" t="s">
        <v>347</v>
      </c>
      <c r="R37" s="91">
        <v>1</v>
      </c>
      <c r="S37" s="185" t="s">
        <v>347</v>
      </c>
      <c r="T37" s="91">
        <v>1</v>
      </c>
      <c r="U37" s="93">
        <v>1849</v>
      </c>
      <c r="V37" s="94">
        <v>0.18240000000000001</v>
      </c>
      <c r="W37" s="94">
        <v>0.18240000000000001</v>
      </c>
      <c r="X37" s="202">
        <f t="shared" si="19"/>
        <v>-2.7301795400047715E-3</v>
      </c>
      <c r="Y37" s="202">
        <f t="shared" si="20"/>
        <v>0</v>
      </c>
      <c r="Z37" s="202">
        <f t="shared" si="21"/>
        <v>1.9294377067254686E-2</v>
      </c>
      <c r="AA37" s="200">
        <f t="shared" si="22"/>
        <v>7.7000000000000124E-3</v>
      </c>
      <c r="AB37" s="201">
        <f t="shared" si="23"/>
        <v>7.7000000000000124E-3</v>
      </c>
    </row>
    <row r="38" spans="1:28" ht="15" customHeight="1">
      <c r="A38" s="175">
        <v>30</v>
      </c>
      <c r="B38" s="85" t="s">
        <v>63</v>
      </c>
      <c r="C38" s="86" t="s">
        <v>44</v>
      </c>
      <c r="D38" s="184" t="s">
        <v>347</v>
      </c>
      <c r="E38" s="110">
        <v>39655427006.25</v>
      </c>
      <c r="F38" s="92">
        <f>(E38/$O$76)</f>
        <v>6.9441251059687492E-3</v>
      </c>
      <c r="G38" s="185" t="s">
        <v>347</v>
      </c>
      <c r="H38" s="100">
        <v>100</v>
      </c>
      <c r="I38" s="185" t="s">
        <v>347</v>
      </c>
      <c r="J38" s="100">
        <v>100</v>
      </c>
      <c r="K38" s="93">
        <v>14916</v>
      </c>
      <c r="L38" s="94">
        <v>0.17649999999999999</v>
      </c>
      <c r="M38" s="94">
        <v>0.17649999999999999</v>
      </c>
      <c r="N38" s="185" t="s">
        <v>347</v>
      </c>
      <c r="O38" s="110">
        <v>39937387840.75</v>
      </c>
      <c r="P38" s="92">
        <f t="shared" ref="P38:P52" si="36">(O38/$O$76)</f>
        <v>6.9934997176566462E-3</v>
      </c>
      <c r="Q38" s="185" t="s">
        <v>347</v>
      </c>
      <c r="R38" s="100">
        <v>100</v>
      </c>
      <c r="S38" s="185" t="s">
        <v>347</v>
      </c>
      <c r="T38" s="100">
        <v>100</v>
      </c>
      <c r="U38" s="93">
        <v>15188</v>
      </c>
      <c r="V38" s="94">
        <v>0.1767</v>
      </c>
      <c r="W38" s="94">
        <v>0.1767</v>
      </c>
      <c r="X38" s="202">
        <f t="shared" si="19"/>
        <v>7.1102710470261942E-3</v>
      </c>
      <c r="Y38" s="202">
        <f t="shared" si="20"/>
        <v>0</v>
      </c>
      <c r="Z38" s="202">
        <f t="shared" si="21"/>
        <v>1.8235451863770447E-2</v>
      </c>
      <c r="AA38" s="200">
        <f t="shared" si="22"/>
        <v>2.0000000000000573E-4</v>
      </c>
      <c r="AB38" s="201">
        <f t="shared" si="23"/>
        <v>2.0000000000000573E-4</v>
      </c>
    </row>
    <row r="39" spans="1:28" ht="15" customHeight="1">
      <c r="A39" s="175">
        <v>31</v>
      </c>
      <c r="B39" s="85" t="s">
        <v>64</v>
      </c>
      <c r="C39" s="86" t="s">
        <v>65</v>
      </c>
      <c r="D39" s="184" t="s">
        <v>347</v>
      </c>
      <c r="E39" s="110">
        <v>3849317267.54</v>
      </c>
      <c r="F39" s="92">
        <f>(E39/$O$76)</f>
        <v>6.7406008953454621E-4</v>
      </c>
      <c r="G39" s="185" t="s">
        <v>347</v>
      </c>
      <c r="H39" s="100">
        <v>1</v>
      </c>
      <c r="I39" s="185" t="s">
        <v>347</v>
      </c>
      <c r="J39" s="100">
        <v>1</v>
      </c>
      <c r="K39" s="93">
        <v>715</v>
      </c>
      <c r="L39" s="94">
        <v>0.1633</v>
      </c>
      <c r="M39" s="94">
        <v>0.1633</v>
      </c>
      <c r="N39" s="185" t="s">
        <v>347</v>
      </c>
      <c r="O39" s="110">
        <v>3831535285.4200001</v>
      </c>
      <c r="P39" s="92">
        <f t="shared" si="36"/>
        <v>6.7094625826867897E-4</v>
      </c>
      <c r="Q39" s="185" t="s">
        <v>347</v>
      </c>
      <c r="R39" s="100">
        <v>1</v>
      </c>
      <c r="S39" s="185" t="s">
        <v>347</v>
      </c>
      <c r="T39" s="100">
        <v>1</v>
      </c>
      <c r="U39" s="93">
        <v>733</v>
      </c>
      <c r="V39" s="94">
        <v>0.15329999999999999</v>
      </c>
      <c r="W39" s="94">
        <v>0.15329999999999999</v>
      </c>
      <c r="X39" s="202">
        <f t="shared" si="19"/>
        <v>-4.6195158476411832E-3</v>
      </c>
      <c r="Y39" s="202">
        <f t="shared" si="20"/>
        <v>0</v>
      </c>
      <c r="Z39" s="202">
        <f t="shared" si="21"/>
        <v>2.5174825174825177E-2</v>
      </c>
      <c r="AA39" s="200">
        <f t="shared" si="22"/>
        <v>-1.0000000000000009E-2</v>
      </c>
      <c r="AB39" s="201">
        <f t="shared" si="23"/>
        <v>-1.0000000000000009E-2</v>
      </c>
    </row>
    <row r="40" spans="1:28">
      <c r="A40" s="175">
        <v>32</v>
      </c>
      <c r="B40" s="85" t="s">
        <v>66</v>
      </c>
      <c r="C40" s="86" t="s">
        <v>67</v>
      </c>
      <c r="D40" s="184" t="s">
        <v>347</v>
      </c>
      <c r="E40" s="110">
        <v>97724934108.600006</v>
      </c>
      <c r="F40" s="92">
        <f>(E40/$O$76)</f>
        <v>1.7112769163113949E-2</v>
      </c>
      <c r="G40" s="185" t="s">
        <v>347</v>
      </c>
      <c r="H40" s="100">
        <v>100</v>
      </c>
      <c r="I40" s="185" t="s">
        <v>347</v>
      </c>
      <c r="J40" s="100">
        <v>100</v>
      </c>
      <c r="K40" s="93">
        <v>6132</v>
      </c>
      <c r="L40" s="94">
        <v>0.16059999999999999</v>
      </c>
      <c r="M40" s="94">
        <v>0.16059999999999999</v>
      </c>
      <c r="N40" s="185" t="s">
        <v>347</v>
      </c>
      <c r="O40" s="110">
        <v>97973286407.020004</v>
      </c>
      <c r="P40" s="92">
        <f t="shared" si="36"/>
        <v>1.7156258530415719E-2</v>
      </c>
      <c r="Q40" s="185" t="s">
        <v>347</v>
      </c>
      <c r="R40" s="100">
        <v>100</v>
      </c>
      <c r="S40" s="185" t="s">
        <v>347</v>
      </c>
      <c r="T40" s="100">
        <v>100</v>
      </c>
      <c r="U40" s="93">
        <v>6159</v>
      </c>
      <c r="V40" s="94">
        <v>0.16159999999999999</v>
      </c>
      <c r="W40" s="94">
        <v>0.16159999999999999</v>
      </c>
      <c r="X40" s="202">
        <f t="shared" si="19"/>
        <v>2.5413401470704357E-3</v>
      </c>
      <c r="Y40" s="202">
        <f t="shared" si="20"/>
        <v>0</v>
      </c>
      <c r="Z40" s="202">
        <f t="shared" si="21"/>
        <v>4.4031311154598823E-3</v>
      </c>
      <c r="AA40" s="200">
        <f t="shared" si="22"/>
        <v>1.0000000000000009E-3</v>
      </c>
      <c r="AB40" s="201">
        <f t="shared" si="23"/>
        <v>1.0000000000000009E-3</v>
      </c>
    </row>
    <row r="41" spans="1:28">
      <c r="A41" s="175">
        <v>33</v>
      </c>
      <c r="B41" s="85" t="s">
        <v>68</v>
      </c>
      <c r="C41" s="86" t="s">
        <v>69</v>
      </c>
      <c r="D41" s="184" t="s">
        <v>347</v>
      </c>
      <c r="E41" s="110">
        <v>43547213491.800003</v>
      </c>
      <c r="F41" s="92">
        <f>(E41/$O$76)</f>
        <v>7.6256220480422337E-3</v>
      </c>
      <c r="G41" s="185" t="s">
        <v>347</v>
      </c>
      <c r="H41" s="100">
        <v>100</v>
      </c>
      <c r="I41" s="185" t="s">
        <v>347</v>
      </c>
      <c r="J41" s="100">
        <v>100</v>
      </c>
      <c r="K41" s="93">
        <v>5859</v>
      </c>
      <c r="L41" s="94">
        <v>0.16089999999999999</v>
      </c>
      <c r="M41" s="94">
        <v>0.16089999999999999</v>
      </c>
      <c r="N41" s="185" t="s">
        <v>347</v>
      </c>
      <c r="O41" s="110">
        <v>42775880210.660004</v>
      </c>
      <c r="P41" s="92">
        <f>(O41/$O$76)</f>
        <v>7.4905526462731055E-3</v>
      </c>
      <c r="Q41" s="185" t="s">
        <v>347</v>
      </c>
      <c r="R41" s="100">
        <v>100</v>
      </c>
      <c r="S41" s="185" t="s">
        <v>347</v>
      </c>
      <c r="T41" s="100">
        <v>100</v>
      </c>
      <c r="U41" s="93">
        <v>5885</v>
      </c>
      <c r="V41" s="94">
        <v>0.16089999999999999</v>
      </c>
      <c r="W41" s="94">
        <v>0.16089999999999999</v>
      </c>
      <c r="X41" s="202">
        <f t="shared" si="19"/>
        <v>-1.7712574911027141E-2</v>
      </c>
      <c r="Y41" s="202">
        <f t="shared" si="20"/>
        <v>0</v>
      </c>
      <c r="Z41" s="202">
        <f t="shared" si="21"/>
        <v>4.4376173408431476E-3</v>
      </c>
      <c r="AA41" s="200">
        <f t="shared" si="22"/>
        <v>0</v>
      </c>
      <c r="AB41" s="201">
        <f t="shared" si="23"/>
        <v>0</v>
      </c>
    </row>
    <row r="42" spans="1:28">
      <c r="A42" s="175">
        <v>34</v>
      </c>
      <c r="B42" s="85" t="s">
        <v>70</v>
      </c>
      <c r="C42" s="86" t="s">
        <v>71</v>
      </c>
      <c r="D42" s="184" t="s">
        <v>347</v>
      </c>
      <c r="E42" s="110">
        <v>66186669543.900002</v>
      </c>
      <c r="F42" s="92">
        <f>(E42/$O$76)</f>
        <v>1.1590053325811252E-2</v>
      </c>
      <c r="G42" s="185" t="s">
        <v>347</v>
      </c>
      <c r="H42" s="100">
        <v>1</v>
      </c>
      <c r="I42" s="185" t="s">
        <v>347</v>
      </c>
      <c r="J42" s="100">
        <v>1</v>
      </c>
      <c r="K42" s="93">
        <v>16855</v>
      </c>
      <c r="L42" s="94">
        <v>0.19359999999999999</v>
      </c>
      <c r="M42" s="94">
        <v>0.19359999999999999</v>
      </c>
      <c r="N42" s="185" t="s">
        <v>347</v>
      </c>
      <c r="O42" s="110">
        <v>67571133487.860001</v>
      </c>
      <c r="P42" s="92">
        <f t="shared" si="36"/>
        <v>1.1832489016392668E-2</v>
      </c>
      <c r="Q42" s="185" t="s">
        <v>347</v>
      </c>
      <c r="R42" s="100">
        <v>1</v>
      </c>
      <c r="S42" s="185" t="s">
        <v>347</v>
      </c>
      <c r="T42" s="100">
        <v>1</v>
      </c>
      <c r="U42" s="93">
        <v>17018</v>
      </c>
      <c r="V42" s="94">
        <v>0.19969999999999999</v>
      </c>
      <c r="W42" s="94">
        <v>0.19969999999999999</v>
      </c>
      <c r="X42" s="202">
        <f t="shared" si="19"/>
        <v>2.0917564722632221E-2</v>
      </c>
      <c r="Y42" s="202">
        <f t="shared" si="20"/>
        <v>0</v>
      </c>
      <c r="Z42" s="202">
        <f t="shared" si="21"/>
        <v>9.6707208543458916E-3</v>
      </c>
      <c r="AA42" s="200">
        <f t="shared" si="22"/>
        <v>6.0999999999999943E-3</v>
      </c>
      <c r="AB42" s="201">
        <f t="shared" si="23"/>
        <v>6.0999999999999943E-3</v>
      </c>
    </row>
    <row r="43" spans="1:28">
      <c r="A43" s="175">
        <v>35</v>
      </c>
      <c r="B43" s="85" t="s">
        <v>72</v>
      </c>
      <c r="C43" s="86" t="s">
        <v>73</v>
      </c>
      <c r="D43" s="184" t="s">
        <v>347</v>
      </c>
      <c r="E43" s="110">
        <v>1491366880.27</v>
      </c>
      <c r="F43" s="92">
        <v>0</v>
      </c>
      <c r="G43" s="185" t="s">
        <v>347</v>
      </c>
      <c r="H43" s="100">
        <v>1000</v>
      </c>
      <c r="I43" s="185" t="s">
        <v>347</v>
      </c>
      <c r="J43" s="100">
        <v>1000</v>
      </c>
      <c r="K43" s="93">
        <v>120</v>
      </c>
      <c r="L43" s="94">
        <v>0.20519999999999999</v>
      </c>
      <c r="M43" s="94">
        <v>0.20519999999999999</v>
      </c>
      <c r="N43" s="185" t="s">
        <v>347</v>
      </c>
      <c r="O43" s="110">
        <v>1566333028.02</v>
      </c>
      <c r="P43" s="92">
        <f t="shared" si="36"/>
        <v>2.7428307612139608E-4</v>
      </c>
      <c r="Q43" s="185" t="s">
        <v>347</v>
      </c>
      <c r="R43" s="100">
        <v>1000</v>
      </c>
      <c r="S43" s="185" t="s">
        <v>347</v>
      </c>
      <c r="T43" s="100">
        <v>1000</v>
      </c>
      <c r="U43" s="93">
        <v>122</v>
      </c>
      <c r="V43" s="94">
        <v>0.19489999999999999</v>
      </c>
      <c r="W43" s="94">
        <v>0.19489999999999999</v>
      </c>
      <c r="X43" s="202">
        <f t="shared" si="19"/>
        <v>5.0266737676532003E-2</v>
      </c>
      <c r="Y43" s="202">
        <f t="shared" si="20"/>
        <v>0</v>
      </c>
      <c r="Z43" s="202">
        <f t="shared" si="21"/>
        <v>1.6666666666666666E-2</v>
      </c>
      <c r="AA43" s="200">
        <f t="shared" si="22"/>
        <v>-1.0300000000000004E-2</v>
      </c>
      <c r="AB43" s="201">
        <f t="shared" si="23"/>
        <v>-1.0300000000000004E-2</v>
      </c>
    </row>
    <row r="44" spans="1:28">
      <c r="A44" s="175">
        <v>36</v>
      </c>
      <c r="B44" s="85" t="s">
        <v>74</v>
      </c>
      <c r="C44" s="86" t="s">
        <v>75</v>
      </c>
      <c r="D44" s="184" t="s">
        <v>347</v>
      </c>
      <c r="E44" s="110">
        <v>87663680513.899994</v>
      </c>
      <c r="F44" s="92">
        <f t="shared" ref="F44:F52" si="37">(E44/$O$76)</f>
        <v>1.5350926990201193E-2</v>
      </c>
      <c r="G44" s="185" t="s">
        <v>347</v>
      </c>
      <c r="H44" s="111">
        <v>100</v>
      </c>
      <c r="I44" s="185" t="s">
        <v>347</v>
      </c>
      <c r="J44" s="111">
        <v>100</v>
      </c>
      <c r="K44" s="93">
        <v>4953</v>
      </c>
      <c r="L44" s="94">
        <v>0.15029999999999999</v>
      </c>
      <c r="M44" s="94">
        <v>0.15029999999999999</v>
      </c>
      <c r="N44" s="185" t="s">
        <v>347</v>
      </c>
      <c r="O44" s="110">
        <v>86949629604.779999</v>
      </c>
      <c r="P44" s="92">
        <f t="shared" si="36"/>
        <v>1.5225888396008814E-2</v>
      </c>
      <c r="Q44" s="185" t="s">
        <v>347</v>
      </c>
      <c r="R44" s="111">
        <v>100</v>
      </c>
      <c r="S44" s="185" t="s">
        <v>347</v>
      </c>
      <c r="T44" s="111">
        <v>100</v>
      </c>
      <c r="U44" s="93">
        <v>4953</v>
      </c>
      <c r="V44" s="94">
        <v>0.15379999999999999</v>
      </c>
      <c r="W44" s="94">
        <v>0.15379999999999999</v>
      </c>
      <c r="X44" s="202">
        <f t="shared" si="19"/>
        <v>-8.1453448558639393E-3</v>
      </c>
      <c r="Y44" s="202">
        <f t="shared" si="20"/>
        <v>0</v>
      </c>
      <c r="Z44" s="202">
        <f t="shared" si="21"/>
        <v>0</v>
      </c>
      <c r="AA44" s="200">
        <f t="shared" si="22"/>
        <v>3.5000000000000031E-3</v>
      </c>
      <c r="AB44" s="201">
        <f t="shared" si="23"/>
        <v>3.5000000000000031E-3</v>
      </c>
    </row>
    <row r="45" spans="1:28">
      <c r="A45" s="175">
        <v>37</v>
      </c>
      <c r="B45" s="85" t="s">
        <v>76</v>
      </c>
      <c r="C45" s="86" t="s">
        <v>75</v>
      </c>
      <c r="D45" s="184" t="s">
        <v>347</v>
      </c>
      <c r="E45" s="110">
        <v>9893189245.2700005</v>
      </c>
      <c r="F45" s="92">
        <f t="shared" si="37"/>
        <v>1.7324121564836978E-3</v>
      </c>
      <c r="G45" s="185" t="s">
        <v>347</v>
      </c>
      <c r="H45" s="111">
        <v>1000000</v>
      </c>
      <c r="I45" s="185" t="s">
        <v>347</v>
      </c>
      <c r="J45" s="111">
        <v>1000000</v>
      </c>
      <c r="K45" s="93">
        <v>50</v>
      </c>
      <c r="L45" s="94">
        <v>0.1545</v>
      </c>
      <c r="M45" s="94">
        <v>0.1545</v>
      </c>
      <c r="N45" s="185" t="s">
        <v>347</v>
      </c>
      <c r="O45" s="110">
        <v>10066368829.66</v>
      </c>
      <c r="P45" s="92">
        <f t="shared" si="36"/>
        <v>1.762737909869591E-3</v>
      </c>
      <c r="Q45" s="185" t="s">
        <v>347</v>
      </c>
      <c r="R45" s="111">
        <v>1000000</v>
      </c>
      <c r="S45" s="185" t="s">
        <v>347</v>
      </c>
      <c r="T45" s="111">
        <v>1000000</v>
      </c>
      <c r="U45" s="93">
        <v>50</v>
      </c>
      <c r="V45" s="94">
        <v>0.152</v>
      </c>
      <c r="W45" s="94">
        <v>0.152</v>
      </c>
      <c r="X45" s="202">
        <f t="shared" si="19"/>
        <v>1.7504929916588596E-2</v>
      </c>
      <c r="Y45" s="202">
        <f t="shared" si="20"/>
        <v>0</v>
      </c>
      <c r="Z45" s="202">
        <f t="shared" si="21"/>
        <v>0</v>
      </c>
      <c r="AA45" s="200">
        <f t="shared" si="22"/>
        <v>-2.5000000000000022E-3</v>
      </c>
      <c r="AB45" s="201">
        <f t="shared" si="23"/>
        <v>-2.5000000000000022E-3</v>
      </c>
    </row>
    <row r="46" spans="1:28">
      <c r="A46" s="175">
        <v>38</v>
      </c>
      <c r="B46" s="85" t="s">
        <v>77</v>
      </c>
      <c r="C46" s="86" t="s">
        <v>78</v>
      </c>
      <c r="D46" s="184" t="s">
        <v>347</v>
      </c>
      <c r="E46" s="110">
        <v>8120115519.4700003</v>
      </c>
      <c r="F46" s="92">
        <f t="shared" si="37"/>
        <v>1.4219263868532057E-3</v>
      </c>
      <c r="G46" s="185" t="s">
        <v>347</v>
      </c>
      <c r="H46" s="100">
        <v>1</v>
      </c>
      <c r="I46" s="185" t="s">
        <v>347</v>
      </c>
      <c r="J46" s="100">
        <v>1</v>
      </c>
      <c r="K46" s="93">
        <v>1246</v>
      </c>
      <c r="L46" s="94">
        <v>0.16639999999999999</v>
      </c>
      <c r="M46" s="94">
        <v>0.16639999999999999</v>
      </c>
      <c r="N46" s="185" t="s">
        <v>347</v>
      </c>
      <c r="O46" s="110">
        <v>7988734305.1000004</v>
      </c>
      <c r="P46" s="92">
        <f t="shared" si="36"/>
        <v>1.3989200127441693E-3</v>
      </c>
      <c r="Q46" s="185" t="s">
        <v>347</v>
      </c>
      <c r="R46" s="100">
        <v>1</v>
      </c>
      <c r="S46" s="185" t="s">
        <v>347</v>
      </c>
      <c r="T46" s="100">
        <v>1</v>
      </c>
      <c r="U46" s="93">
        <v>1237</v>
      </c>
      <c r="V46" s="94">
        <v>0.189</v>
      </c>
      <c r="W46" s="94">
        <v>0.189</v>
      </c>
      <c r="X46" s="202">
        <f t="shared" si="19"/>
        <v>-1.6179722327223138E-2</v>
      </c>
      <c r="Y46" s="202">
        <f t="shared" si="20"/>
        <v>0</v>
      </c>
      <c r="Z46" s="202">
        <f t="shared" si="21"/>
        <v>-7.2231139646869984E-3</v>
      </c>
      <c r="AA46" s="200">
        <f t="shared" si="22"/>
        <v>2.2600000000000009E-2</v>
      </c>
      <c r="AB46" s="201">
        <f t="shared" si="23"/>
        <v>2.2600000000000009E-2</v>
      </c>
    </row>
    <row r="47" spans="1:28">
      <c r="A47" s="175">
        <v>39</v>
      </c>
      <c r="B47" s="85" t="s">
        <v>338</v>
      </c>
      <c r="C47" s="86" t="s">
        <v>79</v>
      </c>
      <c r="D47" s="184" t="s">
        <v>347</v>
      </c>
      <c r="E47" s="110">
        <v>738863259434.42004</v>
      </c>
      <c r="F47" s="92">
        <f t="shared" si="37"/>
        <v>0.12938352445196999</v>
      </c>
      <c r="G47" s="185" t="s">
        <v>347</v>
      </c>
      <c r="H47" s="100">
        <v>100</v>
      </c>
      <c r="I47" s="185" t="s">
        <v>347</v>
      </c>
      <c r="J47" s="100">
        <v>100</v>
      </c>
      <c r="K47" s="93">
        <v>41108</v>
      </c>
      <c r="L47" s="94">
        <v>0.15840000000000001</v>
      </c>
      <c r="M47" s="94">
        <v>0.15840000000000001</v>
      </c>
      <c r="N47" s="185" t="s">
        <v>347</v>
      </c>
      <c r="O47" s="110">
        <v>726322304723.33997</v>
      </c>
      <c r="P47" s="92">
        <f t="shared" si="36"/>
        <v>0.12718745785941249</v>
      </c>
      <c r="Q47" s="185" t="s">
        <v>347</v>
      </c>
      <c r="R47" s="100">
        <v>100</v>
      </c>
      <c r="S47" s="185" t="s">
        <v>347</v>
      </c>
      <c r="T47" s="100">
        <v>100</v>
      </c>
      <c r="U47" s="93">
        <v>41231</v>
      </c>
      <c r="V47" s="94">
        <v>0.15770000000000001</v>
      </c>
      <c r="W47" s="94">
        <v>0.15770000000000001</v>
      </c>
      <c r="X47" s="202">
        <f t="shared" si="19"/>
        <v>-1.6973309405964837E-2</v>
      </c>
      <c r="Y47" s="202">
        <f t="shared" si="20"/>
        <v>0</v>
      </c>
      <c r="Z47" s="202">
        <f t="shared" si="21"/>
        <v>2.9921183224676461E-3</v>
      </c>
      <c r="AA47" s="200">
        <f t="shared" si="22"/>
        <v>-7.0000000000000617E-4</v>
      </c>
      <c r="AB47" s="201">
        <f t="shared" si="23"/>
        <v>-7.0000000000000617E-4</v>
      </c>
    </row>
    <row r="48" spans="1:28">
      <c r="A48" s="175">
        <v>40</v>
      </c>
      <c r="B48" s="85" t="s">
        <v>80</v>
      </c>
      <c r="C48" s="86" t="s">
        <v>81</v>
      </c>
      <c r="D48" s="184" t="s">
        <v>347</v>
      </c>
      <c r="E48" s="112">
        <v>6211466097.9099998</v>
      </c>
      <c r="F48" s="92">
        <f t="shared" si="37"/>
        <v>1.0876997407838389E-3</v>
      </c>
      <c r="G48" s="185" t="s">
        <v>347</v>
      </c>
      <c r="H48" s="100">
        <v>1</v>
      </c>
      <c r="I48" s="185" t="s">
        <v>347</v>
      </c>
      <c r="J48" s="100">
        <v>1</v>
      </c>
      <c r="K48" s="113">
        <v>2272</v>
      </c>
      <c r="L48" s="114">
        <v>0.17949999999999999</v>
      </c>
      <c r="M48" s="114">
        <v>0.17949999999999999</v>
      </c>
      <c r="N48" s="185" t="s">
        <v>347</v>
      </c>
      <c r="O48" s="112">
        <v>6228114699.21</v>
      </c>
      <c r="P48" s="92">
        <f t="shared" si="36"/>
        <v>1.0906151039256449E-3</v>
      </c>
      <c r="Q48" s="185" t="s">
        <v>347</v>
      </c>
      <c r="R48" s="100">
        <v>1</v>
      </c>
      <c r="S48" s="185" t="s">
        <v>347</v>
      </c>
      <c r="T48" s="100">
        <v>1</v>
      </c>
      <c r="U48" s="113">
        <v>2303</v>
      </c>
      <c r="V48" s="114">
        <v>0.1779</v>
      </c>
      <c r="W48" s="114">
        <v>0.1779</v>
      </c>
      <c r="X48" s="202">
        <f t="shared" si="19"/>
        <v>2.6803014034966753E-3</v>
      </c>
      <c r="Y48" s="202">
        <f t="shared" si="20"/>
        <v>0</v>
      </c>
      <c r="Z48" s="202">
        <f t="shared" si="21"/>
        <v>1.3644366197183098E-2</v>
      </c>
      <c r="AA48" s="200">
        <f t="shared" si="22"/>
        <v>-1.5999999999999903E-3</v>
      </c>
      <c r="AB48" s="201">
        <f t="shared" si="23"/>
        <v>-1.5999999999999903E-3</v>
      </c>
    </row>
    <row r="49" spans="1:28">
      <c r="A49" s="175">
        <v>41</v>
      </c>
      <c r="B49" s="85" t="s">
        <v>82</v>
      </c>
      <c r="C49" s="86" t="s">
        <v>83</v>
      </c>
      <c r="D49" s="184" t="s">
        <v>347</v>
      </c>
      <c r="E49" s="110">
        <v>5100120817.4300003</v>
      </c>
      <c r="F49" s="92">
        <f t="shared" si="37"/>
        <v>8.9309029521249922E-4</v>
      </c>
      <c r="G49" s="185" t="s">
        <v>347</v>
      </c>
      <c r="H49" s="100">
        <v>1</v>
      </c>
      <c r="I49" s="185" t="s">
        <v>347</v>
      </c>
      <c r="J49" s="100">
        <v>1</v>
      </c>
      <c r="K49" s="113">
        <v>805</v>
      </c>
      <c r="L49" s="114">
        <v>0.15</v>
      </c>
      <c r="M49" s="114">
        <v>0.15</v>
      </c>
      <c r="N49" s="185" t="s">
        <v>347</v>
      </c>
      <c r="O49" s="110">
        <v>5151968063.6899996</v>
      </c>
      <c r="P49" s="92">
        <f>(O49/$O$76)</f>
        <v>9.0216934924393507E-4</v>
      </c>
      <c r="Q49" s="185" t="s">
        <v>347</v>
      </c>
      <c r="R49" s="100">
        <v>1</v>
      </c>
      <c r="S49" s="185" t="s">
        <v>347</v>
      </c>
      <c r="T49" s="100">
        <v>1</v>
      </c>
      <c r="U49" s="113">
        <v>818</v>
      </c>
      <c r="V49" s="114">
        <v>0.16</v>
      </c>
      <c r="W49" s="114">
        <v>0.16</v>
      </c>
      <c r="X49" s="202">
        <f t="shared" si="19"/>
        <v>1.0165885890939658E-2</v>
      </c>
      <c r="Y49" s="202">
        <f t="shared" si="20"/>
        <v>0</v>
      </c>
      <c r="Z49" s="202">
        <f t="shared" si="21"/>
        <v>1.6149068322981366E-2</v>
      </c>
      <c r="AA49" s="200">
        <f t="shared" si="22"/>
        <v>1.0000000000000009E-2</v>
      </c>
      <c r="AB49" s="201">
        <f t="shared" si="23"/>
        <v>1.0000000000000009E-2</v>
      </c>
    </row>
    <row r="50" spans="1:28">
      <c r="A50" s="175">
        <v>42</v>
      </c>
      <c r="B50" s="85" t="s">
        <v>84</v>
      </c>
      <c r="C50" s="86" t="s">
        <v>85</v>
      </c>
      <c r="D50" s="184" t="s">
        <v>347</v>
      </c>
      <c r="E50" s="110">
        <v>8196760.6200000001</v>
      </c>
      <c r="F50" s="92">
        <f t="shared" si="37"/>
        <v>1.4353478327187612E-6</v>
      </c>
      <c r="G50" s="185" t="s">
        <v>347</v>
      </c>
      <c r="H50" s="100">
        <v>1</v>
      </c>
      <c r="I50" s="185" t="s">
        <v>347</v>
      </c>
      <c r="J50" s="100">
        <v>1</v>
      </c>
      <c r="K50" s="113">
        <v>37</v>
      </c>
      <c r="L50" s="114">
        <v>0.105</v>
      </c>
      <c r="M50" s="114">
        <v>0.105</v>
      </c>
      <c r="N50" s="185" t="s">
        <v>347</v>
      </c>
      <c r="O50" s="110">
        <v>8196760.6200000001</v>
      </c>
      <c r="P50" s="92">
        <f t="shared" si="36"/>
        <v>1.4353478327187612E-6</v>
      </c>
      <c r="Q50" s="185" t="s">
        <v>347</v>
      </c>
      <c r="R50" s="100">
        <v>1</v>
      </c>
      <c r="S50" s="185" t="s">
        <v>347</v>
      </c>
      <c r="T50" s="100">
        <v>1</v>
      </c>
      <c r="U50" s="113">
        <v>24</v>
      </c>
      <c r="V50" s="114">
        <v>0.105</v>
      </c>
      <c r="W50" s="114">
        <v>0.105</v>
      </c>
      <c r="X50" s="202">
        <f t="shared" si="19"/>
        <v>0</v>
      </c>
      <c r="Y50" s="202">
        <f t="shared" si="20"/>
        <v>0</v>
      </c>
      <c r="Z50" s="202">
        <f t="shared" si="21"/>
        <v>-0.35135135135135137</v>
      </c>
      <c r="AA50" s="200">
        <f t="shared" si="22"/>
        <v>0</v>
      </c>
      <c r="AB50" s="201">
        <f t="shared" si="23"/>
        <v>0</v>
      </c>
    </row>
    <row r="51" spans="1:28">
      <c r="A51" s="175">
        <v>43</v>
      </c>
      <c r="B51" s="85" t="s">
        <v>86</v>
      </c>
      <c r="C51" s="86" t="s">
        <v>87</v>
      </c>
      <c r="D51" s="184" t="s">
        <v>347</v>
      </c>
      <c r="E51" s="110">
        <v>1960345418.48</v>
      </c>
      <c r="F51" s="92">
        <f t="shared" si="37"/>
        <v>3.4327921458750872E-4</v>
      </c>
      <c r="G51" s="185" t="s">
        <v>347</v>
      </c>
      <c r="H51" s="100">
        <v>10</v>
      </c>
      <c r="I51" s="185" t="s">
        <v>347</v>
      </c>
      <c r="J51" s="100">
        <v>10</v>
      </c>
      <c r="K51" s="93">
        <v>566</v>
      </c>
      <c r="L51" s="94">
        <v>0.16339999999999999</v>
      </c>
      <c r="M51" s="94">
        <v>0.16339999999999999</v>
      </c>
      <c r="N51" s="185" t="s">
        <v>347</v>
      </c>
      <c r="O51" s="110">
        <v>2007029753.1600001</v>
      </c>
      <c r="P51" s="92">
        <f t="shared" si="36"/>
        <v>3.5145418293309588E-4</v>
      </c>
      <c r="Q51" s="185" t="s">
        <v>347</v>
      </c>
      <c r="R51" s="100">
        <v>10</v>
      </c>
      <c r="S51" s="185" t="s">
        <v>347</v>
      </c>
      <c r="T51" s="100">
        <v>10</v>
      </c>
      <c r="U51" s="93">
        <v>568</v>
      </c>
      <c r="V51" s="94">
        <v>0.1638</v>
      </c>
      <c r="W51" s="94">
        <v>0.1638</v>
      </c>
      <c r="X51" s="202">
        <f t="shared" si="19"/>
        <v>2.3814341207376539E-2</v>
      </c>
      <c r="Y51" s="202">
        <f t="shared" si="20"/>
        <v>0</v>
      </c>
      <c r="Z51" s="202">
        <f t="shared" si="21"/>
        <v>3.5335689045936395E-3</v>
      </c>
      <c r="AA51" s="200">
        <f t="shared" si="22"/>
        <v>4.0000000000001146E-4</v>
      </c>
      <c r="AB51" s="201">
        <f t="shared" si="23"/>
        <v>4.0000000000001146E-4</v>
      </c>
    </row>
    <row r="52" spans="1:28">
      <c r="A52" s="175">
        <v>44</v>
      </c>
      <c r="B52" s="85" t="s">
        <v>88</v>
      </c>
      <c r="C52" s="86" t="s">
        <v>89</v>
      </c>
      <c r="D52" s="184" t="s">
        <v>347</v>
      </c>
      <c r="E52" s="110">
        <v>13935317703.139999</v>
      </c>
      <c r="F52" s="92">
        <f t="shared" si="37"/>
        <v>2.4402357212487905E-3</v>
      </c>
      <c r="G52" s="185" t="s">
        <v>347</v>
      </c>
      <c r="H52" s="100">
        <v>100</v>
      </c>
      <c r="I52" s="185" t="s">
        <v>347</v>
      </c>
      <c r="J52" s="100">
        <v>100</v>
      </c>
      <c r="K52" s="93">
        <v>1077</v>
      </c>
      <c r="L52" s="94">
        <v>0.18809999999999999</v>
      </c>
      <c r="M52" s="94">
        <v>0.18809999999999999</v>
      </c>
      <c r="N52" s="185" t="s">
        <v>347</v>
      </c>
      <c r="O52" s="110">
        <v>14176722885.870001</v>
      </c>
      <c r="P52" s="92">
        <f t="shared" si="36"/>
        <v>2.482508568035743E-3</v>
      </c>
      <c r="Q52" s="185" t="s">
        <v>347</v>
      </c>
      <c r="R52" s="100">
        <v>100</v>
      </c>
      <c r="S52" s="185" t="s">
        <v>347</v>
      </c>
      <c r="T52" s="100">
        <v>100</v>
      </c>
      <c r="U52" s="93">
        <v>1083</v>
      </c>
      <c r="V52" s="94">
        <v>0.1857</v>
      </c>
      <c r="W52" s="94">
        <v>0.1857</v>
      </c>
      <c r="X52" s="202">
        <f t="shared" si="19"/>
        <v>1.7323263658036759E-2</v>
      </c>
      <c r="Y52" s="202">
        <f t="shared" si="20"/>
        <v>0</v>
      </c>
      <c r="Z52" s="202">
        <f t="shared" si="21"/>
        <v>5.5710306406685237E-3</v>
      </c>
      <c r="AA52" s="200">
        <f t="shared" si="22"/>
        <v>-2.3999999999999855E-3</v>
      </c>
      <c r="AB52" s="201">
        <f t="shared" si="23"/>
        <v>-2.3999999999999855E-3</v>
      </c>
    </row>
    <row r="53" spans="1:28">
      <c r="A53" s="175">
        <v>45</v>
      </c>
      <c r="B53" s="85" t="s">
        <v>90</v>
      </c>
      <c r="C53" s="85" t="s">
        <v>91</v>
      </c>
      <c r="D53" s="184" t="s">
        <v>347</v>
      </c>
      <c r="E53" s="115">
        <v>126308793.63</v>
      </c>
      <c r="F53" s="92">
        <v>0</v>
      </c>
      <c r="G53" s="185" t="s">
        <v>347</v>
      </c>
      <c r="H53" s="91">
        <v>1</v>
      </c>
      <c r="I53" s="185" t="s">
        <v>347</v>
      </c>
      <c r="J53" s="91">
        <v>1</v>
      </c>
      <c r="K53" s="93">
        <v>147</v>
      </c>
      <c r="L53" s="94">
        <v>0.1603</v>
      </c>
      <c r="M53" s="94">
        <v>0.1603</v>
      </c>
      <c r="N53" s="185" t="s">
        <v>347</v>
      </c>
      <c r="O53" s="115">
        <v>126827251.15000001</v>
      </c>
      <c r="P53" s="116">
        <f>(O53/$O$203)</f>
        <v>8.7800235930374291E-4</v>
      </c>
      <c r="Q53" s="185" t="s">
        <v>347</v>
      </c>
      <c r="R53" s="91">
        <v>1</v>
      </c>
      <c r="S53" s="185" t="s">
        <v>347</v>
      </c>
      <c r="T53" s="91">
        <v>1</v>
      </c>
      <c r="U53" s="93">
        <v>154</v>
      </c>
      <c r="V53" s="94">
        <v>0.17249999999999999</v>
      </c>
      <c r="W53" s="94">
        <v>0.17249999999999999</v>
      </c>
      <c r="X53" s="200">
        <f t="shared" si="19"/>
        <v>4.104682699438515E-3</v>
      </c>
      <c r="Y53" s="200">
        <f t="shared" si="20"/>
        <v>0</v>
      </c>
      <c r="Z53" s="200">
        <f t="shared" si="21"/>
        <v>4.7619047619047616E-2</v>
      </c>
      <c r="AA53" s="200">
        <f t="shared" si="22"/>
        <v>1.2199999999999989E-2</v>
      </c>
      <c r="AB53" s="201">
        <f t="shared" si="23"/>
        <v>1.2199999999999989E-2</v>
      </c>
    </row>
    <row r="54" spans="1:28">
      <c r="A54" s="175">
        <v>46</v>
      </c>
      <c r="B54" s="85" t="s">
        <v>92</v>
      </c>
      <c r="C54" s="86" t="s">
        <v>35</v>
      </c>
      <c r="D54" s="184" t="s">
        <v>347</v>
      </c>
      <c r="E54" s="110">
        <v>2453927378.71</v>
      </c>
      <c r="F54" s="92">
        <f t="shared" ref="F54:F75" si="38">(E54/$O$76)</f>
        <v>4.2971113931110865E-4</v>
      </c>
      <c r="G54" s="185" t="s">
        <v>347</v>
      </c>
      <c r="H54" s="100">
        <v>100</v>
      </c>
      <c r="I54" s="185" t="s">
        <v>347</v>
      </c>
      <c r="J54" s="100">
        <v>100</v>
      </c>
      <c r="K54" s="93">
        <v>9405</v>
      </c>
      <c r="L54" s="94">
        <v>0.14510000000000001</v>
      </c>
      <c r="M54" s="94">
        <v>0.14510000000000001</v>
      </c>
      <c r="N54" s="185" t="s">
        <v>347</v>
      </c>
      <c r="O54" s="110">
        <v>2488291242.96</v>
      </c>
      <c r="P54" s="92">
        <f t="shared" ref="P54:P67" si="39">(O54/$O$76)</f>
        <v>4.3572865041845133E-4</v>
      </c>
      <c r="Q54" s="185" t="s">
        <v>347</v>
      </c>
      <c r="R54" s="100">
        <v>100</v>
      </c>
      <c r="S54" s="185" t="s">
        <v>347</v>
      </c>
      <c r="T54" s="100">
        <v>100</v>
      </c>
      <c r="U54" s="93">
        <v>9581</v>
      </c>
      <c r="V54" s="94">
        <v>0.15579999999999999</v>
      </c>
      <c r="W54" s="94">
        <v>0.15579999999999999</v>
      </c>
      <c r="X54" s="202">
        <f t="shared" ref="X54" si="40">((O54-E54)/E54)</f>
        <v>1.4003619075339006E-2</v>
      </c>
      <c r="Y54" s="202">
        <f t="shared" ref="Y54" si="41">((T54-J54)/J54)</f>
        <v>0</v>
      </c>
      <c r="Z54" s="202">
        <f t="shared" ref="Z54" si="42">((U54-K54)/K54)</f>
        <v>1.8713450292397661E-2</v>
      </c>
      <c r="AA54" s="200">
        <f t="shared" ref="AA54" si="43">V54-L54</f>
        <v>1.0699999999999987E-2</v>
      </c>
      <c r="AB54" s="201">
        <f t="shared" ref="AB54" si="44">W54-M54</f>
        <v>1.0699999999999987E-2</v>
      </c>
    </row>
    <row r="55" spans="1:28">
      <c r="A55" s="175">
        <v>47</v>
      </c>
      <c r="B55" s="85" t="s">
        <v>93</v>
      </c>
      <c r="C55" s="86" t="s">
        <v>35</v>
      </c>
      <c r="D55" s="184" t="s">
        <v>347</v>
      </c>
      <c r="E55" s="110">
        <v>449165754888.53998</v>
      </c>
      <c r="F55" s="92">
        <f t="shared" si="38"/>
        <v>7.8654132126009579E-2</v>
      </c>
      <c r="G55" s="185" t="s">
        <v>347</v>
      </c>
      <c r="H55" s="100">
        <v>100</v>
      </c>
      <c r="I55" s="185" t="s">
        <v>347</v>
      </c>
      <c r="J55" s="100">
        <v>100</v>
      </c>
      <c r="K55" s="93">
        <v>41026</v>
      </c>
      <c r="L55" s="94">
        <v>0.16969999999999999</v>
      </c>
      <c r="M55" s="94">
        <v>0.16969999999999999</v>
      </c>
      <c r="N55" s="185" t="s">
        <v>347</v>
      </c>
      <c r="O55" s="110">
        <v>460119829061.03003</v>
      </c>
      <c r="P55" s="92">
        <f t="shared" si="39"/>
        <v>8.0572317535079652E-2</v>
      </c>
      <c r="Q55" s="185" t="s">
        <v>347</v>
      </c>
      <c r="R55" s="100">
        <v>100</v>
      </c>
      <c r="S55" s="185" t="s">
        <v>347</v>
      </c>
      <c r="T55" s="100">
        <v>100</v>
      </c>
      <c r="U55" s="93">
        <v>42172</v>
      </c>
      <c r="V55" s="94">
        <v>0.17030000000000001</v>
      </c>
      <c r="W55" s="94">
        <v>0.17030000000000001</v>
      </c>
      <c r="X55" s="202">
        <f t="shared" si="19"/>
        <v>2.4387598683270707E-2</v>
      </c>
      <c r="Y55" s="202">
        <f t="shared" si="20"/>
        <v>0</v>
      </c>
      <c r="Z55" s="202">
        <f t="shared" si="21"/>
        <v>2.7933505581826158E-2</v>
      </c>
      <c r="AA55" s="200">
        <f t="shared" si="22"/>
        <v>6.0000000000001719E-4</v>
      </c>
      <c r="AB55" s="201">
        <f t="shared" si="23"/>
        <v>6.0000000000001719E-4</v>
      </c>
    </row>
    <row r="56" spans="1:28">
      <c r="A56" s="175">
        <v>48</v>
      </c>
      <c r="B56" s="85" t="s">
        <v>334</v>
      </c>
      <c r="C56" s="86" t="s">
        <v>38</v>
      </c>
      <c r="D56" s="184" t="s">
        <v>347</v>
      </c>
      <c r="E56" s="110">
        <v>65344735053.400002</v>
      </c>
      <c r="F56" s="92">
        <f t="shared" si="38"/>
        <v>1.1442620833604308E-2</v>
      </c>
      <c r="G56" s="185" t="s">
        <v>347</v>
      </c>
      <c r="H56" s="100">
        <v>1</v>
      </c>
      <c r="I56" s="185" t="s">
        <v>347</v>
      </c>
      <c r="J56" s="100">
        <v>1</v>
      </c>
      <c r="K56" s="93">
        <v>3645</v>
      </c>
      <c r="L56" s="94">
        <v>0.1615</v>
      </c>
      <c r="M56" s="94">
        <v>0.1615</v>
      </c>
      <c r="N56" s="185" t="s">
        <v>347</v>
      </c>
      <c r="O56" s="110">
        <v>67125177509.919998</v>
      </c>
      <c r="P56" s="92">
        <f t="shared" si="39"/>
        <v>1.1754396953430342E-2</v>
      </c>
      <c r="Q56" s="185" t="s">
        <v>347</v>
      </c>
      <c r="R56" s="100">
        <v>1</v>
      </c>
      <c r="S56" s="185" t="s">
        <v>347</v>
      </c>
      <c r="T56" s="100">
        <v>1</v>
      </c>
      <c r="U56" s="93">
        <v>3670</v>
      </c>
      <c r="V56" s="94">
        <v>0.1542</v>
      </c>
      <c r="W56" s="94">
        <v>0.1542</v>
      </c>
      <c r="X56" s="202">
        <f t="shared" si="19"/>
        <v>2.7246915226835203E-2</v>
      </c>
      <c r="Y56" s="202">
        <f t="shared" si="20"/>
        <v>0</v>
      </c>
      <c r="Z56" s="202">
        <f t="shared" si="21"/>
        <v>6.8587105624142658E-3</v>
      </c>
      <c r="AA56" s="200">
        <f t="shared" si="22"/>
        <v>-7.3000000000000009E-3</v>
      </c>
      <c r="AB56" s="201">
        <f t="shared" si="23"/>
        <v>-7.3000000000000009E-3</v>
      </c>
    </row>
    <row r="57" spans="1:28">
      <c r="A57" s="175">
        <v>49</v>
      </c>
      <c r="B57" s="85" t="s">
        <v>94</v>
      </c>
      <c r="C57" s="86" t="s">
        <v>95</v>
      </c>
      <c r="D57" s="184" t="s">
        <v>347</v>
      </c>
      <c r="E57" s="110">
        <v>6417034663.4483995</v>
      </c>
      <c r="F57" s="92">
        <f t="shared" si="38"/>
        <v>1.1236971803455969E-3</v>
      </c>
      <c r="G57" s="185" t="s">
        <v>347</v>
      </c>
      <c r="H57" s="100">
        <v>100</v>
      </c>
      <c r="I57" s="185" t="s">
        <v>347</v>
      </c>
      <c r="J57" s="100">
        <v>100</v>
      </c>
      <c r="K57" s="93">
        <v>993</v>
      </c>
      <c r="L57" s="94">
        <v>0.16339999999999999</v>
      </c>
      <c r="M57" s="94">
        <v>0.16339999999999999</v>
      </c>
      <c r="N57" s="185" t="s">
        <v>347</v>
      </c>
      <c r="O57" s="110">
        <v>6417652251.4519997</v>
      </c>
      <c r="P57" s="92">
        <f t="shared" si="39"/>
        <v>1.1238053271664661E-3</v>
      </c>
      <c r="Q57" s="185" t="s">
        <v>347</v>
      </c>
      <c r="R57" s="100">
        <v>100</v>
      </c>
      <c r="S57" s="185" t="s">
        <v>347</v>
      </c>
      <c r="T57" s="100">
        <v>100</v>
      </c>
      <c r="U57" s="93">
        <v>998</v>
      </c>
      <c r="V57" s="94">
        <v>0.16350000000000001</v>
      </c>
      <c r="W57" s="94">
        <v>0.16350000000000001</v>
      </c>
      <c r="X57" s="202">
        <f t="shared" si="19"/>
        <v>9.6241961589816279E-5</v>
      </c>
      <c r="Y57" s="202">
        <f t="shared" si="20"/>
        <v>0</v>
      </c>
      <c r="Z57" s="202">
        <f t="shared" si="21"/>
        <v>5.0352467270896274E-3</v>
      </c>
      <c r="AA57" s="200">
        <f t="shared" si="22"/>
        <v>1.0000000000001674E-4</v>
      </c>
      <c r="AB57" s="201">
        <f t="shared" si="23"/>
        <v>1.0000000000001674E-4</v>
      </c>
    </row>
    <row r="58" spans="1:28">
      <c r="A58" s="175">
        <v>50</v>
      </c>
      <c r="B58" s="85" t="s">
        <v>96</v>
      </c>
      <c r="C58" s="86" t="s">
        <v>40</v>
      </c>
      <c r="D58" s="184" t="s">
        <v>347</v>
      </c>
      <c r="E58" s="112">
        <v>114551984474.97</v>
      </c>
      <c r="F58" s="92">
        <f t="shared" si="38"/>
        <v>2.0059380805704359E-2</v>
      </c>
      <c r="G58" s="185" t="s">
        <v>347</v>
      </c>
      <c r="H58" s="100">
        <v>10</v>
      </c>
      <c r="I58" s="185" t="s">
        <v>347</v>
      </c>
      <c r="J58" s="100">
        <v>10</v>
      </c>
      <c r="K58" s="93">
        <v>10795</v>
      </c>
      <c r="L58" s="94">
        <v>0.1651</v>
      </c>
      <c r="M58" s="94">
        <v>0.1651</v>
      </c>
      <c r="N58" s="185" t="s">
        <v>347</v>
      </c>
      <c r="O58" s="112">
        <v>115103271621.84</v>
      </c>
      <c r="P58" s="92">
        <f t="shared" si="39"/>
        <v>2.0155917577747554E-2</v>
      </c>
      <c r="Q58" s="185" t="s">
        <v>347</v>
      </c>
      <c r="R58" s="100">
        <v>10</v>
      </c>
      <c r="S58" s="185" t="s">
        <v>347</v>
      </c>
      <c r="T58" s="100">
        <v>10</v>
      </c>
      <c r="U58" s="93">
        <v>10867</v>
      </c>
      <c r="V58" s="94">
        <v>0.17630000000000001</v>
      </c>
      <c r="W58" s="94">
        <v>0.17630000000000001</v>
      </c>
      <c r="X58" s="202">
        <f t="shared" si="19"/>
        <v>4.8125499474908984E-3</v>
      </c>
      <c r="Y58" s="202">
        <f t="shared" si="20"/>
        <v>0</v>
      </c>
      <c r="Z58" s="202">
        <f t="shared" si="21"/>
        <v>6.6697545159796201E-3</v>
      </c>
      <c r="AA58" s="200">
        <f t="shared" si="22"/>
        <v>1.1200000000000015E-2</v>
      </c>
      <c r="AB58" s="201">
        <f t="shared" si="23"/>
        <v>1.1200000000000015E-2</v>
      </c>
    </row>
    <row r="59" spans="1:28">
      <c r="A59" s="175">
        <v>51</v>
      </c>
      <c r="B59" s="85" t="s">
        <v>324</v>
      </c>
      <c r="C59" s="86" t="s">
        <v>323</v>
      </c>
      <c r="D59" s="184" t="s">
        <v>347</v>
      </c>
      <c r="E59" s="112">
        <v>442355757.5</v>
      </c>
      <c r="F59" s="92">
        <f t="shared" si="38"/>
        <v>7.7461622615775609E-5</v>
      </c>
      <c r="G59" s="185" t="s">
        <v>347</v>
      </c>
      <c r="H59" s="100">
        <v>1</v>
      </c>
      <c r="I59" s="185" t="s">
        <v>347</v>
      </c>
      <c r="J59" s="100">
        <v>1</v>
      </c>
      <c r="K59" s="93">
        <v>236</v>
      </c>
      <c r="L59" s="94">
        <v>0.181201</v>
      </c>
      <c r="M59" s="94">
        <v>0.181201</v>
      </c>
      <c r="N59" s="185" t="s">
        <v>347</v>
      </c>
      <c r="O59" s="112">
        <v>440629443.25</v>
      </c>
      <c r="P59" s="92">
        <f t="shared" si="39"/>
        <v>7.7159324972572138E-5</v>
      </c>
      <c r="Q59" s="185" t="s">
        <v>347</v>
      </c>
      <c r="R59" s="100">
        <v>1</v>
      </c>
      <c r="S59" s="185" t="s">
        <v>347</v>
      </c>
      <c r="T59" s="100">
        <v>1</v>
      </c>
      <c r="U59" s="93">
        <v>236</v>
      </c>
      <c r="V59" s="94">
        <v>0.16786699999999999</v>
      </c>
      <c r="W59" s="94">
        <v>0.16786699999999999</v>
      </c>
      <c r="X59" s="202">
        <f t="shared" ref="X59" si="45">((O59-E59)/E59)</f>
        <v>-3.902547261408709E-3</v>
      </c>
      <c r="Y59" s="202">
        <f t="shared" ref="Y59" si="46">((T59-J59)/J59)</f>
        <v>0</v>
      </c>
      <c r="Z59" s="202">
        <f t="shared" ref="Z59" si="47">((U59-K59)/K59)</f>
        <v>0</v>
      </c>
      <c r="AA59" s="200">
        <f t="shared" ref="AA59" si="48">V59-L59</f>
        <v>-1.3334000000000013E-2</v>
      </c>
      <c r="AB59" s="201">
        <f t="shared" ref="AB59" si="49">W59-M59</f>
        <v>-1.3334000000000013E-2</v>
      </c>
    </row>
    <row r="60" spans="1:28">
      <c r="A60" s="175">
        <v>52</v>
      </c>
      <c r="B60" s="85" t="s">
        <v>97</v>
      </c>
      <c r="C60" s="86" t="s">
        <v>98</v>
      </c>
      <c r="D60" s="184" t="s">
        <v>347</v>
      </c>
      <c r="E60" s="110">
        <v>43717417981</v>
      </c>
      <c r="F60" s="92">
        <f t="shared" si="38"/>
        <v>7.6554268277616907E-3</v>
      </c>
      <c r="G60" s="185" t="s">
        <v>347</v>
      </c>
      <c r="H60" s="100">
        <v>100</v>
      </c>
      <c r="I60" s="185" t="s">
        <v>347</v>
      </c>
      <c r="J60" s="100">
        <v>100</v>
      </c>
      <c r="K60" s="93">
        <v>6311</v>
      </c>
      <c r="L60" s="94">
        <v>0.17510000000000001</v>
      </c>
      <c r="M60" s="94">
        <v>0.17510000000000001</v>
      </c>
      <c r="N60" s="185" t="s">
        <v>347</v>
      </c>
      <c r="O60" s="110">
        <v>43904364894</v>
      </c>
      <c r="P60" s="92">
        <f t="shared" si="39"/>
        <v>7.6881634000306532E-3</v>
      </c>
      <c r="Q60" s="185" t="s">
        <v>347</v>
      </c>
      <c r="R60" s="100">
        <v>100</v>
      </c>
      <c r="S60" s="185" t="s">
        <v>347</v>
      </c>
      <c r="T60" s="100">
        <v>100</v>
      </c>
      <c r="U60" s="93">
        <v>6350</v>
      </c>
      <c r="V60" s="94">
        <v>0.17510000000000001</v>
      </c>
      <c r="W60" s="94">
        <v>0.17510000000000001</v>
      </c>
      <c r="X60" s="202">
        <f t="shared" si="19"/>
        <v>4.2762569619561909E-3</v>
      </c>
      <c r="Y60" s="202">
        <f t="shared" si="20"/>
        <v>0</v>
      </c>
      <c r="Z60" s="202">
        <f t="shared" si="21"/>
        <v>6.1796862620820793E-3</v>
      </c>
      <c r="AA60" s="200">
        <f t="shared" si="22"/>
        <v>0</v>
      </c>
      <c r="AB60" s="201">
        <f t="shared" si="23"/>
        <v>0</v>
      </c>
    </row>
    <row r="61" spans="1:28">
      <c r="A61" s="175">
        <v>53</v>
      </c>
      <c r="B61" s="85" t="s">
        <v>99</v>
      </c>
      <c r="C61" s="86" t="s">
        <v>100</v>
      </c>
      <c r="D61" s="184" t="s">
        <v>347</v>
      </c>
      <c r="E61" s="110">
        <v>180116817.41</v>
      </c>
      <c r="F61" s="92">
        <f t="shared" si="38"/>
        <v>3.1540543330597391E-5</v>
      </c>
      <c r="G61" s="185" t="s">
        <v>347</v>
      </c>
      <c r="H61" s="100">
        <v>1.01</v>
      </c>
      <c r="I61" s="185" t="s">
        <v>347</v>
      </c>
      <c r="J61" s="100">
        <v>1.01</v>
      </c>
      <c r="K61" s="93">
        <v>104</v>
      </c>
      <c r="L61" s="94">
        <v>0.1575</v>
      </c>
      <c r="M61" s="94">
        <v>0.1575</v>
      </c>
      <c r="N61" s="185" t="s">
        <v>347</v>
      </c>
      <c r="O61" s="110">
        <v>182735653.08000001</v>
      </c>
      <c r="P61" s="92">
        <f t="shared" si="39"/>
        <v>3.1999131823960164E-5</v>
      </c>
      <c r="Q61" s="185" t="s">
        <v>347</v>
      </c>
      <c r="R61" s="100">
        <v>1.01</v>
      </c>
      <c r="S61" s="185" t="s">
        <v>347</v>
      </c>
      <c r="T61" s="100">
        <v>1.01</v>
      </c>
      <c r="U61" s="93">
        <v>106</v>
      </c>
      <c r="V61" s="94">
        <v>0.155</v>
      </c>
      <c r="W61" s="94">
        <v>0.155</v>
      </c>
      <c r="X61" s="202">
        <f t="shared" si="19"/>
        <v>1.4539651031245793E-2</v>
      </c>
      <c r="Y61" s="202">
        <f t="shared" si="20"/>
        <v>0</v>
      </c>
      <c r="Z61" s="202">
        <f t="shared" si="21"/>
        <v>1.9230769230769232E-2</v>
      </c>
      <c r="AA61" s="200">
        <f t="shared" si="22"/>
        <v>-2.5000000000000022E-3</v>
      </c>
      <c r="AB61" s="201">
        <f t="shared" si="23"/>
        <v>-2.5000000000000022E-3</v>
      </c>
    </row>
    <row r="62" spans="1:28">
      <c r="A62" s="175">
        <v>54</v>
      </c>
      <c r="B62" s="85" t="s">
        <v>101</v>
      </c>
      <c r="C62" s="86" t="s">
        <v>42</v>
      </c>
      <c r="D62" s="184" t="s">
        <v>347</v>
      </c>
      <c r="E62" s="112">
        <v>2844654154.3899999</v>
      </c>
      <c r="F62" s="92">
        <f t="shared" si="38"/>
        <v>4.9813192852984727E-4</v>
      </c>
      <c r="G62" s="185" t="s">
        <v>347</v>
      </c>
      <c r="H62" s="100">
        <v>10</v>
      </c>
      <c r="I62" s="185" t="s">
        <v>347</v>
      </c>
      <c r="J62" s="100">
        <v>10</v>
      </c>
      <c r="K62" s="93">
        <v>995</v>
      </c>
      <c r="L62" s="94">
        <v>0.1658</v>
      </c>
      <c r="M62" s="94">
        <v>0.1658</v>
      </c>
      <c r="N62" s="185" t="s">
        <v>347</v>
      </c>
      <c r="O62" s="112">
        <v>2863436758.1100001</v>
      </c>
      <c r="P62" s="92">
        <f t="shared" si="39"/>
        <v>5.0142098024090205E-4</v>
      </c>
      <c r="Q62" s="185" t="s">
        <v>347</v>
      </c>
      <c r="R62" s="100">
        <v>10</v>
      </c>
      <c r="S62" s="185" t="s">
        <v>347</v>
      </c>
      <c r="T62" s="100">
        <v>10</v>
      </c>
      <c r="U62" s="93">
        <v>995</v>
      </c>
      <c r="V62" s="94">
        <v>0.1532</v>
      </c>
      <c r="W62" s="94">
        <v>0.1532</v>
      </c>
      <c r="X62" s="202">
        <f t="shared" si="19"/>
        <v>6.6027723233118155E-3</v>
      </c>
      <c r="Y62" s="202">
        <f t="shared" si="20"/>
        <v>0</v>
      </c>
      <c r="Z62" s="202">
        <f t="shared" si="21"/>
        <v>0</v>
      </c>
      <c r="AA62" s="200">
        <f t="shared" si="22"/>
        <v>-1.26E-2</v>
      </c>
      <c r="AB62" s="201">
        <f t="shared" si="23"/>
        <v>-1.26E-2</v>
      </c>
    </row>
    <row r="63" spans="1:28">
      <c r="A63" s="175">
        <v>55</v>
      </c>
      <c r="B63" s="85" t="s">
        <v>102</v>
      </c>
      <c r="C63" s="86" t="s">
        <v>103</v>
      </c>
      <c r="D63" s="184" t="s">
        <v>347</v>
      </c>
      <c r="E63" s="112">
        <v>1713173215</v>
      </c>
      <c r="F63" s="92">
        <f t="shared" si="38"/>
        <v>2.9999649559389992E-4</v>
      </c>
      <c r="G63" s="185" t="s">
        <v>347</v>
      </c>
      <c r="H63" s="100">
        <v>1</v>
      </c>
      <c r="I63" s="185" t="s">
        <v>347</v>
      </c>
      <c r="J63" s="100">
        <v>1</v>
      </c>
      <c r="K63" s="93">
        <v>246</v>
      </c>
      <c r="L63" s="94">
        <v>0.18690000000000001</v>
      </c>
      <c r="M63" s="94">
        <v>0.18690000000000001</v>
      </c>
      <c r="N63" s="185" t="s">
        <v>347</v>
      </c>
      <c r="O63" s="112">
        <v>1699336765</v>
      </c>
      <c r="P63" s="92">
        <f t="shared" si="39"/>
        <v>2.9757357275392299E-4</v>
      </c>
      <c r="Q63" s="185" t="s">
        <v>347</v>
      </c>
      <c r="R63" s="100">
        <v>1</v>
      </c>
      <c r="S63" s="185" t="s">
        <v>347</v>
      </c>
      <c r="T63" s="100">
        <v>1</v>
      </c>
      <c r="U63" s="93">
        <v>251</v>
      </c>
      <c r="V63" s="94">
        <v>0.19409999999999999</v>
      </c>
      <c r="W63" s="94">
        <v>0.19409999999999999</v>
      </c>
      <c r="X63" s="202">
        <f t="shared" si="19"/>
        <v>-8.0765038110871927E-3</v>
      </c>
      <c r="Y63" s="202">
        <f t="shared" si="20"/>
        <v>0</v>
      </c>
      <c r="Z63" s="202">
        <f t="shared" si="21"/>
        <v>2.032520325203252E-2</v>
      </c>
      <c r="AA63" s="200">
        <f t="shared" si="22"/>
        <v>7.1999999999999842E-3</v>
      </c>
      <c r="AB63" s="201">
        <f t="shared" si="23"/>
        <v>7.1999999999999842E-3</v>
      </c>
    </row>
    <row r="64" spans="1:28">
      <c r="A64" s="175">
        <v>56</v>
      </c>
      <c r="B64" s="85" t="s">
        <v>104</v>
      </c>
      <c r="C64" s="86" t="s">
        <v>105</v>
      </c>
      <c r="D64" s="184" t="s">
        <v>347</v>
      </c>
      <c r="E64" s="112">
        <v>2526183725.84447</v>
      </c>
      <c r="F64" s="92">
        <f t="shared" si="38"/>
        <v>4.4236406356591457E-4</v>
      </c>
      <c r="G64" s="185" t="s">
        <v>347</v>
      </c>
      <c r="H64" s="100">
        <v>1</v>
      </c>
      <c r="I64" s="185" t="s">
        <v>347</v>
      </c>
      <c r="J64" s="100">
        <v>1</v>
      </c>
      <c r="K64" s="93">
        <v>2775</v>
      </c>
      <c r="L64" s="94">
        <v>0.16070000000000001</v>
      </c>
      <c r="M64" s="94">
        <v>0.16070000000000001</v>
      </c>
      <c r="N64" s="185" t="s">
        <v>347</v>
      </c>
      <c r="O64" s="112">
        <v>2389908593.6181798</v>
      </c>
      <c r="P64" s="92">
        <f t="shared" si="39"/>
        <v>4.185007076912534E-4</v>
      </c>
      <c r="Q64" s="185" t="s">
        <v>347</v>
      </c>
      <c r="R64" s="100">
        <v>1</v>
      </c>
      <c r="S64" s="185" t="s">
        <v>347</v>
      </c>
      <c r="T64" s="100">
        <v>1</v>
      </c>
      <c r="U64" s="93">
        <v>2831</v>
      </c>
      <c r="V64" s="94">
        <v>0.16719999999999999</v>
      </c>
      <c r="W64" s="94">
        <v>0.16719999999999999</v>
      </c>
      <c r="X64" s="202">
        <f t="shared" si="19"/>
        <v>-5.3945059827639905E-2</v>
      </c>
      <c r="Y64" s="202">
        <f t="shared" si="20"/>
        <v>0</v>
      </c>
      <c r="Z64" s="202">
        <f t="shared" si="21"/>
        <v>2.0180180180180179E-2</v>
      </c>
      <c r="AA64" s="200">
        <f t="shared" si="22"/>
        <v>6.499999999999978E-3</v>
      </c>
      <c r="AB64" s="201">
        <f t="shared" si="23"/>
        <v>6.499999999999978E-3</v>
      </c>
    </row>
    <row r="65" spans="1:28">
      <c r="A65" s="175">
        <v>57</v>
      </c>
      <c r="B65" s="85" t="s">
        <v>106</v>
      </c>
      <c r="C65" s="86" t="s">
        <v>107</v>
      </c>
      <c r="D65" s="184" t="s">
        <v>347</v>
      </c>
      <c r="E65" s="112">
        <v>15530435020.821501</v>
      </c>
      <c r="F65" s="92">
        <f t="shared" si="38"/>
        <v>2.7195592602673431E-3</v>
      </c>
      <c r="G65" s="185" t="s">
        <v>347</v>
      </c>
      <c r="H65" s="100">
        <v>100</v>
      </c>
      <c r="I65" s="185" t="s">
        <v>347</v>
      </c>
      <c r="J65" s="100">
        <v>100</v>
      </c>
      <c r="K65" s="93">
        <v>164</v>
      </c>
      <c r="L65" s="94">
        <v>0.15640000000000001</v>
      </c>
      <c r="M65" s="94">
        <v>0.15640000000000001</v>
      </c>
      <c r="N65" s="185" t="s">
        <v>347</v>
      </c>
      <c r="O65" s="112">
        <v>15449966963.912399</v>
      </c>
      <c r="P65" s="92">
        <f t="shared" si="39"/>
        <v>2.7054683704094951E-3</v>
      </c>
      <c r="Q65" s="185" t="s">
        <v>347</v>
      </c>
      <c r="R65" s="100">
        <v>100</v>
      </c>
      <c r="S65" s="185" t="s">
        <v>347</v>
      </c>
      <c r="T65" s="100">
        <v>100</v>
      </c>
      <c r="U65" s="93">
        <v>164</v>
      </c>
      <c r="V65" s="94">
        <v>0.15559999999999999</v>
      </c>
      <c r="W65" s="94">
        <v>0.15559999999999999</v>
      </c>
      <c r="X65" s="202">
        <f t="shared" si="19"/>
        <v>-5.1813137752560546E-3</v>
      </c>
      <c r="Y65" s="202">
        <f t="shared" si="20"/>
        <v>0</v>
      </c>
      <c r="Z65" s="202">
        <f t="shared" si="21"/>
        <v>0</v>
      </c>
      <c r="AA65" s="200">
        <f t="shared" si="22"/>
        <v>-8.0000000000002292E-4</v>
      </c>
      <c r="AB65" s="201">
        <f t="shared" si="23"/>
        <v>-8.0000000000002292E-4</v>
      </c>
    </row>
    <row r="66" spans="1:28">
      <c r="A66" s="175">
        <v>58</v>
      </c>
      <c r="B66" s="85" t="s">
        <v>315</v>
      </c>
      <c r="C66" s="86" t="s">
        <v>73</v>
      </c>
      <c r="D66" s="184" t="s">
        <v>347</v>
      </c>
      <c r="E66" s="112">
        <v>123629559.54000001</v>
      </c>
      <c r="F66" s="92">
        <f t="shared" si="38"/>
        <v>2.1648969461513207E-5</v>
      </c>
      <c r="G66" s="185" t="s">
        <v>347</v>
      </c>
      <c r="H66" s="100">
        <v>1000</v>
      </c>
      <c r="I66" s="185" t="s">
        <v>347</v>
      </c>
      <c r="J66" s="100">
        <v>1000</v>
      </c>
      <c r="K66" s="93">
        <v>30</v>
      </c>
      <c r="L66" s="94">
        <v>0.2341</v>
      </c>
      <c r="M66" s="94">
        <v>0.2341</v>
      </c>
      <c r="N66" s="185" t="s">
        <v>347</v>
      </c>
      <c r="O66" s="112">
        <v>124141347.12</v>
      </c>
      <c r="P66" s="92">
        <f t="shared" si="39"/>
        <v>2.1738589401367615E-5</v>
      </c>
      <c r="Q66" s="185" t="s">
        <v>347</v>
      </c>
      <c r="R66" s="100">
        <v>1000</v>
      </c>
      <c r="S66" s="185" t="s">
        <v>347</v>
      </c>
      <c r="T66" s="100">
        <v>1000</v>
      </c>
      <c r="U66" s="93">
        <v>30</v>
      </c>
      <c r="V66" s="94">
        <v>0.224</v>
      </c>
      <c r="W66" s="94">
        <v>0.224</v>
      </c>
      <c r="X66" s="202">
        <f t="shared" si="19"/>
        <v>4.1396861875449033E-3</v>
      </c>
      <c r="Y66" s="202">
        <f t="shared" si="20"/>
        <v>0</v>
      </c>
      <c r="Z66" s="202">
        <f t="shared" si="21"/>
        <v>0</v>
      </c>
      <c r="AA66" s="200">
        <f t="shared" si="22"/>
        <v>-1.0099999999999998E-2</v>
      </c>
      <c r="AB66" s="201">
        <f t="shared" si="23"/>
        <v>-1.0099999999999998E-2</v>
      </c>
    </row>
    <row r="67" spans="1:28">
      <c r="A67" s="175">
        <v>59</v>
      </c>
      <c r="B67" s="85" t="s">
        <v>317</v>
      </c>
      <c r="C67" s="86" t="s">
        <v>31</v>
      </c>
      <c r="D67" s="184" t="s">
        <v>347</v>
      </c>
      <c r="E67" s="97">
        <v>2138468968</v>
      </c>
      <c r="F67" s="92">
        <f t="shared" si="38"/>
        <v>3.7447071359699243E-4</v>
      </c>
      <c r="G67" s="185" t="s">
        <v>347</v>
      </c>
      <c r="H67" s="91">
        <v>1</v>
      </c>
      <c r="I67" s="185" t="s">
        <v>347</v>
      </c>
      <c r="J67" s="91">
        <v>1</v>
      </c>
      <c r="K67" s="93">
        <v>345</v>
      </c>
      <c r="L67" s="94">
        <v>0.1772</v>
      </c>
      <c r="M67" s="94">
        <v>0.1772</v>
      </c>
      <c r="N67" s="185" t="s">
        <v>347</v>
      </c>
      <c r="O67" s="97">
        <v>2138468968</v>
      </c>
      <c r="P67" s="92">
        <f t="shared" si="39"/>
        <v>3.7447071359699243E-4</v>
      </c>
      <c r="Q67" s="185" t="s">
        <v>347</v>
      </c>
      <c r="R67" s="91">
        <v>1</v>
      </c>
      <c r="S67" s="185" t="s">
        <v>347</v>
      </c>
      <c r="T67" s="91">
        <v>1</v>
      </c>
      <c r="U67" s="93">
        <v>345</v>
      </c>
      <c r="V67" s="94">
        <v>0.1772</v>
      </c>
      <c r="W67" s="94">
        <v>0.1772</v>
      </c>
      <c r="X67" s="202">
        <f t="shared" si="19"/>
        <v>0</v>
      </c>
      <c r="Y67" s="202">
        <f t="shared" si="20"/>
        <v>0</v>
      </c>
      <c r="Z67" s="202">
        <f t="shared" si="21"/>
        <v>0</v>
      </c>
      <c r="AA67" s="200">
        <f t="shared" si="22"/>
        <v>0</v>
      </c>
      <c r="AB67" s="201">
        <f t="shared" si="23"/>
        <v>0</v>
      </c>
    </row>
    <row r="68" spans="1:28">
      <c r="A68" s="175">
        <v>60</v>
      </c>
      <c r="B68" s="85" t="s">
        <v>108</v>
      </c>
      <c r="C68" s="86" t="s">
        <v>46</v>
      </c>
      <c r="D68" s="184" t="s">
        <v>347</v>
      </c>
      <c r="E68" s="110">
        <v>2758605992071.6001</v>
      </c>
      <c r="F68" s="92">
        <f t="shared" si="38"/>
        <v>0.48306389750893558</v>
      </c>
      <c r="G68" s="185" t="s">
        <v>347</v>
      </c>
      <c r="H68" s="100">
        <v>100</v>
      </c>
      <c r="I68" s="185" t="s">
        <v>347</v>
      </c>
      <c r="J68" s="100">
        <v>100</v>
      </c>
      <c r="K68" s="93">
        <v>319111</v>
      </c>
      <c r="L68" s="94">
        <v>0.1542</v>
      </c>
      <c r="M68" s="94">
        <v>0.1542</v>
      </c>
      <c r="N68" s="185" t="s">
        <v>347</v>
      </c>
      <c r="O68" s="110">
        <v>2780811192641.2798</v>
      </c>
      <c r="P68" s="92">
        <f>(O68/$O$76)</f>
        <v>0.48695228561618464</v>
      </c>
      <c r="Q68" s="185" t="s">
        <v>347</v>
      </c>
      <c r="R68" s="100">
        <v>100</v>
      </c>
      <c r="S68" s="185" t="s">
        <v>347</v>
      </c>
      <c r="T68" s="100">
        <v>100</v>
      </c>
      <c r="U68" s="93">
        <v>322440</v>
      </c>
      <c r="V68" s="94">
        <v>0.1525</v>
      </c>
      <c r="W68" s="94">
        <v>0.1525</v>
      </c>
      <c r="X68" s="202">
        <f t="shared" si="19"/>
        <v>8.0494280928478986E-3</v>
      </c>
      <c r="Y68" s="202">
        <f t="shared" si="20"/>
        <v>0</v>
      </c>
      <c r="Z68" s="202">
        <f t="shared" si="21"/>
        <v>1.043210669641598E-2</v>
      </c>
      <c r="AA68" s="200">
        <f t="shared" si="22"/>
        <v>-1.7000000000000071E-3</v>
      </c>
      <c r="AB68" s="201">
        <f t="shared" si="23"/>
        <v>-1.7000000000000071E-3</v>
      </c>
    </row>
    <row r="69" spans="1:28">
      <c r="A69" s="175">
        <v>61</v>
      </c>
      <c r="B69" s="85" t="s">
        <v>109</v>
      </c>
      <c r="C69" s="85" t="s">
        <v>110</v>
      </c>
      <c r="D69" s="184" t="s">
        <v>347</v>
      </c>
      <c r="E69" s="110">
        <v>13541455741.469999</v>
      </c>
      <c r="F69" s="92">
        <f t="shared" si="38"/>
        <v>2.3712659246081522E-3</v>
      </c>
      <c r="G69" s="185" t="s">
        <v>347</v>
      </c>
      <c r="H69" s="100">
        <v>100</v>
      </c>
      <c r="I69" s="185" t="s">
        <v>347</v>
      </c>
      <c r="J69" s="100">
        <v>100</v>
      </c>
      <c r="K69" s="93">
        <v>1508</v>
      </c>
      <c r="L69" s="94">
        <v>0.19409999999999999</v>
      </c>
      <c r="M69" s="94">
        <v>0.19409999999999999</v>
      </c>
      <c r="N69" s="185" t="s">
        <v>347</v>
      </c>
      <c r="O69" s="110">
        <v>13600641156.65</v>
      </c>
      <c r="P69" s="92">
        <f t="shared" ref="P69:P75" si="50">(O69/$O$76)</f>
        <v>2.3816299771095622E-3</v>
      </c>
      <c r="Q69" s="185" t="s">
        <v>347</v>
      </c>
      <c r="R69" s="100">
        <v>100</v>
      </c>
      <c r="S69" s="185" t="s">
        <v>347</v>
      </c>
      <c r="T69" s="100">
        <v>100</v>
      </c>
      <c r="U69" s="93">
        <v>1540</v>
      </c>
      <c r="V69" s="94">
        <v>0.19470000000000001</v>
      </c>
      <c r="W69" s="94">
        <v>0.19470000000000001</v>
      </c>
      <c r="X69" s="202">
        <f t="shared" si="19"/>
        <v>4.3706833526581685E-3</v>
      </c>
      <c r="Y69" s="202">
        <f t="shared" si="20"/>
        <v>0</v>
      </c>
      <c r="Z69" s="202">
        <f t="shared" si="21"/>
        <v>2.1220159151193633E-2</v>
      </c>
      <c r="AA69" s="200">
        <f t="shared" si="22"/>
        <v>6.0000000000001719E-4</v>
      </c>
      <c r="AB69" s="201">
        <f t="shared" si="23"/>
        <v>6.0000000000001719E-4</v>
      </c>
    </row>
    <row r="70" spans="1:28">
      <c r="A70" s="175">
        <v>62</v>
      </c>
      <c r="B70" s="176" t="s">
        <v>111</v>
      </c>
      <c r="C70" s="86" t="s">
        <v>112</v>
      </c>
      <c r="D70" s="184" t="s">
        <v>347</v>
      </c>
      <c r="E70" s="110">
        <v>16042415585.65</v>
      </c>
      <c r="F70" s="92">
        <f t="shared" si="38"/>
        <v>2.8092129940030385E-3</v>
      </c>
      <c r="G70" s="185" t="s">
        <v>347</v>
      </c>
      <c r="H70" s="100">
        <v>1</v>
      </c>
      <c r="I70" s="185" t="s">
        <v>347</v>
      </c>
      <c r="J70" s="100">
        <v>1</v>
      </c>
      <c r="K70" s="93">
        <v>883</v>
      </c>
      <c r="L70" s="94">
        <v>0.18839800000000001</v>
      </c>
      <c r="M70" s="94">
        <v>0.18839800000000001</v>
      </c>
      <c r="N70" s="185" t="s">
        <v>347</v>
      </c>
      <c r="O70" s="110">
        <v>16212404655.809999</v>
      </c>
      <c r="P70" s="92">
        <f t="shared" si="50"/>
        <v>2.8389800513506317E-3</v>
      </c>
      <c r="Q70" s="185" t="s">
        <v>347</v>
      </c>
      <c r="R70" s="100">
        <v>1</v>
      </c>
      <c r="S70" s="185" t="s">
        <v>347</v>
      </c>
      <c r="T70" s="100">
        <v>1</v>
      </c>
      <c r="U70" s="93">
        <v>895</v>
      </c>
      <c r="V70" s="94">
        <v>0.189915</v>
      </c>
      <c r="W70" s="94">
        <v>0.189915</v>
      </c>
      <c r="X70" s="202">
        <f t="shared" si="19"/>
        <v>1.0596226562791185E-2</v>
      </c>
      <c r="Y70" s="202">
        <f t="shared" si="20"/>
        <v>0</v>
      </c>
      <c r="Z70" s="202">
        <f t="shared" si="21"/>
        <v>1.3590033975084938E-2</v>
      </c>
      <c r="AA70" s="200">
        <f t="shared" si="22"/>
        <v>1.5169999999999906E-3</v>
      </c>
      <c r="AB70" s="201">
        <f t="shared" si="23"/>
        <v>1.5169999999999906E-3</v>
      </c>
    </row>
    <row r="71" spans="1:28">
      <c r="A71" s="175">
        <v>63</v>
      </c>
      <c r="B71" s="85" t="s">
        <v>113</v>
      </c>
      <c r="C71" s="86" t="s">
        <v>49</v>
      </c>
      <c r="D71" s="184" t="s">
        <v>347</v>
      </c>
      <c r="E71" s="110">
        <v>224411963960.70999</v>
      </c>
      <c r="F71" s="92">
        <f t="shared" si="38"/>
        <v>3.9297137130151524E-2</v>
      </c>
      <c r="G71" s="185" t="s">
        <v>347</v>
      </c>
      <c r="H71" s="100">
        <v>1</v>
      </c>
      <c r="I71" s="185" t="s">
        <v>347</v>
      </c>
      <c r="J71" s="100">
        <v>1</v>
      </c>
      <c r="K71" s="93">
        <v>86873</v>
      </c>
      <c r="L71" s="94">
        <v>0.15490000000000001</v>
      </c>
      <c r="M71" s="94">
        <v>0.15490000000000001</v>
      </c>
      <c r="N71" s="185" t="s">
        <v>347</v>
      </c>
      <c r="O71" s="110">
        <v>226018705688.22</v>
      </c>
      <c r="P71" s="92">
        <f t="shared" si="50"/>
        <v>3.9578496238125607E-2</v>
      </c>
      <c r="Q71" s="185" t="s">
        <v>347</v>
      </c>
      <c r="R71" s="100">
        <v>1</v>
      </c>
      <c r="S71" s="185" t="s">
        <v>347</v>
      </c>
      <c r="T71" s="100">
        <v>1</v>
      </c>
      <c r="U71" s="93">
        <v>88320</v>
      </c>
      <c r="V71" s="94">
        <v>0.1537</v>
      </c>
      <c r="W71" s="94">
        <v>0.1537</v>
      </c>
      <c r="X71" s="202">
        <f t="shared" si="19"/>
        <v>7.1597863997630616E-3</v>
      </c>
      <c r="Y71" s="202">
        <f t="shared" si="20"/>
        <v>0</v>
      </c>
      <c r="Z71" s="202">
        <f t="shared" si="21"/>
        <v>1.6656498566873481E-2</v>
      </c>
      <c r="AA71" s="200">
        <f t="shared" si="22"/>
        <v>-1.2000000000000066E-3</v>
      </c>
      <c r="AB71" s="201">
        <f t="shared" si="23"/>
        <v>-1.2000000000000066E-3</v>
      </c>
    </row>
    <row r="72" spans="1:28">
      <c r="A72" s="175">
        <v>64</v>
      </c>
      <c r="B72" s="85" t="s">
        <v>114</v>
      </c>
      <c r="C72" s="86" t="s">
        <v>115</v>
      </c>
      <c r="D72" s="184" t="s">
        <v>347</v>
      </c>
      <c r="E72" s="112">
        <v>2781481544.79</v>
      </c>
      <c r="F72" s="92">
        <f t="shared" si="38"/>
        <v>4.8706967205070807E-4</v>
      </c>
      <c r="G72" s="185" t="s">
        <v>347</v>
      </c>
      <c r="H72" s="100">
        <v>1</v>
      </c>
      <c r="I72" s="185" t="s">
        <v>347</v>
      </c>
      <c r="J72" s="100">
        <v>1</v>
      </c>
      <c r="K72" s="93">
        <v>166</v>
      </c>
      <c r="L72" s="94">
        <v>0.14949999999999999</v>
      </c>
      <c r="M72" s="94">
        <v>0.14949999999999999</v>
      </c>
      <c r="N72" s="185" t="s">
        <v>347</v>
      </c>
      <c r="O72" s="112">
        <v>2762874433.2600002</v>
      </c>
      <c r="P72" s="92">
        <f t="shared" si="50"/>
        <v>4.8381135105709811E-4</v>
      </c>
      <c r="Q72" s="185" t="s">
        <v>347</v>
      </c>
      <c r="R72" s="100">
        <v>1</v>
      </c>
      <c r="S72" s="185" t="s">
        <v>347</v>
      </c>
      <c r="T72" s="100">
        <v>1</v>
      </c>
      <c r="U72" s="93">
        <v>167</v>
      </c>
      <c r="V72" s="94">
        <v>0.15049999999999999</v>
      </c>
      <c r="W72" s="94">
        <v>0.15049999999999999</v>
      </c>
      <c r="X72" s="202">
        <f t="shared" si="19"/>
        <v>-6.6896404776989301E-3</v>
      </c>
      <c r="Y72" s="202">
        <f t="shared" si="20"/>
        <v>0</v>
      </c>
      <c r="Z72" s="202">
        <f t="shared" si="21"/>
        <v>6.024096385542169E-3</v>
      </c>
      <c r="AA72" s="200">
        <f t="shared" si="22"/>
        <v>1.0000000000000009E-3</v>
      </c>
      <c r="AB72" s="201">
        <f t="shared" si="23"/>
        <v>1.0000000000000009E-3</v>
      </c>
    </row>
    <row r="73" spans="1:28">
      <c r="A73" s="175">
        <v>65</v>
      </c>
      <c r="B73" s="85" t="s">
        <v>116</v>
      </c>
      <c r="C73" s="86" t="s">
        <v>117</v>
      </c>
      <c r="D73" s="184" t="s">
        <v>347</v>
      </c>
      <c r="E73" s="110">
        <v>9547402758.2000008</v>
      </c>
      <c r="F73" s="92">
        <f t="shared" si="38"/>
        <v>1.671860932920046E-3</v>
      </c>
      <c r="G73" s="185" t="s">
        <v>347</v>
      </c>
      <c r="H73" s="100">
        <v>1</v>
      </c>
      <c r="I73" s="185" t="s">
        <v>347</v>
      </c>
      <c r="J73" s="100">
        <v>1</v>
      </c>
      <c r="K73" s="93">
        <v>661</v>
      </c>
      <c r="L73" s="94">
        <v>0.1542</v>
      </c>
      <c r="M73" s="94">
        <v>0.1542</v>
      </c>
      <c r="N73" s="185" t="s">
        <v>347</v>
      </c>
      <c r="O73" s="110">
        <v>10331283881.049999</v>
      </c>
      <c r="P73" s="92">
        <f>(O73/$O$76)</f>
        <v>1.8091276072751028E-3</v>
      </c>
      <c r="Q73" s="185" t="s">
        <v>347</v>
      </c>
      <c r="R73" s="100">
        <v>1</v>
      </c>
      <c r="S73" s="185" t="s">
        <v>347</v>
      </c>
      <c r="T73" s="100">
        <v>1</v>
      </c>
      <c r="U73" s="93">
        <v>669</v>
      </c>
      <c r="V73" s="94">
        <v>0.1613</v>
      </c>
      <c r="W73" s="94">
        <v>0.1613</v>
      </c>
      <c r="X73" s="202">
        <f t="shared" si="19"/>
        <v>8.2104122210278033E-2</v>
      </c>
      <c r="Y73" s="202">
        <f t="shared" si="20"/>
        <v>0</v>
      </c>
      <c r="Z73" s="202">
        <f t="shared" si="21"/>
        <v>1.2102874432677761E-2</v>
      </c>
      <c r="AA73" s="200">
        <f t="shared" si="22"/>
        <v>7.0999999999999952E-3</v>
      </c>
      <c r="AB73" s="201">
        <f t="shared" si="23"/>
        <v>7.0999999999999952E-3</v>
      </c>
    </row>
    <row r="74" spans="1:28">
      <c r="A74" s="175">
        <v>66</v>
      </c>
      <c r="B74" s="85" t="s">
        <v>118</v>
      </c>
      <c r="C74" s="86" t="s">
        <v>119</v>
      </c>
      <c r="D74" s="184" t="s">
        <v>347</v>
      </c>
      <c r="E74" s="110">
        <v>15608478961.73</v>
      </c>
      <c r="F74" s="92">
        <f t="shared" si="38"/>
        <v>2.7332256593038747E-3</v>
      </c>
      <c r="G74" s="185" t="s">
        <v>347</v>
      </c>
      <c r="H74" s="100">
        <v>1</v>
      </c>
      <c r="I74" s="185" t="s">
        <v>347</v>
      </c>
      <c r="J74" s="100">
        <v>1</v>
      </c>
      <c r="K74" s="93">
        <v>7144</v>
      </c>
      <c r="L74" s="94">
        <v>0.1754</v>
      </c>
      <c r="M74" s="94">
        <v>0.1754</v>
      </c>
      <c r="N74" s="185" t="s">
        <v>347</v>
      </c>
      <c r="O74" s="110">
        <v>15483221600.379999</v>
      </c>
      <c r="P74" s="92">
        <f t="shared" si="50"/>
        <v>2.7112916428697342E-3</v>
      </c>
      <c r="Q74" s="185" t="s">
        <v>347</v>
      </c>
      <c r="R74" s="100">
        <v>1</v>
      </c>
      <c r="S74" s="185" t="s">
        <v>347</v>
      </c>
      <c r="T74" s="100">
        <v>1</v>
      </c>
      <c r="U74" s="93">
        <v>7298</v>
      </c>
      <c r="V74" s="94">
        <v>0.1772</v>
      </c>
      <c r="W74" s="94">
        <v>0.1772</v>
      </c>
      <c r="X74" s="202">
        <f t="shared" si="19"/>
        <v>-8.0249562854340564E-3</v>
      </c>
      <c r="Y74" s="202">
        <f t="shared" si="20"/>
        <v>0</v>
      </c>
      <c r="Z74" s="202">
        <f t="shared" si="21"/>
        <v>2.1556550951847706E-2</v>
      </c>
      <c r="AA74" s="200">
        <f t="shared" si="22"/>
        <v>1.799999999999996E-3</v>
      </c>
      <c r="AB74" s="201">
        <f t="shared" si="23"/>
        <v>1.799999999999996E-3</v>
      </c>
    </row>
    <row r="75" spans="1:28">
      <c r="A75" s="175">
        <v>67</v>
      </c>
      <c r="B75" s="85" t="s">
        <v>120</v>
      </c>
      <c r="C75" s="86" t="s">
        <v>121</v>
      </c>
      <c r="D75" s="184" t="s">
        <v>347</v>
      </c>
      <c r="E75" s="110">
        <v>149993067641.01001</v>
      </c>
      <c r="F75" s="92">
        <f t="shared" si="38"/>
        <v>2.6265525436481793E-2</v>
      </c>
      <c r="G75" s="185" t="s">
        <v>347</v>
      </c>
      <c r="H75" s="100">
        <v>1</v>
      </c>
      <c r="I75" s="185" t="s">
        <v>347</v>
      </c>
      <c r="J75" s="100">
        <v>1</v>
      </c>
      <c r="K75" s="93">
        <v>8346</v>
      </c>
      <c r="L75" s="94">
        <v>0.16200000000000001</v>
      </c>
      <c r="M75" s="94">
        <v>0.16200000000000001</v>
      </c>
      <c r="N75" s="185" t="s">
        <v>347</v>
      </c>
      <c r="O75" s="110">
        <v>149993067641.01001</v>
      </c>
      <c r="P75" s="92">
        <f t="shared" si="50"/>
        <v>2.6265525436481793E-2</v>
      </c>
      <c r="Q75" s="185" t="s">
        <v>347</v>
      </c>
      <c r="R75" s="100">
        <v>1</v>
      </c>
      <c r="S75" s="185" t="s">
        <v>347</v>
      </c>
      <c r="T75" s="100">
        <v>1</v>
      </c>
      <c r="U75" s="93">
        <v>8405</v>
      </c>
      <c r="V75" s="94">
        <v>0.1605</v>
      </c>
      <c r="W75" s="94">
        <v>0.1605</v>
      </c>
      <c r="X75" s="202">
        <f t="shared" si="19"/>
        <v>0</v>
      </c>
      <c r="Y75" s="202">
        <f t="shared" si="20"/>
        <v>0</v>
      </c>
      <c r="Z75" s="202">
        <f t="shared" si="21"/>
        <v>7.0692547328061349E-3</v>
      </c>
      <c r="AA75" s="200">
        <f t="shared" si="22"/>
        <v>-1.5000000000000013E-3</v>
      </c>
      <c r="AB75" s="201">
        <f t="shared" si="23"/>
        <v>-1.5000000000000013E-3</v>
      </c>
    </row>
    <row r="76" spans="1:28">
      <c r="A76" s="101"/>
      <c r="B76" s="102"/>
      <c r="C76" s="103" t="s">
        <v>52</v>
      </c>
      <c r="D76" s="184" t="s">
        <v>347</v>
      </c>
      <c r="E76" s="117">
        <f>SUM(E29:E75)</f>
        <v>5684681458968.9551</v>
      </c>
      <c r="F76" s="105">
        <f>(E76/$E$238)</f>
        <v>0.64827670216378019</v>
      </c>
      <c r="G76" s="185" t="s">
        <v>347</v>
      </c>
      <c r="H76" s="106"/>
      <c r="I76" s="185"/>
      <c r="J76" s="111"/>
      <c r="K76" s="108">
        <f>SUM(K29:K75)</f>
        <v>733302</v>
      </c>
      <c r="L76" s="118"/>
      <c r="M76" s="118"/>
      <c r="N76" s="185"/>
      <c r="O76" s="117">
        <f>SUM(O29:O75)</f>
        <v>5710644091386.6309</v>
      </c>
      <c r="P76" s="105">
        <f>(O76/$O$238)</f>
        <v>0.64478338974326521</v>
      </c>
      <c r="Q76" s="185"/>
      <c r="R76" s="106"/>
      <c r="S76" s="106"/>
      <c r="T76" s="111"/>
      <c r="U76" s="108">
        <f>SUM(U29:U75)</f>
        <v>741098</v>
      </c>
      <c r="V76" s="118"/>
      <c r="W76" s="118"/>
      <c r="X76" s="202">
        <f t="shared" si="19"/>
        <v>4.5671217648815612E-3</v>
      </c>
      <c r="Y76" s="202" t="e">
        <f t="shared" si="20"/>
        <v>#DIV/0!</v>
      </c>
      <c r="Z76" s="202">
        <f t="shared" si="21"/>
        <v>1.0631363340069986E-2</v>
      </c>
      <c r="AA76" s="200">
        <f t="shared" si="22"/>
        <v>0</v>
      </c>
      <c r="AB76" s="201">
        <f t="shared" si="23"/>
        <v>0</v>
      </c>
    </row>
    <row r="77" spans="1:28" ht="3" customHeight="1">
      <c r="A77" s="101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</row>
    <row r="78" spans="1:28" ht="15" customHeight="1">
      <c r="A78" s="214" t="s">
        <v>122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</row>
    <row r="79" spans="1:28">
      <c r="A79" s="175">
        <v>68</v>
      </c>
      <c r="B79" s="85" t="s">
        <v>123</v>
      </c>
      <c r="C79" s="86" t="s">
        <v>21</v>
      </c>
      <c r="D79" s="184" t="s">
        <v>347</v>
      </c>
      <c r="E79" s="97">
        <v>1139184341.8299999</v>
      </c>
      <c r="F79" s="92">
        <f>(E79/$E$117)</f>
        <v>4.8330634753493574E-3</v>
      </c>
      <c r="G79" s="185" t="s">
        <v>347</v>
      </c>
      <c r="H79" s="119">
        <v>1.7732000000000001</v>
      </c>
      <c r="I79" s="185" t="s">
        <v>347</v>
      </c>
      <c r="J79" s="119">
        <v>1.7732000000000001</v>
      </c>
      <c r="K79" s="93">
        <v>558</v>
      </c>
      <c r="L79" s="94">
        <v>9.0300000000000005E-4</v>
      </c>
      <c r="M79" s="94">
        <v>6.2199999999999998E-2</v>
      </c>
      <c r="N79" s="185" t="s">
        <v>347</v>
      </c>
      <c r="O79" s="97">
        <v>1136195044.04</v>
      </c>
      <c r="P79" s="92">
        <f t="shared" ref="P79:P116" si="51">(O79/$O$117)</f>
        <v>4.8190150700638716E-3</v>
      </c>
      <c r="Q79" s="185" t="s">
        <v>347</v>
      </c>
      <c r="R79" s="119">
        <v>1.7685</v>
      </c>
      <c r="S79" s="185" t="s">
        <v>347</v>
      </c>
      <c r="T79" s="119">
        <v>1.7685</v>
      </c>
      <c r="U79" s="93">
        <v>558</v>
      </c>
      <c r="V79" s="94">
        <v>-4.1110000000000001E-3</v>
      </c>
      <c r="W79" s="94">
        <v>5.9400000000000001E-2</v>
      </c>
      <c r="X79" s="202">
        <f>((O79-E79)/E79)</f>
        <v>-2.6240685376678514E-3</v>
      </c>
      <c r="Y79" s="202">
        <f>((T79-J79)/J79)</f>
        <v>-2.650575231220476E-3</v>
      </c>
      <c r="Z79" s="202">
        <f>((U79-K79)/K79)</f>
        <v>0</v>
      </c>
      <c r="AA79" s="200">
        <f>V79-L79</f>
        <v>-5.0140000000000002E-3</v>
      </c>
      <c r="AB79" s="201">
        <f>W79-M79</f>
        <v>-2.7999999999999969E-3</v>
      </c>
    </row>
    <row r="80" spans="1:28">
      <c r="A80" s="175">
        <v>69</v>
      </c>
      <c r="B80" s="85" t="s">
        <v>124</v>
      </c>
      <c r="C80" s="86" t="s">
        <v>23</v>
      </c>
      <c r="D80" s="184" t="s">
        <v>347</v>
      </c>
      <c r="E80" s="97">
        <v>1202987618.3699999</v>
      </c>
      <c r="F80" s="92">
        <f>(E80/$E$117)</f>
        <v>5.1037530153387554E-3</v>
      </c>
      <c r="G80" s="185" t="s">
        <v>347</v>
      </c>
      <c r="H80" s="119">
        <v>1.3752</v>
      </c>
      <c r="I80" s="185" t="s">
        <v>347</v>
      </c>
      <c r="J80" s="119">
        <v>1.3752</v>
      </c>
      <c r="K80" s="93">
        <v>1528</v>
      </c>
      <c r="L80" s="94">
        <v>0</v>
      </c>
      <c r="M80" s="94">
        <v>0.1108</v>
      </c>
      <c r="N80" s="185" t="s">
        <v>347</v>
      </c>
      <c r="O80" s="97">
        <v>1207586402.4000001</v>
      </c>
      <c r="P80" s="92">
        <f t="shared" si="51"/>
        <v>5.1218117013410794E-3</v>
      </c>
      <c r="Q80" s="185" t="s">
        <v>347</v>
      </c>
      <c r="R80" s="119">
        <v>1.3794999999999999</v>
      </c>
      <c r="S80" s="185" t="s">
        <v>347</v>
      </c>
      <c r="T80" s="119">
        <v>1.3794999999999999</v>
      </c>
      <c r="U80" s="93">
        <v>1532</v>
      </c>
      <c r="V80" s="94">
        <v>0.16300000000000001</v>
      </c>
      <c r="W80" s="94">
        <v>0.1142</v>
      </c>
      <c r="X80" s="202">
        <f t="shared" ref="X80:X117" si="52">((O80-E80)/E80)</f>
        <v>3.8228024626150172E-3</v>
      </c>
      <c r="Y80" s="202">
        <f t="shared" ref="Y80:Y117" si="53">((T80-J80)/J80)</f>
        <v>3.1268179173938124E-3</v>
      </c>
      <c r="Z80" s="202">
        <f t="shared" ref="Z80:Z117" si="54">((U80-K80)/K80)</f>
        <v>2.617801047120419E-3</v>
      </c>
      <c r="AA80" s="200">
        <f t="shared" ref="AA80:AA117" si="55">V80-L80</f>
        <v>0.16300000000000001</v>
      </c>
      <c r="AB80" s="201">
        <f t="shared" ref="AB80:AB117" si="56">W80-M80</f>
        <v>3.4000000000000002E-3</v>
      </c>
    </row>
    <row r="81" spans="1:28">
      <c r="A81" s="175">
        <v>70</v>
      </c>
      <c r="B81" s="85" t="s">
        <v>125</v>
      </c>
      <c r="C81" s="86" t="s">
        <v>23</v>
      </c>
      <c r="D81" s="184" t="s">
        <v>347</v>
      </c>
      <c r="E81" s="97">
        <v>665551500.48000002</v>
      </c>
      <c r="F81" s="92">
        <f>(E81/$E$117)</f>
        <v>2.8236454187621448E-3</v>
      </c>
      <c r="G81" s="185" t="s">
        <v>347</v>
      </c>
      <c r="H81" s="119">
        <v>1.2290000000000001</v>
      </c>
      <c r="I81" s="185" t="s">
        <v>347</v>
      </c>
      <c r="J81" s="119">
        <v>1.2290000000000001</v>
      </c>
      <c r="K81" s="93">
        <v>772</v>
      </c>
      <c r="L81" s="94">
        <v>0.1361</v>
      </c>
      <c r="M81" s="94">
        <v>0.127</v>
      </c>
      <c r="N81" s="185" t="s">
        <v>347</v>
      </c>
      <c r="O81" s="97">
        <v>672095673.5</v>
      </c>
      <c r="P81" s="92">
        <f t="shared" si="51"/>
        <v>2.8506013963982787E-3</v>
      </c>
      <c r="Q81" s="185" t="s">
        <v>347</v>
      </c>
      <c r="R81" s="119">
        <v>1.238</v>
      </c>
      <c r="S81" s="185" t="s">
        <v>347</v>
      </c>
      <c r="T81" s="119">
        <v>1.238</v>
      </c>
      <c r="U81" s="93">
        <v>785</v>
      </c>
      <c r="V81" s="94">
        <v>0.38179999999999997</v>
      </c>
      <c r="W81" s="94">
        <v>0.1426</v>
      </c>
      <c r="X81" s="202">
        <f t="shared" si="52"/>
        <v>9.8327071838622271E-3</v>
      </c>
      <c r="Y81" s="202">
        <f t="shared" si="53"/>
        <v>7.3230268510983696E-3</v>
      </c>
      <c r="Z81" s="202">
        <f t="shared" si="54"/>
        <v>1.683937823834197E-2</v>
      </c>
      <c r="AA81" s="200">
        <f t="shared" si="55"/>
        <v>0.24569999999999997</v>
      </c>
      <c r="AB81" s="201">
        <f t="shared" si="56"/>
        <v>1.5600000000000003E-2</v>
      </c>
    </row>
    <row r="82" spans="1:28">
      <c r="A82" s="175">
        <v>71</v>
      </c>
      <c r="B82" s="85" t="s">
        <v>126</v>
      </c>
      <c r="C82" s="86" t="s">
        <v>60</v>
      </c>
      <c r="D82" s="184" t="s">
        <v>347</v>
      </c>
      <c r="E82" s="97">
        <v>328689583.23000002</v>
      </c>
      <c r="F82" s="92">
        <f>(E82/$E$117)</f>
        <v>1.3944868807490847E-3</v>
      </c>
      <c r="G82" s="185" t="s">
        <v>347</v>
      </c>
      <c r="H82" s="96">
        <v>1252.74</v>
      </c>
      <c r="I82" s="185" t="s">
        <v>347</v>
      </c>
      <c r="J82" s="96">
        <v>1252.74</v>
      </c>
      <c r="K82" s="93">
        <v>287</v>
      </c>
      <c r="L82" s="94">
        <v>1.6999999999999999E-3</v>
      </c>
      <c r="M82" s="94">
        <v>6.9500000000000006E-2</v>
      </c>
      <c r="N82" s="185" t="s">
        <v>347</v>
      </c>
      <c r="O82" s="97">
        <v>328927486.79000002</v>
      </c>
      <c r="P82" s="92">
        <f t="shared" si="51"/>
        <v>1.3951007127817054E-3</v>
      </c>
      <c r="Q82" s="185" t="s">
        <v>347</v>
      </c>
      <c r="R82" s="96">
        <v>1255.23</v>
      </c>
      <c r="S82" s="185" t="s">
        <v>347</v>
      </c>
      <c r="T82" s="96">
        <v>1255.23</v>
      </c>
      <c r="U82" s="93">
        <v>287</v>
      </c>
      <c r="V82" s="94">
        <v>1.4E-3</v>
      </c>
      <c r="W82" s="94">
        <v>7.1499999999999994E-2</v>
      </c>
      <c r="X82" s="202">
        <f t="shared" si="52"/>
        <v>7.2379403588683164E-4</v>
      </c>
      <c r="Y82" s="202">
        <f t="shared" si="53"/>
        <v>1.9876430863547175E-3</v>
      </c>
      <c r="Z82" s="202">
        <f t="shared" si="54"/>
        <v>0</v>
      </c>
      <c r="AA82" s="200">
        <f t="shared" si="55"/>
        <v>-2.9999999999999992E-4</v>
      </c>
      <c r="AB82" s="201">
        <f t="shared" si="56"/>
        <v>1.9999999999999879E-3</v>
      </c>
    </row>
    <row r="83" spans="1:28" ht="15" customHeight="1">
      <c r="A83" s="175">
        <v>72</v>
      </c>
      <c r="B83" s="85" t="s">
        <v>127</v>
      </c>
      <c r="C83" s="86" t="s">
        <v>27</v>
      </c>
      <c r="D83" s="184" t="s">
        <v>347</v>
      </c>
      <c r="E83" s="97">
        <v>1804048112.6600001</v>
      </c>
      <c r="F83" s="92">
        <f>(E83/$O$117)</f>
        <v>7.6516220411561317E-3</v>
      </c>
      <c r="G83" s="185" t="s">
        <v>347</v>
      </c>
      <c r="H83" s="96">
        <v>1.1592</v>
      </c>
      <c r="I83" s="185" t="s">
        <v>347</v>
      </c>
      <c r="J83" s="96">
        <v>1.1592</v>
      </c>
      <c r="K83" s="93">
        <v>1081</v>
      </c>
      <c r="L83" s="94">
        <v>-2E-3</v>
      </c>
      <c r="M83" s="94">
        <v>6.8599999999999994E-2</v>
      </c>
      <c r="N83" s="185" t="s">
        <v>347</v>
      </c>
      <c r="O83" s="97">
        <v>1777148945.98</v>
      </c>
      <c r="P83" s="92">
        <f t="shared" si="51"/>
        <v>7.5375329239019675E-3</v>
      </c>
      <c r="Q83" s="185" t="s">
        <v>347</v>
      </c>
      <c r="R83" s="96">
        <v>1.1531</v>
      </c>
      <c r="S83" s="185" t="s">
        <v>347</v>
      </c>
      <c r="T83" s="96">
        <v>1.1531</v>
      </c>
      <c r="U83" s="93">
        <v>1081</v>
      </c>
      <c r="V83" s="94">
        <v>-5.3E-3</v>
      </c>
      <c r="W83" s="94">
        <v>6.3200000000000006E-2</v>
      </c>
      <c r="X83" s="202">
        <f t="shared" si="52"/>
        <v>-1.4910448613445388E-2</v>
      </c>
      <c r="Y83" s="202">
        <f t="shared" si="53"/>
        <v>-5.2622498274672138E-3</v>
      </c>
      <c r="Z83" s="202">
        <f t="shared" si="54"/>
        <v>0</v>
      </c>
      <c r="AA83" s="200">
        <f t="shared" si="55"/>
        <v>-3.3E-3</v>
      </c>
      <c r="AB83" s="201">
        <f t="shared" si="56"/>
        <v>-5.3999999999999881E-3</v>
      </c>
    </row>
    <row r="84" spans="1:28">
      <c r="A84" s="175">
        <v>73</v>
      </c>
      <c r="B84" s="85" t="s">
        <v>128</v>
      </c>
      <c r="C84" s="86" t="s">
        <v>129</v>
      </c>
      <c r="D84" s="184" t="s">
        <v>347</v>
      </c>
      <c r="E84" s="97">
        <v>502073911.19999999</v>
      </c>
      <c r="F84" s="92">
        <f t="shared" ref="F84:F102" si="57">(E84/$E$117)</f>
        <v>2.130081140554011E-3</v>
      </c>
      <c r="G84" s="185" t="s">
        <v>347</v>
      </c>
      <c r="H84" s="96">
        <v>2.8592</v>
      </c>
      <c r="I84" s="185" t="s">
        <v>347</v>
      </c>
      <c r="J84" s="96">
        <v>2.8592</v>
      </c>
      <c r="K84" s="93">
        <v>1390</v>
      </c>
      <c r="L84" s="94">
        <v>0.1741</v>
      </c>
      <c r="M84" s="94">
        <v>0.13930000000000001</v>
      </c>
      <c r="N84" s="185" t="s">
        <v>347</v>
      </c>
      <c r="O84" s="97">
        <v>503250362.63999999</v>
      </c>
      <c r="P84" s="92">
        <f t="shared" si="51"/>
        <v>2.1344672240023342E-3</v>
      </c>
      <c r="Q84" s="185" t="s">
        <v>347</v>
      </c>
      <c r="R84" s="96">
        <v>2.8658999999999999</v>
      </c>
      <c r="S84" s="185" t="s">
        <v>347</v>
      </c>
      <c r="T84" s="96">
        <v>2.8658999999999999</v>
      </c>
      <c r="U84" s="93">
        <v>1390</v>
      </c>
      <c r="V84" s="94">
        <v>0.14219999999999999</v>
      </c>
      <c r="W84" s="94">
        <v>0.13980000000000001</v>
      </c>
      <c r="X84" s="202">
        <f t="shared" si="52"/>
        <v>2.3431837698720038E-3</v>
      </c>
      <c r="Y84" s="202">
        <f t="shared" si="53"/>
        <v>2.3433128147733379E-3</v>
      </c>
      <c r="Z84" s="202">
        <f t="shared" si="54"/>
        <v>0</v>
      </c>
      <c r="AA84" s="200">
        <f t="shared" si="55"/>
        <v>-3.1900000000000012E-2</v>
      </c>
      <c r="AB84" s="201">
        <f t="shared" si="56"/>
        <v>5.0000000000000044E-4</v>
      </c>
    </row>
    <row r="85" spans="1:28">
      <c r="A85" s="175">
        <v>74</v>
      </c>
      <c r="B85" s="86" t="s">
        <v>130</v>
      </c>
      <c r="C85" s="86" t="s">
        <v>131</v>
      </c>
      <c r="D85" s="184" t="s">
        <v>347</v>
      </c>
      <c r="E85" s="97">
        <v>3461223115.1199999</v>
      </c>
      <c r="F85" s="92">
        <f t="shared" si="57"/>
        <v>1.468446361442155E-2</v>
      </c>
      <c r="G85" s="185" t="s">
        <v>347</v>
      </c>
      <c r="H85" s="96">
        <v>1193.95</v>
      </c>
      <c r="I85" s="185" t="s">
        <v>347</v>
      </c>
      <c r="J85" s="96">
        <v>1193.95</v>
      </c>
      <c r="K85" s="93">
        <v>323</v>
      </c>
      <c r="L85" s="94">
        <v>2.5699999999999998E-3</v>
      </c>
      <c r="M85" s="94">
        <v>6.6970000000000002E-2</v>
      </c>
      <c r="N85" s="185" t="s">
        <v>347</v>
      </c>
      <c r="O85" s="97">
        <v>3510262865.7800002</v>
      </c>
      <c r="P85" s="92">
        <f t="shared" si="51"/>
        <v>1.4888297338395962E-2</v>
      </c>
      <c r="Q85" s="185" t="s">
        <v>347</v>
      </c>
      <c r="R85" s="96">
        <v>1197.02</v>
      </c>
      <c r="S85" s="185" t="s">
        <v>347</v>
      </c>
      <c r="T85" s="96">
        <v>1197.02</v>
      </c>
      <c r="U85" s="93">
        <v>319</v>
      </c>
      <c r="V85" s="94">
        <v>1.7899999999999999E-3</v>
      </c>
      <c r="W85" s="94">
        <v>6.9709999999999994E-2</v>
      </c>
      <c r="X85" s="202">
        <f t="shared" ref="X85" si="58">((O85-E85)/E85)</f>
        <v>1.416832981548493E-2</v>
      </c>
      <c r="Y85" s="202">
        <f t="shared" si="53"/>
        <v>2.5712969554838446E-3</v>
      </c>
      <c r="Z85" s="202">
        <f t="shared" ref="Z85" si="59">((U85-K85)/K85)</f>
        <v>-1.238390092879257E-2</v>
      </c>
      <c r="AA85" s="200">
        <f t="shared" si="55"/>
        <v>-7.7999999999999988E-4</v>
      </c>
      <c r="AB85" s="201">
        <f t="shared" si="56"/>
        <v>2.7399999999999924E-3</v>
      </c>
    </row>
    <row r="86" spans="1:28">
      <c r="A86" s="175">
        <v>75</v>
      </c>
      <c r="B86" s="85" t="s">
        <v>132</v>
      </c>
      <c r="C86" s="86" t="s">
        <v>65</v>
      </c>
      <c r="D86" s="184" t="s">
        <v>347</v>
      </c>
      <c r="E86" s="97">
        <v>198821357.72</v>
      </c>
      <c r="F86" s="92">
        <f t="shared" si="57"/>
        <v>8.4351250875891882E-4</v>
      </c>
      <c r="G86" s="185" t="s">
        <v>347</v>
      </c>
      <c r="H86" s="96">
        <v>12.0619</v>
      </c>
      <c r="I86" s="185" t="s">
        <v>347</v>
      </c>
      <c r="J86" s="96">
        <v>12.1098</v>
      </c>
      <c r="K86" s="93">
        <v>47</v>
      </c>
      <c r="L86" s="94">
        <v>-1.24E-3</v>
      </c>
      <c r="M86" s="94">
        <v>0.16020000000000001</v>
      </c>
      <c r="N86" s="185" t="s">
        <v>347</v>
      </c>
      <c r="O86" s="97">
        <v>198569463.25999999</v>
      </c>
      <c r="P86" s="92">
        <f t="shared" si="51"/>
        <v>8.4220507818967929E-4</v>
      </c>
      <c r="Q86" s="185" t="s">
        <v>347</v>
      </c>
      <c r="R86" s="96">
        <v>12.0466</v>
      </c>
      <c r="S86" s="185" t="s">
        <v>347</v>
      </c>
      <c r="T86" s="96">
        <v>12.092000000000001</v>
      </c>
      <c r="U86" s="93">
        <v>47</v>
      </c>
      <c r="V86" s="94">
        <v>-2.1099999999999999E-3</v>
      </c>
      <c r="W86" s="94">
        <v>0.1462</v>
      </c>
      <c r="X86" s="202">
        <f t="shared" si="52"/>
        <v>-1.2669386372200072E-3</v>
      </c>
      <c r="Y86" s="202">
        <f t="shared" si="53"/>
        <v>-1.4698838956877381E-3</v>
      </c>
      <c r="Z86" s="202">
        <f t="shared" si="54"/>
        <v>0</v>
      </c>
      <c r="AA86" s="200">
        <f t="shared" si="55"/>
        <v>-8.699999999999999E-4</v>
      </c>
      <c r="AB86" s="201">
        <f t="shared" si="56"/>
        <v>-1.4000000000000012E-2</v>
      </c>
    </row>
    <row r="87" spans="1:28">
      <c r="A87" s="175">
        <v>76</v>
      </c>
      <c r="B87" s="85" t="s">
        <v>133</v>
      </c>
      <c r="C87" s="86" t="s">
        <v>67</v>
      </c>
      <c r="D87" s="184" t="s">
        <v>347</v>
      </c>
      <c r="E87" s="97">
        <v>2111985516.28075</v>
      </c>
      <c r="F87" s="92">
        <f t="shared" si="57"/>
        <v>8.9602355689037284E-3</v>
      </c>
      <c r="G87" s="185" t="s">
        <v>347</v>
      </c>
      <c r="H87" s="97">
        <v>4945.0113953658001</v>
      </c>
      <c r="I87" s="185" t="s">
        <v>347</v>
      </c>
      <c r="J87" s="97">
        <v>4945.0113953658001</v>
      </c>
      <c r="K87" s="93">
        <v>1227</v>
      </c>
      <c r="L87" s="94">
        <v>-3.15E-2</v>
      </c>
      <c r="M87" s="94">
        <v>0.12959999999999999</v>
      </c>
      <c r="N87" s="185" t="s">
        <v>347</v>
      </c>
      <c r="O87" s="97">
        <v>2111392406.9238999</v>
      </c>
      <c r="P87" s="92">
        <f t="shared" si="51"/>
        <v>8.9551806101932762E-3</v>
      </c>
      <c r="Q87" s="185" t="s">
        <v>347</v>
      </c>
      <c r="R87" s="97">
        <v>4957.3844450987899</v>
      </c>
      <c r="S87" s="185" t="s">
        <v>347</v>
      </c>
      <c r="T87" s="97">
        <v>4957.3844450987899</v>
      </c>
      <c r="U87" s="93">
        <v>1230</v>
      </c>
      <c r="V87" s="94">
        <v>0.1305</v>
      </c>
      <c r="W87" s="94">
        <v>0.12989999999999999</v>
      </c>
      <c r="X87" s="202">
        <f t="shared" si="52"/>
        <v>-2.8083021984668961E-4</v>
      </c>
      <c r="Y87" s="202">
        <f t="shared" si="53"/>
        <v>2.5021276481961485E-3</v>
      </c>
      <c r="Z87" s="202">
        <f t="shared" si="54"/>
        <v>2.4449877750611247E-3</v>
      </c>
      <c r="AA87" s="200">
        <f t="shared" si="55"/>
        <v>0.16200000000000001</v>
      </c>
      <c r="AB87" s="201">
        <f t="shared" si="56"/>
        <v>2.9999999999999472E-4</v>
      </c>
    </row>
    <row r="88" spans="1:28">
      <c r="A88" s="175">
        <v>77</v>
      </c>
      <c r="B88" s="85" t="s">
        <v>134</v>
      </c>
      <c r="C88" s="86" t="s">
        <v>69</v>
      </c>
      <c r="D88" s="184" t="s">
        <v>347</v>
      </c>
      <c r="E88" s="97">
        <v>380563244.29000002</v>
      </c>
      <c r="F88" s="92">
        <f t="shared" si="57"/>
        <v>1.6145642531250049E-3</v>
      </c>
      <c r="G88" s="185" t="s">
        <v>347</v>
      </c>
      <c r="H88" s="119">
        <v>116.32</v>
      </c>
      <c r="I88" s="185" t="s">
        <v>347</v>
      </c>
      <c r="J88" s="119">
        <v>116.32</v>
      </c>
      <c r="K88" s="93">
        <v>98</v>
      </c>
      <c r="L88" s="94">
        <v>2.2000000000000001E-3</v>
      </c>
      <c r="M88" s="94">
        <v>0.1202</v>
      </c>
      <c r="N88" s="185" t="s">
        <v>347</v>
      </c>
      <c r="O88" s="97">
        <v>381412295.01999998</v>
      </c>
      <c r="P88" s="92">
        <f t="shared" si="51"/>
        <v>1.6177078110405127E-3</v>
      </c>
      <c r="Q88" s="185" t="s">
        <v>347</v>
      </c>
      <c r="R88" s="119">
        <v>116.53</v>
      </c>
      <c r="S88" s="185" t="s">
        <v>347</v>
      </c>
      <c r="T88" s="119">
        <v>116.53</v>
      </c>
      <c r="U88" s="93">
        <v>97</v>
      </c>
      <c r="V88" s="94">
        <v>1.8E-3</v>
      </c>
      <c r="W88" s="94">
        <v>0.1202</v>
      </c>
      <c r="X88" s="202">
        <f t="shared" si="52"/>
        <v>2.2310371344032337E-3</v>
      </c>
      <c r="Y88" s="202">
        <f t="shared" si="53"/>
        <v>1.805364511691953E-3</v>
      </c>
      <c r="Z88" s="202">
        <f t="shared" si="54"/>
        <v>-1.020408163265306E-2</v>
      </c>
      <c r="AA88" s="200">
        <f t="shared" si="55"/>
        <v>-4.0000000000000018E-4</v>
      </c>
      <c r="AB88" s="201">
        <f t="shared" si="56"/>
        <v>0</v>
      </c>
    </row>
    <row r="89" spans="1:28" ht="13.5" customHeight="1">
      <c r="A89" s="175">
        <v>78</v>
      </c>
      <c r="B89" s="85" t="s">
        <v>135</v>
      </c>
      <c r="C89" s="86" t="s">
        <v>71</v>
      </c>
      <c r="D89" s="184" t="s">
        <v>347</v>
      </c>
      <c r="E89" s="97">
        <v>1159518734.9200001</v>
      </c>
      <c r="F89" s="92">
        <f t="shared" si="57"/>
        <v>4.9193334572372772E-3</v>
      </c>
      <c r="G89" s="185" t="s">
        <v>347</v>
      </c>
      <c r="H89" s="119">
        <v>1.5601</v>
      </c>
      <c r="I89" s="185" t="s">
        <v>347</v>
      </c>
      <c r="J89" s="119">
        <v>1.5601</v>
      </c>
      <c r="K89" s="93">
        <v>2751</v>
      </c>
      <c r="L89" s="94">
        <v>-2.3E-3</v>
      </c>
      <c r="M89" s="94">
        <v>7.1400000000000005E-2</v>
      </c>
      <c r="N89" s="185" t="s">
        <v>347</v>
      </c>
      <c r="O89" s="97">
        <v>1128818358.8199999</v>
      </c>
      <c r="P89" s="92">
        <f t="shared" si="51"/>
        <v>4.7877278738832785E-3</v>
      </c>
      <c r="Q89" s="185" t="s">
        <v>347</v>
      </c>
      <c r="R89" s="119">
        <v>1.5599000000000001</v>
      </c>
      <c r="S89" s="185" t="s">
        <v>347</v>
      </c>
      <c r="T89" s="119">
        <v>1.5599000000000001</v>
      </c>
      <c r="U89" s="93">
        <v>2782</v>
      </c>
      <c r="V89" s="94">
        <v>-1E-4</v>
      </c>
      <c r="W89" s="94">
        <v>7.1199999999999999E-2</v>
      </c>
      <c r="X89" s="202">
        <f t="shared" si="52"/>
        <v>-2.6476826268890159E-2</v>
      </c>
      <c r="Y89" s="202">
        <f t="shared" si="53"/>
        <v>-1.2819691045444392E-4</v>
      </c>
      <c r="Z89" s="202">
        <f t="shared" si="54"/>
        <v>1.1268629589240277E-2</v>
      </c>
      <c r="AA89" s="200">
        <f t="shared" si="55"/>
        <v>2.2000000000000001E-3</v>
      </c>
      <c r="AB89" s="201">
        <f t="shared" si="56"/>
        <v>-2.0000000000000573E-4</v>
      </c>
    </row>
    <row r="90" spans="1:28" ht="13.5" customHeight="1">
      <c r="A90" s="175">
        <v>79</v>
      </c>
      <c r="B90" s="85" t="s">
        <v>136</v>
      </c>
      <c r="C90" s="86" t="s">
        <v>71</v>
      </c>
      <c r="D90" s="184" t="s">
        <v>347</v>
      </c>
      <c r="E90" s="97">
        <v>172279600.81</v>
      </c>
      <c r="F90" s="92">
        <f t="shared" si="57"/>
        <v>7.3090738315891707E-4</v>
      </c>
      <c r="G90" s="185" t="s">
        <v>347</v>
      </c>
      <c r="H90" s="119">
        <v>1.0461</v>
      </c>
      <c r="I90" s="185" t="s">
        <v>347</v>
      </c>
      <c r="J90" s="119">
        <v>1.0461</v>
      </c>
      <c r="K90" s="93">
        <v>100</v>
      </c>
      <c r="L90" s="94">
        <v>2.9999999999999997E-4</v>
      </c>
      <c r="M90" s="94">
        <v>0.13</v>
      </c>
      <c r="N90" s="185" t="s">
        <v>347</v>
      </c>
      <c r="O90" s="97">
        <v>172317680.30000001</v>
      </c>
      <c r="P90" s="92">
        <f t="shared" si="51"/>
        <v>7.3086174997865413E-4</v>
      </c>
      <c r="Q90" s="185" t="s">
        <v>347</v>
      </c>
      <c r="R90" s="119">
        <v>1.0573999999999999</v>
      </c>
      <c r="S90" s="185" t="s">
        <v>347</v>
      </c>
      <c r="T90" s="119">
        <v>1.0573999999999999</v>
      </c>
      <c r="U90" s="93">
        <v>100</v>
      </c>
      <c r="V90" s="94">
        <v>2.9999999999999997E-4</v>
      </c>
      <c r="W90" s="94">
        <v>0.13</v>
      </c>
      <c r="X90" s="202">
        <f t="shared" ref="X90" si="60">((O90-E90)/E90)</f>
        <v>2.2103307542490665E-4</v>
      </c>
      <c r="Y90" s="202">
        <f t="shared" ref="Y90" si="61">((T90-J90)/J90)</f>
        <v>1.0802026574897108E-2</v>
      </c>
      <c r="Z90" s="202">
        <f t="shared" ref="Z90" si="62">((U90-K90)/K90)</f>
        <v>0</v>
      </c>
      <c r="AA90" s="200">
        <f t="shared" ref="AA90" si="63">V90-L90</f>
        <v>0</v>
      </c>
      <c r="AB90" s="201">
        <f t="shared" ref="AB90" si="64">W90-M90</f>
        <v>0</v>
      </c>
    </row>
    <row r="91" spans="1:28">
      <c r="A91" s="175">
        <v>80</v>
      </c>
      <c r="B91" s="85" t="s">
        <v>137</v>
      </c>
      <c r="C91" s="86" t="s">
        <v>29</v>
      </c>
      <c r="D91" s="184" t="s">
        <v>347</v>
      </c>
      <c r="E91" s="97">
        <v>236225070.97</v>
      </c>
      <c r="F91" s="92">
        <f t="shared" si="57"/>
        <v>1.0022001888060456E-3</v>
      </c>
      <c r="G91" s="185" t="s">
        <v>347</v>
      </c>
      <c r="H91" s="119">
        <v>146.4802</v>
      </c>
      <c r="I91" s="185" t="s">
        <v>347</v>
      </c>
      <c r="J91" s="119">
        <v>146.4802</v>
      </c>
      <c r="K91" s="93">
        <v>459</v>
      </c>
      <c r="L91" s="94">
        <v>4.2299999999999998E-4</v>
      </c>
      <c r="M91" s="94">
        <v>8.7099999999999997E-2</v>
      </c>
      <c r="N91" s="185" t="s">
        <v>347</v>
      </c>
      <c r="O91" s="97">
        <v>237856003.19</v>
      </c>
      <c r="P91" s="92">
        <f t="shared" si="51"/>
        <v>1.0088335360116365E-3</v>
      </c>
      <c r="Q91" s="185" t="s">
        <v>347</v>
      </c>
      <c r="R91" s="119">
        <v>146.84639999999999</v>
      </c>
      <c r="S91" s="185" t="s">
        <v>347</v>
      </c>
      <c r="T91" s="119">
        <v>146.84639999999999</v>
      </c>
      <c r="U91" s="93">
        <v>462</v>
      </c>
      <c r="V91" s="94">
        <v>4.2499999999999998E-4</v>
      </c>
      <c r="W91" s="94">
        <v>8.8300000000000003E-2</v>
      </c>
      <c r="X91" s="202">
        <f t="shared" si="52"/>
        <v>6.9041453276020952E-3</v>
      </c>
      <c r="Y91" s="202">
        <f t="shared" si="53"/>
        <v>2.4999965865693252E-3</v>
      </c>
      <c r="Z91" s="202">
        <f t="shared" si="54"/>
        <v>6.5359477124183009E-3</v>
      </c>
      <c r="AA91" s="200">
        <f t="shared" si="55"/>
        <v>1.9999999999999944E-6</v>
      </c>
      <c r="AB91" s="201">
        <f t="shared" si="56"/>
        <v>1.2000000000000066E-3</v>
      </c>
    </row>
    <row r="92" spans="1:28">
      <c r="A92" s="175">
        <v>81</v>
      </c>
      <c r="B92" s="85" t="s">
        <v>138</v>
      </c>
      <c r="C92" s="86" t="s">
        <v>73</v>
      </c>
      <c r="D92" s="184" t="s">
        <v>347</v>
      </c>
      <c r="E92" s="97">
        <v>2710164459.4899998</v>
      </c>
      <c r="F92" s="92">
        <f t="shared" si="57"/>
        <v>1.1498048542617451E-2</v>
      </c>
      <c r="G92" s="185" t="s">
        <v>347</v>
      </c>
      <c r="H92" s="96">
        <v>1356.16</v>
      </c>
      <c r="I92" s="185" t="s">
        <v>347</v>
      </c>
      <c r="J92" s="96">
        <v>1356.16</v>
      </c>
      <c r="K92" s="93">
        <v>321</v>
      </c>
      <c r="L92" s="94">
        <v>3.7000000000000002E-3</v>
      </c>
      <c r="M92" s="94">
        <v>0.19939999999999999</v>
      </c>
      <c r="N92" s="185" t="s">
        <v>347</v>
      </c>
      <c r="O92" s="97">
        <v>2719228645.8200002</v>
      </c>
      <c r="P92" s="92">
        <f t="shared" si="51"/>
        <v>1.1533234449396723E-2</v>
      </c>
      <c r="Q92" s="185" t="s">
        <v>347</v>
      </c>
      <c r="R92" s="96">
        <v>1360.9640179999999</v>
      </c>
      <c r="S92" s="185" t="s">
        <v>347</v>
      </c>
      <c r="T92" s="96">
        <v>1360.9640179999999</v>
      </c>
      <c r="U92" s="93">
        <v>324</v>
      </c>
      <c r="V92" s="94">
        <v>3.8999999999999998E-3</v>
      </c>
      <c r="W92" s="94">
        <v>0.21279999999999999</v>
      </c>
      <c r="X92" s="202">
        <f t="shared" si="52"/>
        <v>3.3445152371698152E-3</v>
      </c>
      <c r="Y92" s="202">
        <f t="shared" si="53"/>
        <v>3.542368157149462E-3</v>
      </c>
      <c r="Z92" s="202">
        <f t="shared" si="54"/>
        <v>9.3457943925233638E-3</v>
      </c>
      <c r="AA92" s="200">
        <f t="shared" si="55"/>
        <v>1.9999999999999966E-4</v>
      </c>
      <c r="AB92" s="201">
        <f t="shared" si="56"/>
        <v>1.3399999999999995E-2</v>
      </c>
    </row>
    <row r="93" spans="1:28">
      <c r="A93" s="175">
        <v>82</v>
      </c>
      <c r="B93" s="85" t="s">
        <v>139</v>
      </c>
      <c r="C93" s="86" t="s">
        <v>75</v>
      </c>
      <c r="D93" s="184" t="s">
        <v>347</v>
      </c>
      <c r="E93" s="97">
        <v>148318344.38999999</v>
      </c>
      <c r="F93" s="92">
        <f t="shared" si="57"/>
        <v>6.2925019829895867E-4</v>
      </c>
      <c r="G93" s="185" t="s">
        <v>347</v>
      </c>
      <c r="H93" s="96">
        <v>1015.97</v>
      </c>
      <c r="I93" s="185" t="s">
        <v>347</v>
      </c>
      <c r="J93" s="96">
        <v>1029.3699999999999</v>
      </c>
      <c r="K93" s="93">
        <v>72</v>
      </c>
      <c r="L93" s="94">
        <v>2.0999999999999999E-3</v>
      </c>
      <c r="M93" s="94">
        <v>4.3999999999999997E-2</v>
      </c>
      <c r="N93" s="185" t="s">
        <v>347</v>
      </c>
      <c r="O93" s="97">
        <v>148773429.21000001</v>
      </c>
      <c r="P93" s="92">
        <f t="shared" si="51"/>
        <v>6.3100204595051073E-4</v>
      </c>
      <c r="Q93" s="185" t="s">
        <v>347</v>
      </c>
      <c r="R93" s="96">
        <v>1017.73</v>
      </c>
      <c r="S93" s="185" t="s">
        <v>347</v>
      </c>
      <c r="T93" s="96">
        <v>1031.97</v>
      </c>
      <c r="U93" s="93">
        <v>72</v>
      </c>
      <c r="V93" s="94">
        <v>2.2000000000000001E-3</v>
      </c>
      <c r="W93" s="94">
        <v>4.6300000000000001E-2</v>
      </c>
      <c r="X93" s="202">
        <f t="shared" si="52"/>
        <v>3.0682975991384222E-3</v>
      </c>
      <c r="Y93" s="202">
        <f t="shared" si="53"/>
        <v>2.5258167617087505E-3</v>
      </c>
      <c r="Z93" s="202">
        <f t="shared" si="54"/>
        <v>0</v>
      </c>
      <c r="AA93" s="200">
        <f t="shared" si="55"/>
        <v>1.0000000000000026E-4</v>
      </c>
      <c r="AB93" s="201">
        <f t="shared" si="56"/>
        <v>2.3000000000000034E-3</v>
      </c>
    </row>
    <row r="94" spans="1:28">
      <c r="A94" s="175">
        <v>83</v>
      </c>
      <c r="B94" s="85" t="s">
        <v>140</v>
      </c>
      <c r="C94" s="86" t="s">
        <v>78</v>
      </c>
      <c r="D94" s="184" t="s">
        <v>347</v>
      </c>
      <c r="E94" s="97">
        <v>762925243.25</v>
      </c>
      <c r="F94" s="92">
        <f t="shared" si="57"/>
        <v>3.2367598396325641E-3</v>
      </c>
      <c r="G94" s="185" t="s">
        <v>347</v>
      </c>
      <c r="H94" s="120">
        <v>1.2417</v>
      </c>
      <c r="I94" s="185" t="s">
        <v>347</v>
      </c>
      <c r="J94" s="120">
        <v>1.2417</v>
      </c>
      <c r="K94" s="93">
        <v>63</v>
      </c>
      <c r="L94" s="94">
        <v>0</v>
      </c>
      <c r="M94" s="94">
        <v>0.15210000000000001</v>
      </c>
      <c r="N94" s="185" t="s">
        <v>347</v>
      </c>
      <c r="O94" s="97">
        <v>764613046.80999994</v>
      </c>
      <c r="P94" s="92">
        <f t="shared" si="51"/>
        <v>3.2430011155858574E-3</v>
      </c>
      <c r="Q94" s="185" t="s">
        <v>347</v>
      </c>
      <c r="R94" s="120">
        <v>1.2433000000000001</v>
      </c>
      <c r="S94" s="185" t="s">
        <v>347</v>
      </c>
      <c r="T94" s="120">
        <v>1.2433000000000001</v>
      </c>
      <c r="U94" s="93">
        <v>68</v>
      </c>
      <c r="V94" s="94">
        <v>0</v>
      </c>
      <c r="W94" s="94">
        <v>0.1507</v>
      </c>
      <c r="X94" s="202">
        <f t="shared" si="52"/>
        <v>2.2122790862313529E-3</v>
      </c>
      <c r="Y94" s="202">
        <f t="shared" si="53"/>
        <v>1.28855601191918E-3</v>
      </c>
      <c r="Z94" s="202">
        <f t="shared" si="54"/>
        <v>7.9365079365079361E-2</v>
      </c>
      <c r="AA94" s="200">
        <f t="shared" si="55"/>
        <v>0</v>
      </c>
      <c r="AB94" s="201">
        <f t="shared" si="56"/>
        <v>-1.4000000000000123E-3</v>
      </c>
    </row>
    <row r="95" spans="1:28">
      <c r="A95" s="175">
        <v>84</v>
      </c>
      <c r="B95" s="85" t="s">
        <v>339</v>
      </c>
      <c r="C95" s="86" t="s">
        <v>79</v>
      </c>
      <c r="D95" s="184" t="s">
        <v>347</v>
      </c>
      <c r="E95" s="120">
        <v>11445616043.26</v>
      </c>
      <c r="F95" s="92">
        <f t="shared" si="57"/>
        <v>4.8558768603411448E-2</v>
      </c>
      <c r="G95" s="185" t="s">
        <v>347</v>
      </c>
      <c r="H95" s="120">
        <v>1717.21</v>
      </c>
      <c r="I95" s="185" t="s">
        <v>347</v>
      </c>
      <c r="J95" s="120">
        <v>1717.21</v>
      </c>
      <c r="K95" s="93">
        <v>2036</v>
      </c>
      <c r="L95" s="94">
        <v>4.1000000000000003E-3</v>
      </c>
      <c r="M95" s="94">
        <v>3.0599999999999999E-2</v>
      </c>
      <c r="N95" s="185" t="s">
        <v>347</v>
      </c>
      <c r="O95" s="120">
        <v>11477109664.450001</v>
      </c>
      <c r="P95" s="92">
        <f t="shared" si="51"/>
        <v>4.8678582716835998E-2</v>
      </c>
      <c r="Q95" s="185" t="s">
        <v>347</v>
      </c>
      <c r="R95" s="120">
        <v>1720.6</v>
      </c>
      <c r="S95" s="185" t="s">
        <v>347</v>
      </c>
      <c r="T95" s="120">
        <v>1720.6</v>
      </c>
      <c r="U95" s="93">
        <v>2036</v>
      </c>
      <c r="V95" s="94">
        <v>2E-3</v>
      </c>
      <c r="W95" s="94">
        <v>3.2599999999999997E-2</v>
      </c>
      <c r="X95" s="202">
        <f t="shared" si="52"/>
        <v>2.7515881251797048E-3</v>
      </c>
      <c r="Y95" s="202">
        <f t="shared" si="53"/>
        <v>1.9741324590468682E-3</v>
      </c>
      <c r="Z95" s="202">
        <f t="shared" si="54"/>
        <v>0</v>
      </c>
      <c r="AA95" s="200">
        <f t="shared" si="55"/>
        <v>-2.1000000000000003E-3</v>
      </c>
      <c r="AB95" s="201">
        <f t="shared" si="56"/>
        <v>1.9999999999999983E-3</v>
      </c>
    </row>
    <row r="96" spans="1:28">
      <c r="A96" s="175">
        <v>85</v>
      </c>
      <c r="B96" s="85" t="s">
        <v>141</v>
      </c>
      <c r="C96" s="86" t="s">
        <v>87</v>
      </c>
      <c r="D96" s="184" t="s">
        <v>347</v>
      </c>
      <c r="E96" s="97">
        <v>23815723.57</v>
      </c>
      <c r="F96" s="92">
        <f t="shared" si="57"/>
        <v>1.0103975230231928E-4</v>
      </c>
      <c r="G96" s="185" t="s">
        <v>347</v>
      </c>
      <c r="H96" s="119">
        <v>0.72750000000000004</v>
      </c>
      <c r="I96" s="185" t="s">
        <v>347</v>
      </c>
      <c r="J96" s="119">
        <v>0.72750000000000004</v>
      </c>
      <c r="K96" s="93">
        <v>744</v>
      </c>
      <c r="L96" s="94">
        <v>2.0999999999999999E-3</v>
      </c>
      <c r="M96" s="94">
        <v>-2.5999999999999999E-3</v>
      </c>
      <c r="N96" s="185" t="s">
        <v>347</v>
      </c>
      <c r="O96" s="97">
        <v>23848867.690000001</v>
      </c>
      <c r="P96" s="92">
        <f t="shared" si="51"/>
        <v>1.0115169345697595E-4</v>
      </c>
      <c r="Q96" s="185" t="s">
        <v>347</v>
      </c>
      <c r="R96" s="119">
        <v>0.72850000000000004</v>
      </c>
      <c r="S96" s="185" t="s">
        <v>347</v>
      </c>
      <c r="T96" s="119">
        <v>0.72850000000000004</v>
      </c>
      <c r="U96" s="93">
        <v>744</v>
      </c>
      <c r="V96" s="94">
        <v>1.4E-3</v>
      </c>
      <c r="W96" s="94">
        <v>2.3199999999999998E-2</v>
      </c>
      <c r="X96" s="202">
        <f t="shared" si="52"/>
        <v>1.3916906577531728E-3</v>
      </c>
      <c r="Y96" s="202">
        <f t="shared" si="53"/>
        <v>1.3745704467353964E-3</v>
      </c>
      <c r="Z96" s="202">
        <f t="shared" si="54"/>
        <v>0</v>
      </c>
      <c r="AA96" s="200">
        <f t="shared" si="55"/>
        <v>-6.9999999999999988E-4</v>
      </c>
      <c r="AB96" s="201">
        <f t="shared" si="56"/>
        <v>2.5799999999999997E-2</v>
      </c>
    </row>
    <row r="97" spans="1:28">
      <c r="A97" s="175">
        <v>86</v>
      </c>
      <c r="B97" s="85" t="s">
        <v>142</v>
      </c>
      <c r="C97" s="86" t="s">
        <v>35</v>
      </c>
      <c r="D97" s="184" t="s">
        <v>347</v>
      </c>
      <c r="E97" s="97">
        <v>12356320619.93</v>
      </c>
      <c r="F97" s="92">
        <f t="shared" si="57"/>
        <v>5.2422491852334149E-2</v>
      </c>
      <c r="G97" s="185" t="s">
        <v>347</v>
      </c>
      <c r="H97" s="119">
        <v>1</v>
      </c>
      <c r="I97" s="185" t="s">
        <v>347</v>
      </c>
      <c r="J97" s="119">
        <v>1</v>
      </c>
      <c r="K97" s="93">
        <v>5903</v>
      </c>
      <c r="L97" s="94">
        <v>0.06</v>
      </c>
      <c r="M97" s="94">
        <v>0.06</v>
      </c>
      <c r="N97" s="185" t="s">
        <v>347</v>
      </c>
      <c r="O97" s="97">
        <v>12377279284.809999</v>
      </c>
      <c r="P97" s="92">
        <f t="shared" si="51"/>
        <v>5.2496528402203549E-2</v>
      </c>
      <c r="Q97" s="185" t="s">
        <v>347</v>
      </c>
      <c r="R97" s="119">
        <v>1</v>
      </c>
      <c r="S97" s="185" t="s">
        <v>347</v>
      </c>
      <c r="T97" s="119">
        <v>1</v>
      </c>
      <c r="U97" s="93">
        <v>5989</v>
      </c>
      <c r="V97" s="94">
        <v>0.06</v>
      </c>
      <c r="W97" s="94">
        <v>0.06</v>
      </c>
      <c r="X97" s="202">
        <f t="shared" si="52"/>
        <v>1.6961897902029264E-3</v>
      </c>
      <c r="Y97" s="202">
        <f t="shared" si="53"/>
        <v>0</v>
      </c>
      <c r="Z97" s="202">
        <f t="shared" si="54"/>
        <v>1.4568863289852617E-2</v>
      </c>
      <c r="AA97" s="200">
        <f t="shared" si="55"/>
        <v>0</v>
      </c>
      <c r="AB97" s="201">
        <f t="shared" si="56"/>
        <v>0</v>
      </c>
    </row>
    <row r="98" spans="1:28">
      <c r="A98" s="175">
        <v>87</v>
      </c>
      <c r="B98" s="85" t="s">
        <v>143</v>
      </c>
      <c r="C98" s="86" t="s">
        <v>144</v>
      </c>
      <c r="D98" s="184" t="s">
        <v>347</v>
      </c>
      <c r="E98" s="97">
        <v>1790260877.8900001</v>
      </c>
      <c r="F98" s="92">
        <f t="shared" si="57"/>
        <v>7.5952979184893297E-3</v>
      </c>
      <c r="G98" s="185" t="s">
        <v>347</v>
      </c>
      <c r="H98" s="97">
        <v>281.83</v>
      </c>
      <c r="I98" s="185" t="s">
        <v>347</v>
      </c>
      <c r="J98" s="97">
        <v>281.83</v>
      </c>
      <c r="K98" s="93">
        <v>562</v>
      </c>
      <c r="L98" s="94">
        <v>3.0000000000000001E-3</v>
      </c>
      <c r="M98" s="94">
        <v>0.16980000000000001</v>
      </c>
      <c r="N98" s="185" t="s">
        <v>347</v>
      </c>
      <c r="O98" s="97">
        <v>1897354757.8199999</v>
      </c>
      <c r="P98" s="92">
        <f t="shared" si="51"/>
        <v>8.047369348382823E-3</v>
      </c>
      <c r="Q98" s="185" t="s">
        <v>347</v>
      </c>
      <c r="R98" s="97">
        <v>282.70999999999998</v>
      </c>
      <c r="S98" s="185" t="s">
        <v>347</v>
      </c>
      <c r="T98" s="97">
        <v>282.70999999999998</v>
      </c>
      <c r="U98" s="93">
        <v>562</v>
      </c>
      <c r="V98" s="94">
        <v>3.0000000000000001E-3</v>
      </c>
      <c r="W98" s="94">
        <v>0.1699</v>
      </c>
      <c r="X98" s="202">
        <f t="shared" si="52"/>
        <v>5.9820264885763787E-2</v>
      </c>
      <c r="Y98" s="202">
        <f t="shared" si="53"/>
        <v>3.122449703722086E-3</v>
      </c>
      <c r="Z98" s="202">
        <f t="shared" si="54"/>
        <v>0</v>
      </c>
      <c r="AA98" s="200">
        <f t="shared" si="55"/>
        <v>0</v>
      </c>
      <c r="AB98" s="201">
        <f t="shared" si="56"/>
        <v>9.9999999999988987E-5</v>
      </c>
    </row>
    <row r="99" spans="1:28">
      <c r="A99" s="175">
        <v>88</v>
      </c>
      <c r="B99" s="85" t="s">
        <v>333</v>
      </c>
      <c r="C99" s="86" t="s">
        <v>38</v>
      </c>
      <c r="D99" s="184" t="s">
        <v>347</v>
      </c>
      <c r="E99" s="97">
        <v>1153359864.9200001</v>
      </c>
      <c r="F99" s="92">
        <f t="shared" si="57"/>
        <v>4.8932040517026048E-3</v>
      </c>
      <c r="G99" s="185" t="s">
        <v>347</v>
      </c>
      <c r="H99" s="119">
        <v>3.79</v>
      </c>
      <c r="I99" s="185" t="s">
        <v>347</v>
      </c>
      <c r="J99" s="119">
        <v>3.82</v>
      </c>
      <c r="K99" s="113">
        <v>809</v>
      </c>
      <c r="L99" s="114">
        <v>4.6899999999999997E-2</v>
      </c>
      <c r="M99" s="114">
        <v>0.15970000000000001</v>
      </c>
      <c r="N99" s="185" t="s">
        <v>347</v>
      </c>
      <c r="O99" s="97">
        <v>1152371419.4100001</v>
      </c>
      <c r="P99" s="92">
        <f t="shared" si="51"/>
        <v>4.8876249421945022E-3</v>
      </c>
      <c r="Q99" s="185" t="s">
        <v>347</v>
      </c>
      <c r="R99" s="119">
        <v>3.81</v>
      </c>
      <c r="S99" s="185" t="s">
        <v>347</v>
      </c>
      <c r="T99" s="119">
        <v>3.84</v>
      </c>
      <c r="U99" s="113">
        <v>810</v>
      </c>
      <c r="V99" s="114">
        <v>2.3E-3</v>
      </c>
      <c r="W99" s="114">
        <v>0.16969999999999999</v>
      </c>
      <c r="X99" s="202">
        <f t="shared" si="52"/>
        <v>-8.5701396421363385E-4</v>
      </c>
      <c r="Y99" s="202">
        <f t="shared" si="53"/>
        <v>5.2356020942408424E-3</v>
      </c>
      <c r="Z99" s="202">
        <f t="shared" si="54"/>
        <v>1.2360939431396785E-3</v>
      </c>
      <c r="AA99" s="200">
        <f t="shared" si="55"/>
        <v>-4.4600000000000001E-2</v>
      </c>
      <c r="AB99" s="201">
        <f t="shared" si="56"/>
        <v>9.9999999999999811E-3</v>
      </c>
    </row>
    <row r="100" spans="1:28">
      <c r="A100" s="175">
        <v>89</v>
      </c>
      <c r="B100" s="85" t="s">
        <v>145</v>
      </c>
      <c r="C100" s="86" t="s">
        <v>40</v>
      </c>
      <c r="D100" s="184" t="s">
        <v>347</v>
      </c>
      <c r="E100" s="97">
        <v>791607740.01999998</v>
      </c>
      <c r="F100" s="92">
        <f t="shared" si="57"/>
        <v>3.3584471929701504E-3</v>
      </c>
      <c r="G100" s="185" t="s">
        <v>347</v>
      </c>
      <c r="H100" s="119">
        <v>114.09715</v>
      </c>
      <c r="I100" s="185" t="s">
        <v>347</v>
      </c>
      <c r="J100" s="119">
        <v>114.09715</v>
      </c>
      <c r="K100" s="113">
        <v>256</v>
      </c>
      <c r="L100" s="114">
        <v>0.14530000000000001</v>
      </c>
      <c r="M100" s="114">
        <v>0.16719999999999999</v>
      </c>
      <c r="N100" s="185" t="s">
        <v>347</v>
      </c>
      <c r="O100" s="97">
        <v>779828098.63</v>
      </c>
      <c r="P100" s="92">
        <f t="shared" si="51"/>
        <v>3.3075336660462707E-3</v>
      </c>
      <c r="Q100" s="185" t="s">
        <v>347</v>
      </c>
      <c r="R100" s="119">
        <v>113.94289000000001</v>
      </c>
      <c r="S100" s="185" t="s">
        <v>347</v>
      </c>
      <c r="T100" s="119">
        <v>113.94289000000001</v>
      </c>
      <c r="U100" s="113">
        <v>256</v>
      </c>
      <c r="V100" s="114">
        <v>0.14729999999999999</v>
      </c>
      <c r="W100" s="114">
        <v>0.16969999999999999</v>
      </c>
      <c r="X100" s="202">
        <f t="shared" si="52"/>
        <v>-1.4880654640519776E-2</v>
      </c>
      <c r="Y100" s="202">
        <f t="shared" si="53"/>
        <v>-1.352005724945747E-3</v>
      </c>
      <c r="Z100" s="202">
        <f t="shared" si="54"/>
        <v>0</v>
      </c>
      <c r="AA100" s="200">
        <f t="shared" si="55"/>
        <v>1.999999999999974E-3</v>
      </c>
      <c r="AB100" s="201">
        <f t="shared" si="56"/>
        <v>2.5000000000000022E-3</v>
      </c>
    </row>
    <row r="101" spans="1:28">
      <c r="A101" s="175">
        <v>90</v>
      </c>
      <c r="B101" s="86" t="s">
        <v>146</v>
      </c>
      <c r="C101" s="121" t="s">
        <v>44</v>
      </c>
      <c r="D101" s="184" t="s">
        <v>347</v>
      </c>
      <c r="E101" s="97">
        <v>1191878499.49</v>
      </c>
      <c r="F101" s="92">
        <f t="shared" si="57"/>
        <v>5.0566218577808922E-3</v>
      </c>
      <c r="G101" s="185" t="s">
        <v>347</v>
      </c>
      <c r="H101" s="119">
        <v>116.02</v>
      </c>
      <c r="I101" s="185" t="s">
        <v>347</v>
      </c>
      <c r="J101" s="119">
        <v>115.79</v>
      </c>
      <c r="K101" s="93">
        <v>3381</v>
      </c>
      <c r="L101" s="94">
        <v>-2.9999999999999997E-4</v>
      </c>
      <c r="M101" s="94">
        <v>4.7600000000000003E-2</v>
      </c>
      <c r="N101" s="185" t="s">
        <v>347</v>
      </c>
      <c r="O101" s="97">
        <v>1190299613.96</v>
      </c>
      <c r="P101" s="92">
        <f t="shared" si="51"/>
        <v>5.0484921648386539E-3</v>
      </c>
      <c r="Q101" s="185" t="s">
        <v>347</v>
      </c>
      <c r="R101" s="119">
        <v>115.49</v>
      </c>
      <c r="S101" s="185" t="s">
        <v>347</v>
      </c>
      <c r="T101" s="119">
        <v>115.77</v>
      </c>
      <c r="U101" s="93">
        <v>3452</v>
      </c>
      <c r="V101" s="94">
        <v>-2.9999999999999997E-4</v>
      </c>
      <c r="W101" s="94">
        <v>4.48E-2</v>
      </c>
      <c r="X101" s="202">
        <f t="shared" si="52"/>
        <v>-1.3247034246154873E-3</v>
      </c>
      <c r="Y101" s="202">
        <f t="shared" si="53"/>
        <v>-1.7272648760696286E-4</v>
      </c>
      <c r="Z101" s="202">
        <f t="shared" si="54"/>
        <v>2.0999704229517895E-2</v>
      </c>
      <c r="AA101" s="200">
        <f t="shared" si="55"/>
        <v>0</v>
      </c>
      <c r="AB101" s="201">
        <f t="shared" si="56"/>
        <v>-2.8000000000000039E-3</v>
      </c>
    </row>
    <row r="102" spans="1:28">
      <c r="A102" s="175">
        <v>91</v>
      </c>
      <c r="B102" s="85" t="s">
        <v>147</v>
      </c>
      <c r="C102" s="86" t="s">
        <v>19</v>
      </c>
      <c r="D102" s="184" t="s">
        <v>347</v>
      </c>
      <c r="E102" s="99">
        <v>1718167805.4200001</v>
      </c>
      <c r="F102" s="88">
        <f t="shared" si="57"/>
        <v>7.2894383814623822E-3</v>
      </c>
      <c r="G102" s="185" t="s">
        <v>347</v>
      </c>
      <c r="H102" s="122">
        <v>403.96300000000002</v>
      </c>
      <c r="I102" s="185" t="s">
        <v>347</v>
      </c>
      <c r="J102" s="122">
        <v>403.96300000000002</v>
      </c>
      <c r="K102" s="89">
        <v>96</v>
      </c>
      <c r="L102" s="90">
        <v>1.2999999999999999E-3</v>
      </c>
      <c r="M102" s="90">
        <v>5.0599999999999999E-2</v>
      </c>
      <c r="N102" s="185" t="s">
        <v>347</v>
      </c>
      <c r="O102" s="99">
        <v>1722297280.8099999</v>
      </c>
      <c r="P102" s="88">
        <f t="shared" si="51"/>
        <v>7.3048871273383434E-3</v>
      </c>
      <c r="Q102" s="185" t="s">
        <v>347</v>
      </c>
      <c r="R102" s="122">
        <v>404.6798</v>
      </c>
      <c r="S102" s="185" t="s">
        <v>347</v>
      </c>
      <c r="T102" s="122">
        <v>404.6798</v>
      </c>
      <c r="U102" s="89">
        <v>96</v>
      </c>
      <c r="V102" s="90">
        <v>1.8E-3</v>
      </c>
      <c r="W102" s="90">
        <v>5.2499999999999998E-2</v>
      </c>
      <c r="X102" s="200">
        <f t="shared" si="52"/>
        <v>2.4034179763893497E-3</v>
      </c>
      <c r="Y102" s="200">
        <f t="shared" si="53"/>
        <v>1.7744199344988968E-3</v>
      </c>
      <c r="Z102" s="200">
        <f t="shared" si="54"/>
        <v>0</v>
      </c>
      <c r="AA102" s="200">
        <f t="shared" si="55"/>
        <v>5.0000000000000001E-4</v>
      </c>
      <c r="AB102" s="201">
        <f t="shared" si="56"/>
        <v>1.8999999999999989E-3</v>
      </c>
    </row>
    <row r="103" spans="1:28">
      <c r="A103" s="175">
        <v>92</v>
      </c>
      <c r="B103" s="85" t="s">
        <v>148</v>
      </c>
      <c r="C103" s="86" t="s">
        <v>98</v>
      </c>
      <c r="D103" s="184" t="s">
        <v>347</v>
      </c>
      <c r="E103" s="110">
        <v>5524019975</v>
      </c>
      <c r="F103" s="92">
        <f>(E103/$O$76)</f>
        <v>9.6731995316113012E-4</v>
      </c>
      <c r="G103" s="185" t="s">
        <v>347</v>
      </c>
      <c r="H103" s="119">
        <v>103.75</v>
      </c>
      <c r="I103" s="185" t="s">
        <v>347</v>
      </c>
      <c r="J103" s="119">
        <v>103.75</v>
      </c>
      <c r="K103" s="93">
        <v>500</v>
      </c>
      <c r="L103" s="94">
        <v>-8.0000000000000004E-4</v>
      </c>
      <c r="M103" s="94">
        <v>0.14119999999999999</v>
      </c>
      <c r="N103" s="185" t="s">
        <v>347</v>
      </c>
      <c r="O103" s="110">
        <v>5745395499</v>
      </c>
      <c r="P103" s="92">
        <f t="shared" si="51"/>
        <v>2.4368305106058363E-2</v>
      </c>
      <c r="Q103" s="185" t="s">
        <v>347</v>
      </c>
      <c r="R103" s="119">
        <v>104.09</v>
      </c>
      <c r="S103" s="185" t="s">
        <v>347</v>
      </c>
      <c r="T103" s="119">
        <v>104.09</v>
      </c>
      <c r="U103" s="93">
        <v>500</v>
      </c>
      <c r="V103" s="94">
        <v>3.2000000000000002E-3</v>
      </c>
      <c r="W103" s="94">
        <v>0.14410000000000001</v>
      </c>
      <c r="X103" s="202">
        <f t="shared" si="52"/>
        <v>4.0075076665522014E-2</v>
      </c>
      <c r="Y103" s="202">
        <f t="shared" si="53"/>
        <v>3.2771084337349728E-3</v>
      </c>
      <c r="Z103" s="202">
        <f t="shared" si="54"/>
        <v>0</v>
      </c>
      <c r="AA103" s="200">
        <f t="shared" si="55"/>
        <v>4.0000000000000001E-3</v>
      </c>
      <c r="AB103" s="201">
        <f t="shared" si="56"/>
        <v>2.9000000000000137E-3</v>
      </c>
    </row>
    <row r="104" spans="1:28">
      <c r="A104" s="175">
        <v>93</v>
      </c>
      <c r="B104" s="85" t="s">
        <v>149</v>
      </c>
      <c r="C104" s="86" t="s">
        <v>42</v>
      </c>
      <c r="D104" s="184" t="s">
        <v>347</v>
      </c>
      <c r="E104" s="97">
        <v>60260098.859999999</v>
      </c>
      <c r="F104" s="92">
        <f t="shared" ref="F104:F116" si="65">(E104/$E$117)</f>
        <v>2.5565737881663161E-4</v>
      </c>
      <c r="G104" s="185" t="s">
        <v>347</v>
      </c>
      <c r="H104" s="97">
        <v>12.51</v>
      </c>
      <c r="I104" s="185" t="s">
        <v>347</v>
      </c>
      <c r="J104" s="97">
        <v>13.33</v>
      </c>
      <c r="K104" s="93">
        <v>54</v>
      </c>
      <c r="L104" s="94">
        <v>2.4299999999999999E-2</v>
      </c>
      <c r="M104" s="94">
        <v>-5.33E-2</v>
      </c>
      <c r="N104" s="185" t="s">
        <v>347</v>
      </c>
      <c r="O104" s="97">
        <v>60408529.029999994</v>
      </c>
      <c r="P104" s="92">
        <f t="shared" si="51"/>
        <v>2.5621447064304591E-4</v>
      </c>
      <c r="Q104" s="185" t="s">
        <v>347</v>
      </c>
      <c r="R104" s="97">
        <v>12.539512</v>
      </c>
      <c r="S104" s="185" t="s">
        <v>347</v>
      </c>
      <c r="T104" s="97">
        <v>13.369811</v>
      </c>
      <c r="U104" s="93">
        <v>54</v>
      </c>
      <c r="V104" s="94">
        <v>-3.0999999999999999E-3</v>
      </c>
      <c r="W104" s="94">
        <v>-5.6399999999999999E-2</v>
      </c>
      <c r="X104" s="202">
        <f t="shared" si="52"/>
        <v>2.4631584217084759E-3</v>
      </c>
      <c r="Y104" s="202">
        <f t="shared" si="53"/>
        <v>2.9865716429107476E-3</v>
      </c>
      <c r="Z104" s="202">
        <f t="shared" si="54"/>
        <v>0</v>
      </c>
      <c r="AA104" s="200">
        <f t="shared" si="55"/>
        <v>-2.7399999999999997E-2</v>
      </c>
      <c r="AB104" s="201">
        <f t="shared" si="56"/>
        <v>-3.0999999999999986E-3</v>
      </c>
    </row>
    <row r="105" spans="1:28">
      <c r="A105" s="175">
        <v>94</v>
      </c>
      <c r="B105" s="85" t="s">
        <v>150</v>
      </c>
      <c r="C105" s="86" t="s">
        <v>151</v>
      </c>
      <c r="D105" s="184" t="s">
        <v>347</v>
      </c>
      <c r="E105" s="97">
        <v>1045045959.5599999</v>
      </c>
      <c r="F105" s="92">
        <f t="shared" si="65"/>
        <v>4.433675281295766E-3</v>
      </c>
      <c r="G105" s="185" t="s">
        <v>347</v>
      </c>
      <c r="H105" s="97">
        <v>163.89</v>
      </c>
      <c r="I105" s="185" t="s">
        <v>347</v>
      </c>
      <c r="J105" s="97">
        <v>163.89</v>
      </c>
      <c r="K105" s="93">
        <v>189</v>
      </c>
      <c r="L105" s="94">
        <v>4.2299999999999997E-2</v>
      </c>
      <c r="M105" s="94">
        <v>0.17530000000000001</v>
      </c>
      <c r="N105" s="185" t="s">
        <v>347</v>
      </c>
      <c r="O105" s="97">
        <v>1052992482.11</v>
      </c>
      <c r="P105" s="92">
        <f t="shared" si="51"/>
        <v>4.4661228427021792E-3</v>
      </c>
      <c r="Q105" s="185" t="s">
        <v>347</v>
      </c>
      <c r="R105" s="97">
        <v>164.42</v>
      </c>
      <c r="S105" s="185" t="s">
        <v>347</v>
      </c>
      <c r="T105" s="97">
        <v>164.42</v>
      </c>
      <c r="U105" s="93">
        <v>191</v>
      </c>
      <c r="V105" s="94">
        <v>0.2278</v>
      </c>
      <c r="W105" s="94">
        <v>0.17780000000000001</v>
      </c>
      <c r="X105" s="202">
        <f t="shared" si="52"/>
        <v>7.6039933720674149E-3</v>
      </c>
      <c r="Y105" s="202">
        <f t="shared" si="53"/>
        <v>3.2338763804991223E-3</v>
      </c>
      <c r="Z105" s="202">
        <f t="shared" si="54"/>
        <v>1.0582010582010581E-2</v>
      </c>
      <c r="AA105" s="200">
        <f t="shared" si="55"/>
        <v>0.1855</v>
      </c>
      <c r="AB105" s="201">
        <f t="shared" si="56"/>
        <v>2.5000000000000022E-3</v>
      </c>
    </row>
    <row r="106" spans="1:28">
      <c r="A106" s="175">
        <v>95</v>
      </c>
      <c r="B106" s="85" t="s">
        <v>152</v>
      </c>
      <c r="C106" s="86" t="s">
        <v>153</v>
      </c>
      <c r="D106" s="184" t="s">
        <v>347</v>
      </c>
      <c r="E106" s="97">
        <v>12004744707.370001</v>
      </c>
      <c r="F106" s="92">
        <f t="shared" si="65"/>
        <v>5.0930908234640852E-2</v>
      </c>
      <c r="G106" s="185" t="s">
        <v>347</v>
      </c>
      <c r="H106" s="97">
        <v>1.044308</v>
      </c>
      <c r="I106" s="185" t="s">
        <v>347</v>
      </c>
      <c r="J106" s="97">
        <v>1.044308</v>
      </c>
      <c r="K106" s="93">
        <v>5387</v>
      </c>
      <c r="L106" s="94">
        <v>0.16009999999999999</v>
      </c>
      <c r="M106" s="94">
        <v>0.16009999999999999</v>
      </c>
      <c r="N106" s="185" t="s">
        <v>347</v>
      </c>
      <c r="O106" s="97">
        <v>12025200112.2265</v>
      </c>
      <c r="P106" s="92">
        <f t="shared" si="51"/>
        <v>5.1003232997127154E-2</v>
      </c>
      <c r="Q106" s="185" t="s">
        <v>347</v>
      </c>
      <c r="R106" s="97">
        <v>1.0466221556475199</v>
      </c>
      <c r="S106" s="185" t="s">
        <v>347</v>
      </c>
      <c r="T106" s="97">
        <v>1.0466221556475199</v>
      </c>
      <c r="U106" s="93">
        <v>5392</v>
      </c>
      <c r="V106" s="94">
        <v>0.16020000000000001</v>
      </c>
      <c r="W106" s="94">
        <v>0.16020000000000001</v>
      </c>
      <c r="X106" s="202">
        <f t="shared" si="52"/>
        <v>1.7039433453291727E-3</v>
      </c>
      <c r="Y106" s="202">
        <f t="shared" si="53"/>
        <v>2.2159704297198823E-3</v>
      </c>
      <c r="Z106" s="202">
        <f t="shared" si="54"/>
        <v>9.2816038611472063E-4</v>
      </c>
      <c r="AA106" s="200">
        <f t="shared" si="55"/>
        <v>1.0000000000001674E-4</v>
      </c>
      <c r="AB106" s="201">
        <f t="shared" si="56"/>
        <v>1.0000000000001674E-4</v>
      </c>
    </row>
    <row r="107" spans="1:28" ht="13.5" customHeight="1">
      <c r="A107" s="175">
        <v>96</v>
      </c>
      <c r="B107" s="85" t="s">
        <v>154</v>
      </c>
      <c r="C107" s="86" t="s">
        <v>46</v>
      </c>
      <c r="D107" s="184" t="s">
        <v>347</v>
      </c>
      <c r="E107" s="97">
        <v>15552901659.709999</v>
      </c>
      <c r="F107" s="92">
        <f t="shared" si="65"/>
        <v>6.5984194293343013E-2</v>
      </c>
      <c r="G107" s="185" t="s">
        <v>347</v>
      </c>
      <c r="H107" s="119">
        <v>259.25</v>
      </c>
      <c r="I107" s="185" t="s">
        <v>347</v>
      </c>
      <c r="J107" s="119">
        <v>259.25</v>
      </c>
      <c r="K107" s="93">
        <v>5912</v>
      </c>
      <c r="L107" s="94">
        <v>0</v>
      </c>
      <c r="M107" s="94">
        <v>0</v>
      </c>
      <c r="N107" s="185" t="s">
        <v>347</v>
      </c>
      <c r="O107" s="97">
        <v>15535790609.719999</v>
      </c>
      <c r="P107" s="92">
        <f t="shared" si="51"/>
        <v>6.5892919940391634E-2</v>
      </c>
      <c r="Q107" s="185" t="s">
        <v>347</v>
      </c>
      <c r="R107" s="119">
        <v>259.25</v>
      </c>
      <c r="S107" s="185" t="s">
        <v>347</v>
      </c>
      <c r="T107" s="119">
        <v>259.25</v>
      </c>
      <c r="U107" s="93">
        <v>5896</v>
      </c>
      <c r="V107" s="94">
        <v>0</v>
      </c>
      <c r="W107" s="94">
        <v>0</v>
      </c>
      <c r="X107" s="202">
        <f t="shared" si="52"/>
        <v>-1.1001837704874182E-3</v>
      </c>
      <c r="Y107" s="202">
        <f t="shared" si="53"/>
        <v>0</v>
      </c>
      <c r="Z107" s="202">
        <f t="shared" si="54"/>
        <v>-2.7063599458728013E-3</v>
      </c>
      <c r="AA107" s="200">
        <f t="shared" si="55"/>
        <v>0</v>
      </c>
      <c r="AB107" s="201">
        <f t="shared" si="56"/>
        <v>0</v>
      </c>
    </row>
    <row r="108" spans="1:28" ht="13.5" customHeight="1">
      <c r="A108" s="175">
        <v>97</v>
      </c>
      <c r="B108" s="85" t="s">
        <v>155</v>
      </c>
      <c r="C108" s="86" t="s">
        <v>46</v>
      </c>
      <c r="D108" s="184" t="s">
        <v>347</v>
      </c>
      <c r="E108" s="97">
        <v>1243377500.0999999</v>
      </c>
      <c r="F108" s="92">
        <f t="shared" si="65"/>
        <v>5.2751097088914083E-3</v>
      </c>
      <c r="G108" s="185" t="s">
        <v>347</v>
      </c>
      <c r="H108" s="96">
        <v>10759.93</v>
      </c>
      <c r="I108" s="185" t="s">
        <v>347</v>
      </c>
      <c r="J108" s="96">
        <v>10797.21</v>
      </c>
      <c r="K108" s="93">
        <v>30</v>
      </c>
      <c r="L108" s="94">
        <v>1.6400000000000001E-2</v>
      </c>
      <c r="M108" s="94">
        <v>0.1457</v>
      </c>
      <c r="N108" s="185" t="s">
        <v>347</v>
      </c>
      <c r="O108" s="97">
        <v>1261604356.54</v>
      </c>
      <c r="P108" s="92">
        <f t="shared" si="51"/>
        <v>5.3509214271933196E-3</v>
      </c>
      <c r="Q108" s="185" t="s">
        <v>347</v>
      </c>
      <c r="R108" s="96">
        <v>10913.26</v>
      </c>
      <c r="S108" s="185" t="s">
        <v>347</v>
      </c>
      <c r="T108" s="96">
        <v>10953.43</v>
      </c>
      <c r="U108" s="93">
        <v>30</v>
      </c>
      <c r="V108" s="94">
        <v>1.4500000000000001E-2</v>
      </c>
      <c r="W108" s="94">
        <v>0.1623</v>
      </c>
      <c r="X108" s="202">
        <f t="shared" si="52"/>
        <v>1.4659149323945578E-2</v>
      </c>
      <c r="Y108" s="202">
        <f t="shared" si="53"/>
        <v>1.4468552524217013E-2</v>
      </c>
      <c r="Z108" s="202">
        <f t="shared" si="54"/>
        <v>0</v>
      </c>
      <c r="AA108" s="200">
        <f t="shared" si="55"/>
        <v>-1.9000000000000006E-3</v>
      </c>
      <c r="AB108" s="201">
        <f t="shared" si="56"/>
        <v>1.6600000000000004E-2</v>
      </c>
    </row>
    <row r="109" spans="1:28" ht="15" customHeight="1">
      <c r="A109" s="175">
        <v>98</v>
      </c>
      <c r="B109" s="85" t="s">
        <v>156</v>
      </c>
      <c r="C109" s="86" t="s">
        <v>46</v>
      </c>
      <c r="D109" s="184" t="s">
        <v>347</v>
      </c>
      <c r="E109" s="97">
        <v>5800341610.0699997</v>
      </c>
      <c r="F109" s="92">
        <f t="shared" si="65"/>
        <v>2.4608325580691502E-2</v>
      </c>
      <c r="G109" s="185" t="s">
        <v>347</v>
      </c>
      <c r="H109" s="119">
        <v>171.22</v>
      </c>
      <c r="I109" s="185" t="s">
        <v>347</v>
      </c>
      <c r="J109" s="119">
        <v>171.22</v>
      </c>
      <c r="K109" s="93">
        <v>6216</v>
      </c>
      <c r="L109" s="94">
        <v>-4.0000000000000002E-4</v>
      </c>
      <c r="M109" s="94">
        <v>0.19420000000000001</v>
      </c>
      <c r="N109" s="185" t="s">
        <v>347</v>
      </c>
      <c r="O109" s="97">
        <v>5713458237.3599997</v>
      </c>
      <c r="P109" s="92">
        <f t="shared" si="51"/>
        <v>2.4232847601691431E-2</v>
      </c>
      <c r="Q109" s="185" t="s">
        <v>347</v>
      </c>
      <c r="R109" s="119">
        <v>171.66</v>
      </c>
      <c r="S109" s="185" t="s">
        <v>347</v>
      </c>
      <c r="T109" s="119">
        <v>171.66</v>
      </c>
      <c r="U109" s="93">
        <v>6222</v>
      </c>
      <c r="V109" s="94">
        <v>4.1999999999999997E-3</v>
      </c>
      <c r="W109" s="94">
        <v>0.1928</v>
      </c>
      <c r="X109" s="202">
        <f t="shared" si="52"/>
        <v>-1.4979009608530887E-2</v>
      </c>
      <c r="Y109" s="202">
        <f t="shared" si="53"/>
        <v>2.5697932484522704E-3</v>
      </c>
      <c r="Z109" s="202">
        <f t="shared" si="54"/>
        <v>9.6525096525096527E-4</v>
      </c>
      <c r="AA109" s="200">
        <f t="shared" si="55"/>
        <v>4.5999999999999999E-3</v>
      </c>
      <c r="AB109" s="201">
        <f t="shared" si="56"/>
        <v>-1.4000000000000123E-3</v>
      </c>
    </row>
    <row r="110" spans="1:28" ht="15" customHeight="1">
      <c r="A110" s="175">
        <v>99</v>
      </c>
      <c r="B110" s="85" t="s">
        <v>157</v>
      </c>
      <c r="C110" s="86" t="s">
        <v>46</v>
      </c>
      <c r="D110" s="184" t="s">
        <v>347</v>
      </c>
      <c r="E110" s="97">
        <v>5690998451.7799997</v>
      </c>
      <c r="F110" s="92">
        <f t="shared" si="65"/>
        <v>2.4144430137955857E-2</v>
      </c>
      <c r="G110" s="185" t="s">
        <v>347</v>
      </c>
      <c r="H110" s="119">
        <v>388.15</v>
      </c>
      <c r="I110" s="185" t="s">
        <v>347</v>
      </c>
      <c r="J110" s="119">
        <v>388.15</v>
      </c>
      <c r="K110" s="93">
        <v>11946</v>
      </c>
      <c r="L110" s="94">
        <v>0</v>
      </c>
      <c r="M110" s="94">
        <v>7.6E-3</v>
      </c>
      <c r="N110" s="185" t="s">
        <v>347</v>
      </c>
      <c r="O110" s="97">
        <v>5669550484.5900002</v>
      </c>
      <c r="P110" s="92">
        <f t="shared" si="51"/>
        <v>2.404661890495385E-2</v>
      </c>
      <c r="Q110" s="185" t="s">
        <v>347</v>
      </c>
      <c r="R110" s="119">
        <v>388.15</v>
      </c>
      <c r="S110" s="185" t="s">
        <v>347</v>
      </c>
      <c r="T110" s="119">
        <v>388.15</v>
      </c>
      <c r="U110" s="93">
        <v>12011</v>
      </c>
      <c r="V110" s="94">
        <v>0</v>
      </c>
      <c r="W110" s="94">
        <v>7.6E-3</v>
      </c>
      <c r="X110" s="202">
        <f t="shared" si="52"/>
        <v>-3.768752947611715E-3</v>
      </c>
      <c r="Y110" s="202">
        <f t="shared" si="53"/>
        <v>0</v>
      </c>
      <c r="Z110" s="202">
        <f t="shared" si="54"/>
        <v>5.4411518499916291E-3</v>
      </c>
      <c r="AA110" s="200">
        <f t="shared" si="55"/>
        <v>0</v>
      </c>
      <c r="AB110" s="201">
        <f t="shared" si="56"/>
        <v>0</v>
      </c>
    </row>
    <row r="111" spans="1:28" ht="15" customHeight="1">
      <c r="A111" s="175">
        <v>100</v>
      </c>
      <c r="B111" s="85" t="s">
        <v>158</v>
      </c>
      <c r="C111" s="86" t="s">
        <v>112</v>
      </c>
      <c r="D111" s="184" t="s">
        <v>347</v>
      </c>
      <c r="E111" s="97">
        <v>117796202.33</v>
      </c>
      <c r="F111" s="92">
        <f t="shared" si="65"/>
        <v>4.9975803047066873E-4</v>
      </c>
      <c r="G111" s="185" t="s">
        <v>347</v>
      </c>
      <c r="H111" s="119">
        <v>118.4044</v>
      </c>
      <c r="I111" s="185" t="s">
        <v>347</v>
      </c>
      <c r="J111" s="119">
        <v>118.4044</v>
      </c>
      <c r="K111" s="93">
        <v>27</v>
      </c>
      <c r="L111" s="94">
        <v>-6.4932000000000002E-3</v>
      </c>
      <c r="M111" s="94">
        <v>0.1467</v>
      </c>
      <c r="N111" s="185" t="s">
        <v>347</v>
      </c>
      <c r="O111" s="97">
        <v>118026149.79000001</v>
      </c>
      <c r="P111" s="92">
        <f t="shared" si="51"/>
        <v>5.0059168756557456E-4</v>
      </c>
      <c r="Q111" s="185" t="s">
        <v>347</v>
      </c>
      <c r="R111" s="119">
        <v>118.6533</v>
      </c>
      <c r="S111" s="185" t="s">
        <v>347</v>
      </c>
      <c r="T111" s="119">
        <v>118.6533</v>
      </c>
      <c r="U111" s="93">
        <v>26</v>
      </c>
      <c r="V111" s="94">
        <v>2.8452E-3</v>
      </c>
      <c r="W111" s="94">
        <v>0.14599999999999999</v>
      </c>
      <c r="X111" s="202">
        <f t="shared" ref="X111" si="66">((O111-E111)/E111)</f>
        <v>1.9520787211443572E-3</v>
      </c>
      <c r="Y111" s="202">
        <f t="shared" ref="Y111" si="67">((T111-J111)/J111)</f>
        <v>2.102117826702438E-3</v>
      </c>
      <c r="Z111" s="202">
        <f t="shared" ref="Z111" si="68">((U111-K111)/K111)</f>
        <v>-3.7037037037037035E-2</v>
      </c>
      <c r="AA111" s="200">
        <f t="shared" ref="AA111" si="69">V111-L111</f>
        <v>9.3384000000000002E-3</v>
      </c>
      <c r="AB111" s="201">
        <f t="shared" ref="AB111" si="70">W111-M111</f>
        <v>-7.0000000000000617E-4</v>
      </c>
    </row>
    <row r="112" spans="1:28">
      <c r="A112" s="175">
        <v>101</v>
      </c>
      <c r="B112" s="85" t="s">
        <v>159</v>
      </c>
      <c r="C112" s="86" t="s">
        <v>49</v>
      </c>
      <c r="D112" s="184" t="s">
        <v>347</v>
      </c>
      <c r="E112" s="97">
        <v>77425298241.190002</v>
      </c>
      <c r="F112" s="92">
        <f t="shared" si="65"/>
        <v>0.32848185079194864</v>
      </c>
      <c r="G112" s="185" t="s">
        <v>347</v>
      </c>
      <c r="H112" s="97">
        <v>2.02922</v>
      </c>
      <c r="I112" s="185" t="s">
        <v>347</v>
      </c>
      <c r="J112" s="97">
        <v>2.02922</v>
      </c>
      <c r="K112" s="93">
        <v>7040</v>
      </c>
      <c r="L112" s="94">
        <v>1.5E-3</v>
      </c>
      <c r="M112" s="94">
        <v>8.5699999999999998E-2</v>
      </c>
      <c r="N112" s="185" t="s">
        <v>347</v>
      </c>
      <c r="O112" s="97">
        <v>77530933607.869995</v>
      </c>
      <c r="P112" s="92">
        <f t="shared" si="51"/>
        <v>0.32883679559448381</v>
      </c>
      <c r="Q112" s="185" t="s">
        <v>347</v>
      </c>
      <c r="R112" s="97">
        <v>2.03199</v>
      </c>
      <c r="S112" s="185" t="s">
        <v>347</v>
      </c>
      <c r="T112" s="97">
        <v>2.03199</v>
      </c>
      <c r="U112" s="93">
        <v>7056</v>
      </c>
      <c r="V112" s="94">
        <v>1.4E-3</v>
      </c>
      <c r="W112" s="94">
        <v>8.5699999999999998E-2</v>
      </c>
      <c r="X112" s="202">
        <f t="shared" si="52"/>
        <v>1.3643520797417478E-3</v>
      </c>
      <c r="Y112" s="202">
        <f t="shared" si="53"/>
        <v>1.3650565241816754E-3</v>
      </c>
      <c r="Z112" s="202">
        <f t="shared" si="54"/>
        <v>2.2727272727272726E-3</v>
      </c>
      <c r="AA112" s="200">
        <f t="shared" si="55"/>
        <v>-1.0000000000000005E-4</v>
      </c>
      <c r="AB112" s="201">
        <f t="shared" si="56"/>
        <v>0</v>
      </c>
    </row>
    <row r="113" spans="1:34">
      <c r="A113" s="175">
        <v>102</v>
      </c>
      <c r="B113" s="85" t="s">
        <v>160</v>
      </c>
      <c r="C113" s="86" t="s">
        <v>49</v>
      </c>
      <c r="D113" s="184" t="s">
        <v>347</v>
      </c>
      <c r="E113" s="97">
        <v>61098952825.639999</v>
      </c>
      <c r="F113" s="92">
        <f t="shared" si="65"/>
        <v>0.25921627118691637</v>
      </c>
      <c r="G113" s="185" t="s">
        <v>347</v>
      </c>
      <c r="H113" s="97">
        <v>134.80479</v>
      </c>
      <c r="I113" s="185" t="s">
        <v>347</v>
      </c>
      <c r="J113" s="97">
        <v>134.80479</v>
      </c>
      <c r="K113" s="93">
        <v>1535</v>
      </c>
      <c r="L113" s="94">
        <v>2.8E-3</v>
      </c>
      <c r="M113" s="94">
        <v>0.15190000000000001</v>
      </c>
      <c r="N113" s="185" t="s">
        <v>347</v>
      </c>
      <c r="O113" s="97">
        <v>60752971895.580002</v>
      </c>
      <c r="P113" s="92">
        <f t="shared" si="51"/>
        <v>0.25767537770184101</v>
      </c>
      <c r="Q113" s="185" t="s">
        <v>347</v>
      </c>
      <c r="R113" s="97">
        <v>135.16235</v>
      </c>
      <c r="S113" s="185" t="s">
        <v>347</v>
      </c>
      <c r="T113" s="97">
        <v>135.16235</v>
      </c>
      <c r="U113" s="93">
        <v>1558</v>
      </c>
      <c r="V113" s="94">
        <v>2.7000000000000001E-3</v>
      </c>
      <c r="W113" s="94">
        <v>0.153</v>
      </c>
      <c r="X113" s="202">
        <f t="shared" ref="X113:X115" si="71">((O113-E113)/E113)</f>
        <v>-5.6626327303404729E-3</v>
      </c>
      <c r="Y113" s="202">
        <f t="shared" ref="Y113:Y115" si="72">((T113-J113)/J113)</f>
        <v>2.6524280034856814E-3</v>
      </c>
      <c r="Z113" s="202">
        <f t="shared" ref="Z113:Z115" si="73">((U113-K113)/K113)</f>
        <v>1.4983713355048859E-2</v>
      </c>
      <c r="AA113" s="200">
        <f t="shared" ref="AA113:AA115" si="74">V113-L113</f>
        <v>-9.9999999999999829E-5</v>
      </c>
      <c r="AB113" s="201">
        <f t="shared" ref="AB113:AB115" si="75">W113-M113</f>
        <v>1.0999999999999899E-3</v>
      </c>
      <c r="AD113" s="50"/>
    </row>
    <row r="114" spans="1:34">
      <c r="A114" s="175">
        <v>103</v>
      </c>
      <c r="B114" s="85" t="s">
        <v>161</v>
      </c>
      <c r="C114" s="85" t="s">
        <v>162</v>
      </c>
      <c r="D114" s="184" t="s">
        <v>347</v>
      </c>
      <c r="E114" s="97">
        <v>117586713.13</v>
      </c>
      <c r="F114" s="92">
        <f t="shared" si="65"/>
        <v>4.9886925894895547E-4</v>
      </c>
      <c r="G114" s="185" t="s">
        <v>347</v>
      </c>
      <c r="H114" s="97">
        <v>118.45687482566299</v>
      </c>
      <c r="I114" s="185" t="s">
        <v>347</v>
      </c>
      <c r="J114" s="97">
        <v>118.45687482566299</v>
      </c>
      <c r="K114" s="123">
        <v>90</v>
      </c>
      <c r="L114" s="124">
        <v>8.0000000000000004E-4</v>
      </c>
      <c r="M114" s="124">
        <v>1.5299999999999999E-2</v>
      </c>
      <c r="N114" s="185" t="s">
        <v>347</v>
      </c>
      <c r="O114" s="97">
        <v>118478718.48</v>
      </c>
      <c r="P114" s="92">
        <f t="shared" si="51"/>
        <v>5.0251119544301981E-4</v>
      </c>
      <c r="Q114" s="185" t="s">
        <v>347</v>
      </c>
      <c r="R114" s="97">
        <v>119.3</v>
      </c>
      <c r="S114" s="185" t="s">
        <v>347</v>
      </c>
      <c r="T114" s="97">
        <v>119.3</v>
      </c>
      <c r="U114" s="123">
        <v>90</v>
      </c>
      <c r="V114" s="124">
        <v>8.0000000000000004E-4</v>
      </c>
      <c r="W114" s="124">
        <v>2.2837658601996047E-2</v>
      </c>
      <c r="X114" s="202">
        <f t="shared" si="71"/>
        <v>7.5859365931407333E-3</v>
      </c>
      <c r="Y114" s="202">
        <f t="shared" si="72"/>
        <v>7.1175706397611791E-3</v>
      </c>
      <c r="Z114" s="202">
        <f t="shared" si="73"/>
        <v>0</v>
      </c>
      <c r="AA114" s="200">
        <f t="shared" si="74"/>
        <v>0</v>
      </c>
      <c r="AB114" s="201">
        <f t="shared" si="75"/>
        <v>7.5376586019960477E-3</v>
      </c>
      <c r="AD114" s="41"/>
    </row>
    <row r="115" spans="1:34">
      <c r="A115" s="175">
        <v>104</v>
      </c>
      <c r="B115" s="85" t="s">
        <v>163</v>
      </c>
      <c r="C115" s="86" t="s">
        <v>119</v>
      </c>
      <c r="D115" s="184" t="s">
        <v>347</v>
      </c>
      <c r="E115" s="97">
        <v>529950759.79000002</v>
      </c>
      <c r="F115" s="92">
        <f t="shared" si="65"/>
        <v>2.2483504792211316E-3</v>
      </c>
      <c r="G115" s="185" t="s">
        <v>347</v>
      </c>
      <c r="H115" s="97">
        <v>1.45</v>
      </c>
      <c r="I115" s="185" t="s">
        <v>347</v>
      </c>
      <c r="J115" s="97">
        <v>1.45</v>
      </c>
      <c r="K115" s="93">
        <v>903</v>
      </c>
      <c r="L115" s="94">
        <v>-4.3E-3</v>
      </c>
      <c r="M115" s="94">
        <v>5.8500000000000003E-2</v>
      </c>
      <c r="N115" s="185" t="s">
        <v>347</v>
      </c>
      <c r="O115" s="97">
        <v>530032955.83999997</v>
      </c>
      <c r="P115" s="92">
        <f t="shared" si="51"/>
        <v>2.2480619108681274E-3</v>
      </c>
      <c r="Q115" s="185" t="s">
        <v>347</v>
      </c>
      <c r="R115" s="97">
        <v>1.45</v>
      </c>
      <c r="S115" s="185" t="s">
        <v>347</v>
      </c>
      <c r="T115" s="97">
        <v>1.45</v>
      </c>
      <c r="U115" s="93">
        <v>908</v>
      </c>
      <c r="V115" s="94">
        <v>-3.3999999999999998E-3</v>
      </c>
      <c r="W115" s="94">
        <v>5.5800000000000002E-2</v>
      </c>
      <c r="X115" s="202">
        <f t="shared" si="71"/>
        <v>1.5510129664220802E-4</v>
      </c>
      <c r="Y115" s="202">
        <f t="shared" si="72"/>
        <v>0</v>
      </c>
      <c r="Z115" s="202">
        <f t="shared" si="73"/>
        <v>5.5370985603543747E-3</v>
      </c>
      <c r="AA115" s="200">
        <f t="shared" si="74"/>
        <v>9.0000000000000019E-4</v>
      </c>
      <c r="AB115" s="201">
        <f t="shared" si="75"/>
        <v>-2.700000000000001E-3</v>
      </c>
    </row>
    <row r="116" spans="1:34">
      <c r="A116" s="175">
        <v>105</v>
      </c>
      <c r="B116" s="85" t="s">
        <v>164</v>
      </c>
      <c r="C116" s="86" t="s">
        <v>121</v>
      </c>
      <c r="D116" s="184" t="s">
        <v>347</v>
      </c>
      <c r="E116" s="97">
        <v>2039610594.25</v>
      </c>
      <c r="F116" s="92">
        <f t="shared" si="65"/>
        <v>8.6531802668301724E-3</v>
      </c>
      <c r="G116" s="185" t="s">
        <v>347</v>
      </c>
      <c r="H116" s="119">
        <v>31.427700000000002</v>
      </c>
      <c r="I116" s="185" t="s">
        <v>347</v>
      </c>
      <c r="J116" s="119">
        <v>31.427700000000002</v>
      </c>
      <c r="K116" s="93">
        <v>1551</v>
      </c>
      <c r="L116" s="94">
        <v>0.1439</v>
      </c>
      <c r="M116" s="94">
        <v>0.1439</v>
      </c>
      <c r="N116" s="185" t="s">
        <v>347</v>
      </c>
      <c r="O116" s="97">
        <v>2039610594.25</v>
      </c>
      <c r="P116" s="92">
        <f t="shared" si="51"/>
        <v>8.650727920625087E-3</v>
      </c>
      <c r="Q116" s="185" t="s">
        <v>347</v>
      </c>
      <c r="R116" s="119">
        <v>31.491499999999998</v>
      </c>
      <c r="S116" s="185" t="s">
        <v>347</v>
      </c>
      <c r="T116" s="119">
        <v>31.491499999999998</v>
      </c>
      <c r="U116" s="93">
        <v>1550</v>
      </c>
      <c r="V116" s="94">
        <v>0.14399999999999999</v>
      </c>
      <c r="W116" s="94">
        <v>0.14399999999999999</v>
      </c>
      <c r="X116" s="202">
        <f t="shared" si="52"/>
        <v>0</v>
      </c>
      <c r="Y116" s="202">
        <f t="shared" si="53"/>
        <v>2.0300562879242505E-3</v>
      </c>
      <c r="Z116" s="202">
        <f t="shared" si="54"/>
        <v>-6.4474532559638943E-4</v>
      </c>
      <c r="AA116" s="200">
        <f t="shared" si="55"/>
        <v>9.9999999999988987E-5</v>
      </c>
      <c r="AB116" s="201">
        <f t="shared" si="56"/>
        <v>9.9999999999988987E-5</v>
      </c>
    </row>
    <row r="117" spans="1:34">
      <c r="A117" s="101"/>
      <c r="B117" s="102"/>
      <c r="C117" s="103" t="s">
        <v>52</v>
      </c>
      <c r="D117" s="184" t="s">
        <v>347</v>
      </c>
      <c r="E117" s="117">
        <f>SUM(E79:E116)</f>
        <v>235706472228.2908</v>
      </c>
      <c r="F117" s="105">
        <f>(E117/$E$238)</f>
        <v>2.6879784838907978E-2</v>
      </c>
      <c r="G117" s="185" t="s">
        <v>347</v>
      </c>
      <c r="H117" s="106"/>
      <c r="I117" s="185" t="s">
        <v>347</v>
      </c>
      <c r="J117" s="111"/>
      <c r="K117" s="108">
        <f>SUM(K79:K116)</f>
        <v>66244</v>
      </c>
      <c r="L117" s="114"/>
      <c r="M117" s="114"/>
      <c r="N117" s="185" t="s">
        <v>347</v>
      </c>
      <c r="O117" s="117">
        <f>SUM(O79:O116)</f>
        <v>235773291330.45038</v>
      </c>
      <c r="P117" s="105">
        <f>(O117/$O$238)</f>
        <v>2.6620937947134576E-2</v>
      </c>
      <c r="Q117" s="187"/>
      <c r="R117" s="106"/>
      <c r="S117" s="106"/>
      <c r="T117" s="111"/>
      <c r="U117" s="108">
        <f>SUM(U79:U116)</f>
        <v>66563</v>
      </c>
      <c r="V117" s="114"/>
      <c r="W117" s="114"/>
      <c r="X117" s="202">
        <f t="shared" si="52"/>
        <v>2.8348437583359843E-4</v>
      </c>
      <c r="Y117" s="202" t="e">
        <f t="shared" si="53"/>
        <v>#DIV/0!</v>
      </c>
      <c r="Z117" s="202">
        <f t="shared" si="54"/>
        <v>4.8155304631362838E-3</v>
      </c>
      <c r="AA117" s="200">
        <f t="shared" si="55"/>
        <v>0</v>
      </c>
      <c r="AB117" s="201">
        <f t="shared" si="56"/>
        <v>0</v>
      </c>
    </row>
    <row r="118" spans="1:34" ht="3.75" customHeight="1">
      <c r="A118" s="101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</row>
    <row r="119" spans="1:34" ht="15" customHeight="1">
      <c r="A119" s="214" t="s">
        <v>165</v>
      </c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</row>
    <row r="120" spans="1:34">
      <c r="A120" s="213" t="s">
        <v>166</v>
      </c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F120" s="23"/>
      <c r="AH120" s="25"/>
    </row>
    <row r="121" spans="1:34" ht="16.5" customHeight="1">
      <c r="A121" s="175">
        <v>106</v>
      </c>
      <c r="B121" s="85" t="s">
        <v>167</v>
      </c>
      <c r="C121" s="86" t="s">
        <v>19</v>
      </c>
      <c r="D121" s="205">
        <v>0</v>
      </c>
      <c r="E121" s="97">
        <v>3677091271.1089253</v>
      </c>
      <c r="F121" s="92">
        <f t="shared" ref="F121:F126" si="76">(E121/$E$161)</f>
        <v>1.9924483883827795E-3</v>
      </c>
      <c r="G121" s="188">
        <v>0</v>
      </c>
      <c r="H121" s="97">
        <v>159951.38603267999</v>
      </c>
      <c r="I121" s="188">
        <v>0</v>
      </c>
      <c r="J121" s="97">
        <v>159951.38603267999</v>
      </c>
      <c r="K121" s="93">
        <v>190</v>
      </c>
      <c r="L121" s="94">
        <v>6.1999999999999998E-3</v>
      </c>
      <c r="M121" s="94">
        <v>2.8000000000000001E-2</v>
      </c>
      <c r="N121" s="188">
        <v>2724461.61</v>
      </c>
      <c r="O121" s="97">
        <f>2724461.61*AC140</f>
        <v>3745979691.8843908</v>
      </c>
      <c r="P121" s="92">
        <f t="shared" ref="P121:P138" si="77">(O121/$O$161)</f>
        <v>2.0021240935656306E-3</v>
      </c>
      <c r="Q121" s="188">
        <v>117.86279999999999</v>
      </c>
      <c r="R121" s="125">
        <f>117.8628*AC140</f>
        <v>162054.64360667998</v>
      </c>
      <c r="S121" s="188">
        <v>117.86279999999999</v>
      </c>
      <c r="T121" s="97">
        <f>117.8628*AC140</f>
        <v>162054.64360667998</v>
      </c>
      <c r="U121" s="93">
        <v>190</v>
      </c>
      <c r="V121" s="94">
        <v>1E-3</v>
      </c>
      <c r="W121" s="94">
        <v>2.9000000000000001E-2</v>
      </c>
      <c r="X121" s="202">
        <f>((O121-E121)/E121)</f>
        <v>1.8734487587165696E-2</v>
      </c>
      <c r="Y121" s="202">
        <f>((T121-J121)/J121)</f>
        <v>1.3149355101994975E-2</v>
      </c>
      <c r="Z121" s="202">
        <f>((U121-K121)/K121)</f>
        <v>0</v>
      </c>
      <c r="AA121" s="202">
        <f>V121-L121</f>
        <v>-5.1999999999999998E-3</v>
      </c>
      <c r="AB121" s="203">
        <f>W121-M121</f>
        <v>1.0000000000000009E-3</v>
      </c>
      <c r="AD121" s="23"/>
      <c r="AE121" s="26"/>
      <c r="AF121" s="23"/>
      <c r="AG121" s="27"/>
    </row>
    <row r="122" spans="1:34" ht="16.5" customHeight="1">
      <c r="A122" s="175">
        <v>107</v>
      </c>
      <c r="B122" s="85" t="s">
        <v>168</v>
      </c>
      <c r="C122" s="86" t="s">
        <v>56</v>
      </c>
      <c r="D122" s="205">
        <v>0</v>
      </c>
      <c r="E122" s="97">
        <v>5129719948.5028524</v>
      </c>
      <c r="F122" s="92">
        <f t="shared" si="76"/>
        <v>2.779561748862213E-3</v>
      </c>
      <c r="G122" s="188">
        <v>0</v>
      </c>
      <c r="H122" s="97">
        <v>143749.60228199998</v>
      </c>
      <c r="I122" s="188">
        <v>0</v>
      </c>
      <c r="J122" s="97">
        <v>143749.60228199998</v>
      </c>
      <c r="K122" s="93">
        <v>106</v>
      </c>
      <c r="L122" s="94">
        <v>2.8860000000000001E-3</v>
      </c>
      <c r="M122" s="94">
        <v>5.8235000000000002E-2</v>
      </c>
      <c r="N122" s="188">
        <v>3869725.81</v>
      </c>
      <c r="O122" s="97">
        <f>3869725.81*AC140</f>
        <v>5320652801.3514109</v>
      </c>
      <c r="P122" s="92">
        <f t="shared" si="77"/>
        <v>2.8437439717470554E-3</v>
      </c>
      <c r="Q122" s="188">
        <v>106.09</v>
      </c>
      <c r="R122" s="97">
        <f>106.09*AC140</f>
        <v>145867.713479</v>
      </c>
      <c r="S122" s="188">
        <v>106.09</v>
      </c>
      <c r="T122" s="97">
        <f>106.09*AC140</f>
        <v>145867.713479</v>
      </c>
      <c r="U122" s="93">
        <v>107</v>
      </c>
      <c r="V122" s="94">
        <v>2.6199999999999999E-3</v>
      </c>
      <c r="W122" s="94">
        <v>6.0854999999999999E-2</v>
      </c>
      <c r="X122" s="200">
        <f>((O122-E122)/E122)</f>
        <v>3.7220911621946073E-2</v>
      </c>
      <c r="Y122" s="200">
        <f>((T122-J122)/J122)</f>
        <v>1.4734727354896102E-2</v>
      </c>
      <c r="Z122" s="200">
        <f>((U122-K122)/K122)</f>
        <v>9.433962264150943E-3</v>
      </c>
      <c r="AA122" s="200">
        <f>V122-L122</f>
        <v>-2.6600000000000018E-4</v>
      </c>
      <c r="AB122" s="201">
        <f>W122-M122</f>
        <v>2.6199999999999973E-3</v>
      </c>
      <c r="AD122" s="23"/>
      <c r="AE122" s="26"/>
      <c r="AF122" s="23"/>
      <c r="AG122" s="27"/>
    </row>
    <row r="123" spans="1:34">
      <c r="A123" s="175">
        <v>108</v>
      </c>
      <c r="B123" s="85" t="s">
        <v>169</v>
      </c>
      <c r="C123" s="86" t="s">
        <v>23</v>
      </c>
      <c r="D123" s="205">
        <v>0</v>
      </c>
      <c r="E123" s="97">
        <v>18086714361.731201</v>
      </c>
      <c r="F123" s="92">
        <f t="shared" si="76"/>
        <v>9.8003672534087323E-3</v>
      </c>
      <c r="G123" s="188">
        <v>0</v>
      </c>
      <c r="H123" s="97">
        <v>1668.2941463099999</v>
      </c>
      <c r="I123" s="188">
        <v>0</v>
      </c>
      <c r="J123" s="97">
        <v>1668.2941463099999</v>
      </c>
      <c r="K123" s="93">
        <v>339</v>
      </c>
      <c r="L123" s="94">
        <v>7.6499999999999999E-2</v>
      </c>
      <c r="M123" s="94">
        <v>5.5199999999999999E-2</v>
      </c>
      <c r="N123" s="188">
        <v>13377905.18</v>
      </c>
      <c r="O123" s="97">
        <f>13377905.18*FX_RATE</f>
        <v>18393858419.695255</v>
      </c>
      <c r="P123" s="92">
        <f t="shared" si="77"/>
        <v>9.8310162213349934E-3</v>
      </c>
      <c r="Q123" s="188">
        <v>1.2295</v>
      </c>
      <c r="R123" s="97">
        <f>1.2295*AC140</f>
        <v>1690.4925414500001</v>
      </c>
      <c r="S123" s="188">
        <v>1.2295</v>
      </c>
      <c r="T123" s="97">
        <f>1.2295*AC140</f>
        <v>1690.4925414500001</v>
      </c>
      <c r="U123" s="93">
        <v>341</v>
      </c>
      <c r="V123" s="94">
        <v>5.9400000000000001E-2</v>
      </c>
      <c r="W123" s="94">
        <v>5.5500000000000001E-2</v>
      </c>
      <c r="X123" s="200">
        <f t="shared" ref="X123:X136" si="78">((O123-E123)/E123)</f>
        <v>1.6981749798289803E-2</v>
      </c>
      <c r="Y123" s="200">
        <f t="shared" ref="Y123:Y136" si="79">((T123-J123)/J123)</f>
        <v>1.3306043894657027E-2</v>
      </c>
      <c r="Z123" s="200">
        <f t="shared" ref="Z123:Z136" si="80">((U123-K123)/K123)</f>
        <v>5.8997050147492625E-3</v>
      </c>
      <c r="AA123" s="200">
        <f t="shared" ref="AA123:AA136" si="81">V123-L123</f>
        <v>-1.7099999999999997E-2</v>
      </c>
      <c r="AB123" s="201">
        <f t="shared" ref="AB123:AB136" si="82">W123-M123</f>
        <v>3.0000000000000165E-4</v>
      </c>
    </row>
    <row r="124" spans="1:34">
      <c r="A124" s="175">
        <v>109</v>
      </c>
      <c r="B124" s="85" t="s">
        <v>170</v>
      </c>
      <c r="C124" s="86" t="s">
        <v>23</v>
      </c>
      <c r="D124" s="205">
        <v>0</v>
      </c>
      <c r="E124" s="97">
        <v>4239908239.5020995</v>
      </c>
      <c r="F124" s="92">
        <f t="shared" si="76"/>
        <v>2.2974132856210462E-3</v>
      </c>
      <c r="G124" s="188">
        <v>0</v>
      </c>
      <c r="H124" s="97">
        <v>1440.34873653</v>
      </c>
      <c r="I124" s="188">
        <v>0</v>
      </c>
      <c r="J124" s="97">
        <v>1440.34873653</v>
      </c>
      <c r="K124" s="93">
        <v>122</v>
      </c>
      <c r="L124" s="94">
        <v>4.4299999999999999E-2</v>
      </c>
      <c r="M124" s="94">
        <v>4.87E-2</v>
      </c>
      <c r="N124" s="188">
        <v>3127538.99</v>
      </c>
      <c r="O124" s="97">
        <f>3127538.99*AC140</f>
        <v>4300188154.2814693</v>
      </c>
      <c r="P124" s="92">
        <f t="shared" si="77"/>
        <v>2.2983334184124983E-3</v>
      </c>
      <c r="Q124" s="188">
        <v>1.0609</v>
      </c>
      <c r="R124" s="97">
        <f>1.0609*AC140</f>
        <v>1458.6771347899999</v>
      </c>
      <c r="S124" s="188">
        <v>1.0609</v>
      </c>
      <c r="T124" s="97">
        <f>1.0609*AC140</f>
        <v>1458.6771347899999</v>
      </c>
      <c r="U124" s="93">
        <v>123</v>
      </c>
      <c r="V124" s="94">
        <v>2.9499999999999998E-2</v>
      </c>
      <c r="W124" s="94">
        <v>4.7699999999999999E-2</v>
      </c>
      <c r="X124" s="200">
        <f t="shared" si="78"/>
        <v>1.4217268717694848E-2</v>
      </c>
      <c r="Y124" s="200">
        <f t="shared" ref="Y124" si="83">((T124-J124)/J124)</f>
        <v>1.272497263694313E-2</v>
      </c>
      <c r="Z124" s="200">
        <f t="shared" ref="Z124" si="84">((U124-K124)/K124)</f>
        <v>8.1967213114754103E-3</v>
      </c>
      <c r="AA124" s="200">
        <f t="shared" ref="AA124" si="85">V124-L124</f>
        <v>-1.4800000000000001E-2</v>
      </c>
      <c r="AB124" s="201">
        <f t="shared" ref="AB124" si="86">W124-M124</f>
        <v>-1.0000000000000009E-3</v>
      </c>
    </row>
    <row r="125" spans="1:34">
      <c r="A125" s="175">
        <v>110</v>
      </c>
      <c r="B125" s="85" t="s">
        <v>171</v>
      </c>
      <c r="C125" s="86" t="s">
        <v>27</v>
      </c>
      <c r="D125" s="205">
        <v>0</v>
      </c>
      <c r="E125" s="97">
        <v>47372864386.072365</v>
      </c>
      <c r="F125" s="92">
        <f t="shared" si="76"/>
        <v>2.5669198923811486E-2</v>
      </c>
      <c r="G125" s="188">
        <v>0</v>
      </c>
      <c r="H125" s="97">
        <v>1728.3369777299999</v>
      </c>
      <c r="I125" s="188">
        <v>0</v>
      </c>
      <c r="J125" s="97">
        <v>1728.3369777299999</v>
      </c>
      <c r="K125" s="93">
        <v>654</v>
      </c>
      <c r="L125" s="94">
        <v>6.7000000000000002E-3</v>
      </c>
      <c r="M125" s="94">
        <v>4.9099999999999998E-2</v>
      </c>
      <c r="N125" s="188">
        <v>35349096.18</v>
      </c>
      <c r="O125" s="97">
        <f xml:space="preserve"> 35349096.18*AC140</f>
        <v>48602995883.927353</v>
      </c>
      <c r="P125" s="92">
        <f t="shared" si="77"/>
        <v>2.5976977208259065E-2</v>
      </c>
      <c r="Q125" s="188">
        <v>1.2748999999999999</v>
      </c>
      <c r="R125" s="97">
        <f>1.2749*AC140</f>
        <v>1752.9149581899999</v>
      </c>
      <c r="S125" s="188">
        <v>1.2748999999999999</v>
      </c>
      <c r="T125" s="97">
        <f>1.2749*AC140</f>
        <v>1752.9149581899999</v>
      </c>
      <c r="U125" s="93">
        <v>654</v>
      </c>
      <c r="V125" s="94">
        <v>2.2499999999999999E-2</v>
      </c>
      <c r="W125" s="94">
        <v>5.1200000000000002E-2</v>
      </c>
      <c r="X125" s="200">
        <f t="shared" si="78"/>
        <v>2.5967006931011061E-2</v>
      </c>
      <c r="Y125" s="200">
        <f t="shared" ref="Y125:Z128" si="87">((T125-J125)/J125)</f>
        <v>1.422059515979383E-2</v>
      </c>
      <c r="Z125" s="200">
        <f t="shared" si="87"/>
        <v>0</v>
      </c>
      <c r="AA125" s="200">
        <f t="shared" si="81"/>
        <v>1.5799999999999998E-2</v>
      </c>
      <c r="AB125" s="201">
        <f t="shared" si="82"/>
        <v>2.1000000000000046E-3</v>
      </c>
    </row>
    <row r="126" spans="1:34">
      <c r="A126" s="175">
        <v>111</v>
      </c>
      <c r="B126" s="85" t="s">
        <v>172</v>
      </c>
      <c r="C126" s="86" t="s">
        <v>65</v>
      </c>
      <c r="D126" s="205">
        <v>0</v>
      </c>
      <c r="E126" s="97">
        <v>1368742661.0204818</v>
      </c>
      <c r="F126" s="92">
        <f t="shared" si="76"/>
        <v>7.4165934647539241E-4</v>
      </c>
      <c r="G126" s="188">
        <v>0</v>
      </c>
      <c r="H126" s="97">
        <v>1497.2671672199999</v>
      </c>
      <c r="I126" s="188">
        <v>0</v>
      </c>
      <c r="J126" s="97">
        <v>1507.862961</v>
      </c>
      <c r="K126" s="93">
        <v>75</v>
      </c>
      <c r="L126" s="94">
        <v>2E-3</v>
      </c>
      <c r="M126" s="94">
        <v>7.85E-2</v>
      </c>
      <c r="N126" s="188">
        <v>1008414.3</v>
      </c>
      <c r="O126" s="97">
        <f>1008414.3*AC140</f>
        <v>1386512283.72633</v>
      </c>
      <c r="P126" s="92">
        <f t="shared" si="77"/>
        <v>7.4105304288949782E-4</v>
      </c>
      <c r="Q126" s="188">
        <v>1.1031</v>
      </c>
      <c r="R126" s="97">
        <f>1.1031*AC140</f>
        <v>1516.6997336099998</v>
      </c>
      <c r="S126" s="97">
        <v>1.1100000000000001</v>
      </c>
      <c r="T126" s="97">
        <f>1.11*AC140</f>
        <v>1526.1868410000002</v>
      </c>
      <c r="U126" s="93">
        <v>75</v>
      </c>
      <c r="V126" s="94">
        <v>5.4000000000000001E-4</v>
      </c>
      <c r="W126" s="94">
        <v>7.6399999999999996E-2</v>
      </c>
      <c r="X126" s="200">
        <f t="shared" si="78"/>
        <v>1.2982442362540137E-2</v>
      </c>
      <c r="Y126" s="200">
        <f t="shared" si="87"/>
        <v>1.2152218387172217E-2</v>
      </c>
      <c r="Z126" s="200">
        <f t="shared" si="87"/>
        <v>0</v>
      </c>
      <c r="AA126" s="200">
        <f t="shared" si="81"/>
        <v>-1.4599999999999999E-3</v>
      </c>
      <c r="AB126" s="201">
        <f t="shared" si="82"/>
        <v>-2.1000000000000046E-3</v>
      </c>
    </row>
    <row r="127" spans="1:34">
      <c r="A127" s="175">
        <v>112</v>
      </c>
      <c r="B127" s="85" t="s">
        <v>173</v>
      </c>
      <c r="C127" s="86" t="s">
        <v>29</v>
      </c>
      <c r="D127" s="205">
        <v>0</v>
      </c>
      <c r="E127" s="97">
        <v>896345809.00045502</v>
      </c>
      <c r="F127" s="92">
        <v>0</v>
      </c>
      <c r="G127" s="188">
        <v>0</v>
      </c>
      <c r="H127" s="97">
        <v>1976.25138348</v>
      </c>
      <c r="I127" s="188">
        <v>0</v>
      </c>
      <c r="J127" s="97">
        <v>1976.25138348</v>
      </c>
      <c r="K127" s="93">
        <v>76</v>
      </c>
      <c r="L127" s="94">
        <v>2.34E-4</v>
      </c>
      <c r="M127" s="94">
        <v>3.04E-2</v>
      </c>
      <c r="N127" s="188">
        <v>722691.39</v>
      </c>
      <c r="O127" s="97">
        <f>722691.39*AC140</f>
        <v>993659540.10990894</v>
      </c>
      <c r="P127" s="92">
        <f t="shared" si="77"/>
        <v>5.3108395391610443E-4</v>
      </c>
      <c r="Q127" s="188">
        <v>1.4484999999999999</v>
      </c>
      <c r="R127" s="97">
        <f>1.4485*AC140</f>
        <v>1991.6050803499998</v>
      </c>
      <c r="S127" s="188">
        <v>1.4484999999999999</v>
      </c>
      <c r="T127" s="97">
        <f>1.4485*AC140</f>
        <v>1991.6050803499998</v>
      </c>
      <c r="U127" s="93">
        <v>78</v>
      </c>
      <c r="V127" s="94">
        <v>2.34E-4</v>
      </c>
      <c r="W127" s="94">
        <v>3.0200000000000001E-2</v>
      </c>
      <c r="X127" s="200">
        <f t="shared" si="78"/>
        <v>0.10856717366478423</v>
      </c>
      <c r="Y127" s="200">
        <f t="shared" si="87"/>
        <v>7.7691011368013936E-3</v>
      </c>
      <c r="Z127" s="200">
        <f t="shared" si="87"/>
        <v>2.6315789473684209E-2</v>
      </c>
      <c r="AA127" s="200">
        <f t="shared" si="81"/>
        <v>0</v>
      </c>
      <c r="AB127" s="201">
        <f t="shared" si="82"/>
        <v>-1.9999999999999879E-4</v>
      </c>
    </row>
    <row r="128" spans="1:34">
      <c r="A128" s="175">
        <v>113</v>
      </c>
      <c r="B128" s="85" t="s">
        <v>174</v>
      </c>
      <c r="C128" s="86" t="s">
        <v>75</v>
      </c>
      <c r="D128" s="205">
        <v>0</v>
      </c>
      <c r="E128" s="97">
        <v>3904805869.1810851</v>
      </c>
      <c r="F128" s="92">
        <f t="shared" ref="F128:F135" si="88">(E128/$E$161)</f>
        <v>2.1158365641142122E-3</v>
      </c>
      <c r="G128" s="188">
        <v>0</v>
      </c>
      <c r="H128" s="97">
        <v>149645.210616</v>
      </c>
      <c r="I128" s="188">
        <v>0</v>
      </c>
      <c r="J128" s="97">
        <v>150283.67511299998</v>
      </c>
      <c r="K128" s="93">
        <v>84</v>
      </c>
      <c r="L128" s="94">
        <v>3.8E-3</v>
      </c>
      <c r="M128" s="94">
        <v>2.8199999999999999E-2</v>
      </c>
      <c r="N128" s="188">
        <v>2907738.44</v>
      </c>
      <c r="O128" s="97">
        <f>2907738.44*AC140</f>
        <v>3997974904.6827636</v>
      </c>
      <c r="P128" s="92">
        <f t="shared" si="77"/>
        <v>2.1368086696993104E-3</v>
      </c>
      <c r="Q128" s="188">
        <v>110.48</v>
      </c>
      <c r="R128" s="97">
        <f>110.48*AC140</f>
        <v>151903.71368799999</v>
      </c>
      <c r="S128" s="97">
        <v>110.99</v>
      </c>
      <c r="T128" s="97">
        <f>110.99*AC140</f>
        <v>152604.93466899998</v>
      </c>
      <c r="U128" s="93">
        <v>84</v>
      </c>
      <c r="V128" s="94">
        <v>3.2000000000000002E-3</v>
      </c>
      <c r="W128" s="94">
        <v>3.1399999999999997E-2</v>
      </c>
      <c r="X128" s="200">
        <f t="shared" si="78"/>
        <v>2.3860094105323051E-2</v>
      </c>
      <c r="Y128" s="200">
        <f t="shared" si="87"/>
        <v>1.544585301267502E-2</v>
      </c>
      <c r="Z128" s="200">
        <f t="shared" si="87"/>
        <v>0</v>
      </c>
      <c r="AA128" s="200">
        <f t="shared" si="81"/>
        <v>-5.9999999999999984E-4</v>
      </c>
      <c r="AB128" s="201">
        <f t="shared" si="82"/>
        <v>3.199999999999998E-3</v>
      </c>
    </row>
    <row r="129" spans="1:31">
      <c r="A129" s="175">
        <v>114</v>
      </c>
      <c r="B129" s="85" t="s">
        <v>175</v>
      </c>
      <c r="C129" s="86" t="s">
        <v>78</v>
      </c>
      <c r="D129" s="205">
        <v>0</v>
      </c>
      <c r="E129" s="97">
        <v>4904016054.1800003</v>
      </c>
      <c r="F129" s="92">
        <f t="shared" si="88"/>
        <v>2.6572630819706338E-3</v>
      </c>
      <c r="G129" s="188">
        <v>0</v>
      </c>
      <c r="H129" s="97">
        <v>164102.9565</v>
      </c>
      <c r="I129" s="188">
        <v>0</v>
      </c>
      <c r="J129" s="97">
        <v>164102.9565</v>
      </c>
      <c r="K129" s="93">
        <v>64</v>
      </c>
      <c r="L129" s="94">
        <v>6.5799999999999997E-2</v>
      </c>
      <c r="M129" s="94">
        <v>9.5500000000000002E-2</v>
      </c>
      <c r="N129" s="188">
        <v>3619981.86</v>
      </c>
      <c r="O129" s="97">
        <v>4973855075.6400003</v>
      </c>
      <c r="P129" s="92">
        <f t="shared" si="77"/>
        <v>2.6583900351667689E-3</v>
      </c>
      <c r="Q129" s="188">
        <v>115.79455</v>
      </c>
      <c r="R129" s="97">
        <v>159101.71170000001</v>
      </c>
      <c r="S129" s="188">
        <v>115.79455</v>
      </c>
      <c r="T129" s="97">
        <v>159101.71170000001</v>
      </c>
      <c r="U129" s="93">
        <v>62</v>
      </c>
      <c r="V129" s="94">
        <v>6.5799999999999997E-2</v>
      </c>
      <c r="W129" s="94">
        <v>0.1111</v>
      </c>
      <c r="X129" s="200">
        <f t="shared" si="78"/>
        <v>1.4241189402402519E-2</v>
      </c>
      <c r="Y129" s="200">
        <f t="shared" si="79"/>
        <v>-3.0476262626017867E-2</v>
      </c>
      <c r="Z129" s="200">
        <f t="shared" si="80"/>
        <v>-3.125E-2</v>
      </c>
      <c r="AA129" s="200">
        <f t="shared" si="81"/>
        <v>0</v>
      </c>
      <c r="AB129" s="201">
        <f t="shared" si="82"/>
        <v>1.5600000000000003E-2</v>
      </c>
      <c r="AD129" s="24"/>
    </row>
    <row r="130" spans="1:31">
      <c r="A130" s="175">
        <v>115</v>
      </c>
      <c r="B130" s="85" t="s">
        <v>340</v>
      </c>
      <c r="C130" s="86" t="s">
        <v>79</v>
      </c>
      <c r="D130" s="205">
        <v>0</v>
      </c>
      <c r="E130" s="97">
        <v>51782662465.685997</v>
      </c>
      <c r="F130" s="92">
        <f t="shared" si="88"/>
        <v>2.8058667780854547E-2</v>
      </c>
      <c r="G130" s="188">
        <v>0</v>
      </c>
      <c r="H130" s="97">
        <v>177738.88800000001</v>
      </c>
      <c r="I130" s="188">
        <v>0</v>
      </c>
      <c r="J130" s="97">
        <v>177793.24239999999</v>
      </c>
      <c r="K130" s="93">
        <v>2612</v>
      </c>
      <c r="L130" s="94">
        <v>1.1999999999999999E-3</v>
      </c>
      <c r="M130" s="94">
        <v>2.2800000000000001E-2</v>
      </c>
      <c r="N130" s="188">
        <v>38319868.759999998</v>
      </c>
      <c r="O130" s="97">
        <f>38319868.76*1378</f>
        <v>52804779151.279999</v>
      </c>
      <c r="P130" s="92">
        <f t="shared" si="77"/>
        <v>2.8222715895453016E-2</v>
      </c>
      <c r="Q130" s="188">
        <v>131</v>
      </c>
      <c r="R130" s="97">
        <f>131*1378</f>
        <v>180518</v>
      </c>
      <c r="S130" s="97">
        <v>131.03</v>
      </c>
      <c r="T130" s="97">
        <f>131.03*1378</f>
        <v>180559.34</v>
      </c>
      <c r="U130" s="93">
        <v>2615</v>
      </c>
      <c r="V130" s="94">
        <v>1.5E-3</v>
      </c>
      <c r="W130" s="94">
        <v>2.4299999999999999E-2</v>
      </c>
      <c r="X130" s="200">
        <f t="shared" si="78"/>
        <v>1.9738588881390788E-2</v>
      </c>
      <c r="Y130" s="200">
        <f t="shared" si="79"/>
        <v>1.5557945637645947E-2</v>
      </c>
      <c r="Z130" s="200">
        <f t="shared" si="80"/>
        <v>1.1485451761102604E-3</v>
      </c>
      <c r="AA130" s="200">
        <f t="shared" si="81"/>
        <v>3.0000000000000014E-4</v>
      </c>
      <c r="AB130" s="201">
        <f t="shared" si="82"/>
        <v>1.4999999999999979E-3</v>
      </c>
    </row>
    <row r="131" spans="1:31">
      <c r="A131" s="175">
        <v>116</v>
      </c>
      <c r="B131" s="180" t="s">
        <v>341</v>
      </c>
      <c r="C131" s="86" t="s">
        <v>79</v>
      </c>
      <c r="D131" s="205">
        <v>0</v>
      </c>
      <c r="E131" s="97">
        <v>157670586769.37338</v>
      </c>
      <c r="F131" s="92">
        <f t="shared" si="88"/>
        <v>8.5434514223864957E-2</v>
      </c>
      <c r="G131" s="188">
        <v>0</v>
      </c>
      <c r="H131" s="97">
        <v>173485.6562</v>
      </c>
      <c r="I131" s="188">
        <v>0</v>
      </c>
      <c r="J131" s="97">
        <v>173567.18779999999</v>
      </c>
      <c r="K131" s="93">
        <v>1047</v>
      </c>
      <c r="L131" s="94">
        <v>1.1999999999999999E-3</v>
      </c>
      <c r="M131" s="94">
        <v>2.4E-2</v>
      </c>
      <c r="N131" s="188">
        <v>116292390.67</v>
      </c>
      <c r="O131" s="97">
        <f>116292390.67*1378</f>
        <v>160250914343.26001</v>
      </c>
      <c r="P131" s="92">
        <f t="shared" si="77"/>
        <v>8.5649747999879136E-2</v>
      </c>
      <c r="Q131" s="188">
        <v>127.84</v>
      </c>
      <c r="R131" s="97">
        <f>127.84*1378</f>
        <v>176163.52000000002</v>
      </c>
      <c r="S131" s="97">
        <v>127.9</v>
      </c>
      <c r="T131" s="97">
        <f>127.9*1378</f>
        <v>176246.2</v>
      </c>
      <c r="U131" s="93">
        <v>1048</v>
      </c>
      <c r="V131" s="94">
        <v>1.2999999999999999E-3</v>
      </c>
      <c r="W131" s="94">
        <v>2.53E-2</v>
      </c>
      <c r="X131" s="200">
        <f t="shared" si="78"/>
        <v>1.6365307104874941E-2</v>
      </c>
      <c r="Y131" s="200">
        <f t="shared" si="79"/>
        <v>1.5435015304200409E-2</v>
      </c>
      <c r="Z131" s="200">
        <f t="shared" si="80"/>
        <v>9.5510983763132757E-4</v>
      </c>
      <c r="AA131" s="200">
        <f t="shared" si="81"/>
        <v>1.0000000000000005E-4</v>
      </c>
      <c r="AB131" s="201">
        <f t="shared" si="82"/>
        <v>1.2999999999999991E-3</v>
      </c>
      <c r="AD131" s="23"/>
    </row>
    <row r="132" spans="1:31">
      <c r="A132" s="175">
        <v>117</v>
      </c>
      <c r="B132" s="85" t="s">
        <v>176</v>
      </c>
      <c r="C132" s="86" t="s">
        <v>83</v>
      </c>
      <c r="D132" s="205">
        <v>0</v>
      </c>
      <c r="E132" s="97">
        <v>1947724558.8200729</v>
      </c>
      <c r="F132" s="92">
        <f t="shared" si="88"/>
        <v>1.0553832831743317E-3</v>
      </c>
      <c r="G132" s="188">
        <v>0</v>
      </c>
      <c r="H132" s="97">
        <v>1358.4350999999999</v>
      </c>
      <c r="I132" s="188">
        <v>0</v>
      </c>
      <c r="J132" s="97">
        <v>1358.4350999999999</v>
      </c>
      <c r="K132" s="93">
        <v>15</v>
      </c>
      <c r="L132" s="94">
        <v>8.8999999999999996E-2</v>
      </c>
      <c r="M132" s="94">
        <v>8.3900000000000002E-2</v>
      </c>
      <c r="N132" s="188">
        <v>1427052.8</v>
      </c>
      <c r="O132" s="97">
        <f>1427052.8*AC140</f>
        <v>1962116400.6956799</v>
      </c>
      <c r="P132" s="92">
        <f t="shared" si="77"/>
        <v>1.0486977622233024E-3</v>
      </c>
      <c r="Q132" s="188">
        <v>1</v>
      </c>
      <c r="R132" s="97">
        <f>1*AC140</f>
        <v>1374.9431</v>
      </c>
      <c r="S132" s="97">
        <v>1</v>
      </c>
      <c r="T132" s="97">
        <f>1*AC140</f>
        <v>1374.9431</v>
      </c>
      <c r="U132" s="93">
        <v>15</v>
      </c>
      <c r="V132" s="94">
        <v>0.09</v>
      </c>
      <c r="W132" s="94">
        <v>8.4199999999999997E-2</v>
      </c>
      <c r="X132" s="200">
        <f t="shared" ref="X132" si="89">((O132-E132)/E132)</f>
        <v>7.3890539657853671E-3</v>
      </c>
      <c r="Y132" s="200">
        <f t="shared" ref="Y132" si="90">((T132-J132)/J132)</f>
        <v>1.2152218387172151E-2</v>
      </c>
      <c r="Z132" s="200">
        <f t="shared" si="80"/>
        <v>0</v>
      </c>
      <c r="AA132" s="200">
        <f t="shared" si="81"/>
        <v>1.0000000000000009E-3</v>
      </c>
      <c r="AB132" s="201">
        <f t="shared" si="82"/>
        <v>2.9999999999999472E-4</v>
      </c>
    </row>
    <row r="133" spans="1:31">
      <c r="A133" s="175">
        <v>118</v>
      </c>
      <c r="B133" s="85" t="s">
        <v>177</v>
      </c>
      <c r="C133" s="86" t="s">
        <v>33</v>
      </c>
      <c r="D133" s="205">
        <v>0</v>
      </c>
      <c r="E133" s="97">
        <v>270843188.50717354</v>
      </c>
      <c r="F133" s="92">
        <f t="shared" si="88"/>
        <v>1.4675759578924676E-4</v>
      </c>
      <c r="G133" s="188">
        <v>0</v>
      </c>
      <c r="H133" s="97">
        <v>196656.03074766</v>
      </c>
      <c r="I133" s="188">
        <v>0</v>
      </c>
      <c r="J133" s="97">
        <v>196656.03074766</v>
      </c>
      <c r="K133" s="93">
        <v>11</v>
      </c>
      <c r="L133" s="94">
        <v>1.9E-3</v>
      </c>
      <c r="M133" s="94">
        <v>7.0099999999999996E-2</v>
      </c>
      <c r="N133" s="188">
        <v>199749.14939999999</v>
      </c>
      <c r="O133" s="97">
        <f xml:space="preserve"> 199749.1494*AC140</f>
        <v>274643714.69839913</v>
      </c>
      <c r="P133" s="92">
        <f t="shared" si="77"/>
        <v>1.467895833859743E-4</v>
      </c>
      <c r="Q133" s="188">
        <v>145.03550000000001</v>
      </c>
      <c r="R133" s="97">
        <f>145.0355*AC140</f>
        <v>199415.55998005002</v>
      </c>
      <c r="S133" s="188">
        <v>145.03550000000001</v>
      </c>
      <c r="T133" s="97">
        <f>145.0355*AC140</f>
        <v>199415.55998005002</v>
      </c>
      <c r="U133" s="93">
        <v>11</v>
      </c>
      <c r="V133" s="94">
        <v>1.9E-3</v>
      </c>
      <c r="W133" s="94">
        <v>7.2099999999999997E-2</v>
      </c>
      <c r="X133" s="200">
        <f t="shared" si="78"/>
        <v>1.4032201482242289E-2</v>
      </c>
      <c r="Y133" s="200">
        <f t="shared" si="79"/>
        <v>1.4032263449529918E-2</v>
      </c>
      <c r="Z133" s="200">
        <f t="shared" si="80"/>
        <v>0</v>
      </c>
      <c r="AA133" s="200">
        <f t="shared" si="81"/>
        <v>0</v>
      </c>
      <c r="AB133" s="201">
        <f t="shared" si="82"/>
        <v>2.0000000000000018E-3</v>
      </c>
    </row>
    <row r="134" spans="1:31">
      <c r="A134" s="175">
        <v>119</v>
      </c>
      <c r="B134" s="85" t="s">
        <v>336</v>
      </c>
      <c r="C134" s="86" t="s">
        <v>38</v>
      </c>
      <c r="D134" s="205">
        <v>0</v>
      </c>
      <c r="E134" s="97">
        <v>14840104802.751657</v>
      </c>
      <c r="F134" s="92">
        <f t="shared" si="88"/>
        <v>8.0411773104443543E-3</v>
      </c>
      <c r="G134" s="188">
        <v>0</v>
      </c>
      <c r="H134" s="97">
        <v>2051.237001</v>
      </c>
      <c r="I134" s="188">
        <v>0</v>
      </c>
      <c r="J134" s="97">
        <v>2064.8213519999999</v>
      </c>
      <c r="K134" s="113">
        <v>120</v>
      </c>
      <c r="L134" s="114">
        <v>1.52E-2</v>
      </c>
      <c r="M134" s="114">
        <v>6.7900000000000002E-2</v>
      </c>
      <c r="N134" s="189">
        <v>10940690.91</v>
      </c>
      <c r="O134" s="97">
        <f>10940690.91*AC140</f>
        <v>15042827475.937222</v>
      </c>
      <c r="P134" s="92">
        <f t="shared" si="77"/>
        <v>8.0399814740518549E-3</v>
      </c>
      <c r="Q134" s="188">
        <v>1.52</v>
      </c>
      <c r="R134" s="97">
        <f>1.52*AC140</f>
        <v>2089.9135120000001</v>
      </c>
      <c r="S134" s="97">
        <v>1.52</v>
      </c>
      <c r="T134" s="97">
        <f>1.52*AC140</f>
        <v>2089.9135120000001</v>
      </c>
      <c r="U134" s="113">
        <v>121</v>
      </c>
      <c r="V134" s="114">
        <v>1E-3</v>
      </c>
      <c r="W134" s="114">
        <v>6.88E-2</v>
      </c>
      <c r="X134" s="200">
        <f t="shared" si="78"/>
        <v>1.3660461019653658E-2</v>
      </c>
      <c r="Y134" s="200">
        <f t="shared" si="79"/>
        <v>1.2152218387172195E-2</v>
      </c>
      <c r="Z134" s="200">
        <f t="shared" si="80"/>
        <v>8.3333333333333332E-3</v>
      </c>
      <c r="AA134" s="200">
        <f t="shared" si="81"/>
        <v>-1.4200000000000001E-2</v>
      </c>
      <c r="AB134" s="201">
        <f t="shared" si="82"/>
        <v>8.9999999999999802E-4</v>
      </c>
    </row>
    <row r="135" spans="1:31">
      <c r="A135" s="175">
        <v>120</v>
      </c>
      <c r="B135" s="85" t="s">
        <v>326</v>
      </c>
      <c r="C135" s="86" t="s">
        <v>323</v>
      </c>
      <c r="D135" s="205">
        <v>0</v>
      </c>
      <c r="E135" s="97">
        <v>34034110.736240998</v>
      </c>
      <c r="F135" s="92">
        <f t="shared" si="88"/>
        <v>1.8441535465616588E-5</v>
      </c>
      <c r="G135" s="188">
        <v>0</v>
      </c>
      <c r="H135" s="91">
        <v>1361.3638860756</v>
      </c>
      <c r="I135" s="188">
        <v>0</v>
      </c>
      <c r="J135" s="91">
        <v>1362.0634801521001</v>
      </c>
      <c r="K135" s="93">
        <v>1</v>
      </c>
      <c r="L135" s="94">
        <v>9.68E-4</v>
      </c>
      <c r="M135" s="94">
        <v>0</v>
      </c>
      <c r="N135" s="188">
        <v>25078.15</v>
      </c>
      <c r="O135" s="97">
        <f>25078.15*AC140</f>
        <v>34481029.303264998</v>
      </c>
      <c r="P135" s="92">
        <f t="shared" si="77"/>
        <v>1.8429170795712889E-5</v>
      </c>
      <c r="Q135" s="188">
        <v>1.003126</v>
      </c>
      <c r="R135" s="91">
        <f>1.003126*AC140</f>
        <v>1379.2411721305998</v>
      </c>
      <c r="S135" s="91">
        <v>1.0039180000000001</v>
      </c>
      <c r="T135" s="91">
        <f>1.003918*AC140</f>
        <v>1380.3301270658001</v>
      </c>
      <c r="U135" s="93">
        <v>1</v>
      </c>
      <c r="V135" s="94">
        <v>9.68E-4</v>
      </c>
      <c r="W135" s="94">
        <v>0</v>
      </c>
      <c r="X135" s="200">
        <f>((O135-E135)/E135)</f>
        <v>1.3131489477940192E-2</v>
      </c>
      <c r="Y135" s="200">
        <f>((T135-J135)/J135)</f>
        <v>1.3411009971180051E-2</v>
      </c>
      <c r="Z135" s="200">
        <f>((U135-K135)/K135)</f>
        <v>0</v>
      </c>
      <c r="AA135" s="200">
        <f>V135-L135</f>
        <v>0</v>
      </c>
      <c r="AB135" s="201">
        <f>W135-M135</f>
        <v>0</v>
      </c>
    </row>
    <row r="136" spans="1:31">
      <c r="A136" s="175">
        <v>121</v>
      </c>
      <c r="B136" s="85" t="s">
        <v>178</v>
      </c>
      <c r="C136" s="86" t="s">
        <v>98</v>
      </c>
      <c r="D136" s="205">
        <v>0</v>
      </c>
      <c r="E136" s="97">
        <v>41358800946.051598</v>
      </c>
      <c r="F136" s="92">
        <f>(E136/$E$161)</f>
        <v>2.2410451689863317E-2</v>
      </c>
      <c r="G136" s="188">
        <v>0</v>
      </c>
      <c r="H136" s="97">
        <v>144578.24769300001</v>
      </c>
      <c r="I136" s="188">
        <v>0</v>
      </c>
      <c r="J136" s="97">
        <v>144578.24769300001</v>
      </c>
      <c r="K136" s="93">
        <v>914</v>
      </c>
      <c r="L136" s="114">
        <v>2.7000000000000001E-3</v>
      </c>
      <c r="M136" s="94">
        <v>0.12379999999999999</v>
      </c>
      <c r="N136" s="188">
        <v>30705108</v>
      </c>
      <c r="O136" s="97">
        <f>30705108*AC140</f>
        <v>42217776379.354797</v>
      </c>
      <c r="P136" s="92">
        <f t="shared" si="77"/>
        <v>2.2564251335637209E-2</v>
      </c>
      <c r="Q136" s="188">
        <v>106.55</v>
      </c>
      <c r="R136" s="97">
        <f>106.55*AC140</f>
        <v>146500.187305</v>
      </c>
      <c r="S136" s="188">
        <v>106.55</v>
      </c>
      <c r="T136" s="97">
        <f>106.55*AC140</f>
        <v>146500.187305</v>
      </c>
      <c r="U136" s="93">
        <v>918</v>
      </c>
      <c r="V136" s="114">
        <v>1.1999999999999999E-3</v>
      </c>
      <c r="W136" s="94">
        <v>0.1212</v>
      </c>
      <c r="X136" s="200">
        <f t="shared" si="78"/>
        <v>2.0768866931699662E-2</v>
      </c>
      <c r="Y136" s="200">
        <f t="shared" si="79"/>
        <v>1.3293421677658368E-2</v>
      </c>
      <c r="Z136" s="200">
        <f t="shared" si="80"/>
        <v>4.3763676148796497E-3</v>
      </c>
      <c r="AA136" s="200">
        <f t="shared" si="81"/>
        <v>-1.5000000000000002E-3</v>
      </c>
      <c r="AB136" s="201">
        <f t="shared" si="82"/>
        <v>-2.5999999999999912E-3</v>
      </c>
    </row>
    <row r="137" spans="1:31">
      <c r="A137" s="175">
        <v>122</v>
      </c>
      <c r="B137" s="85" t="s">
        <v>179</v>
      </c>
      <c r="C137" s="86" t="s">
        <v>42</v>
      </c>
      <c r="D137" s="205">
        <v>0</v>
      </c>
      <c r="E137" s="97">
        <v>2764412562.2019386</v>
      </c>
      <c r="F137" s="92">
        <f>(E137/$E$161)</f>
        <v>1.4979093387375432E-3</v>
      </c>
      <c r="G137" s="188">
        <v>0</v>
      </c>
      <c r="H137" s="97">
        <v>228407.27771399997</v>
      </c>
      <c r="I137" s="188">
        <v>0</v>
      </c>
      <c r="J137" s="97">
        <v>219523.11215999999</v>
      </c>
      <c r="K137" s="93">
        <v>54</v>
      </c>
      <c r="L137" s="94">
        <v>2.5999999999999999E-3</v>
      </c>
      <c r="M137" s="94">
        <v>-2.7699999999999999E-2</v>
      </c>
      <c r="N137" s="188">
        <v>2041337.19</v>
      </c>
      <c r="O137" s="97">
        <f>2041337.19*AC140</f>
        <v>2806722484.1638889</v>
      </c>
      <c r="P137" s="92">
        <f t="shared" si="77"/>
        <v>1.5001167042286061E-3</v>
      </c>
      <c r="Q137" s="188">
        <v>161.924711</v>
      </c>
      <c r="R137" s="97">
        <f>161.924711*AC140</f>
        <v>222637.2641089441</v>
      </c>
      <c r="S137" s="97">
        <v>168.02726000000001</v>
      </c>
      <c r="T137" s="97">
        <f>168.027264*AC140</f>
        <v>231027.9272486784</v>
      </c>
      <c r="U137" s="93">
        <v>54</v>
      </c>
      <c r="V137" s="94">
        <v>6.9999999999999999E-4</v>
      </c>
      <c r="W137" s="94">
        <v>-2.7E-2</v>
      </c>
      <c r="X137" s="200">
        <f t="shared" ref="X137:X138" si="91">((O137-E137)/E137)</f>
        <v>1.5305212593973008E-2</v>
      </c>
      <c r="Y137" s="200">
        <f t="shared" ref="Y137:Y138" si="92">((T137-J137)/J137)</f>
        <v>5.2408217865885114E-2</v>
      </c>
      <c r="Z137" s="200">
        <f t="shared" ref="Z137:Z138" si="93">((U137-K137)/K137)</f>
        <v>0</v>
      </c>
      <c r="AA137" s="200">
        <f t="shared" ref="AA137:AA138" si="94">V137-L137</f>
        <v>-1.8999999999999998E-3</v>
      </c>
      <c r="AB137" s="201">
        <f t="shared" ref="AB137:AB138" si="95">W137-M137</f>
        <v>6.9999999999999923E-4</v>
      </c>
    </row>
    <row r="138" spans="1:31" ht="15" customHeight="1">
      <c r="A138" s="175">
        <v>123</v>
      </c>
      <c r="B138" s="85" t="s">
        <v>180</v>
      </c>
      <c r="C138" s="86" t="s">
        <v>49</v>
      </c>
      <c r="D138" s="205">
        <v>0</v>
      </c>
      <c r="E138" s="91">
        <v>154882803132.4574</v>
      </c>
      <c r="F138" s="92">
        <f>(E138/$E$161)</f>
        <v>8.3923941163529137E-2</v>
      </c>
      <c r="G138" s="188">
        <v>0</v>
      </c>
      <c r="H138" s="97">
        <v>172608.22670939998</v>
      </c>
      <c r="I138" s="188">
        <v>0</v>
      </c>
      <c r="J138" s="97">
        <v>172608.22670939998</v>
      </c>
      <c r="K138" s="93">
        <v>4380</v>
      </c>
      <c r="L138" s="94">
        <v>1.1000000000000001E-3</v>
      </c>
      <c r="M138" s="94">
        <v>5.8999999999999997E-2</v>
      </c>
      <c r="N138" s="188">
        <v>114027507.95999999</v>
      </c>
      <c r="O138" s="91">
        <f>114027507.96*1378</f>
        <v>157129905968.88</v>
      </c>
      <c r="P138" s="92">
        <f t="shared" si="77"/>
        <v>8.3981654049422358E-2</v>
      </c>
      <c r="Q138" s="188">
        <v>127.2259732</v>
      </c>
      <c r="R138" s="97">
        <f>127.2259732*1378</f>
        <v>175317.39106960001</v>
      </c>
      <c r="S138" s="188">
        <v>127.2259732</v>
      </c>
      <c r="T138" s="97">
        <f>127.2259732*1378</f>
        <v>175317.39106960001</v>
      </c>
      <c r="U138" s="93">
        <v>4388</v>
      </c>
      <c r="V138" s="94">
        <v>1.1000000000000001E-3</v>
      </c>
      <c r="W138" s="94">
        <v>5.9299999999999999E-2</v>
      </c>
      <c r="X138" s="200">
        <f t="shared" si="91"/>
        <v>1.4508407589323273E-2</v>
      </c>
      <c r="Y138" s="200">
        <f t="shared" si="92"/>
        <v>1.5695453292392168E-2</v>
      </c>
      <c r="Z138" s="200">
        <f t="shared" si="93"/>
        <v>1.8264840182648401E-3</v>
      </c>
      <c r="AA138" s="200">
        <f t="shared" si="94"/>
        <v>0</v>
      </c>
      <c r="AB138" s="201">
        <f t="shared" si="95"/>
        <v>3.0000000000000165E-4</v>
      </c>
    </row>
    <row r="139" spans="1:31" ht="5.4" customHeight="1">
      <c r="A139" s="126"/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</row>
    <row r="140" spans="1:31">
      <c r="A140" s="213" t="s">
        <v>181</v>
      </c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8">
        <v>1374.9431</v>
      </c>
      <c r="AE140" s="32"/>
    </row>
    <row r="141" spans="1:31">
      <c r="A141" s="175">
        <v>124</v>
      </c>
      <c r="B141" s="85" t="s">
        <v>320</v>
      </c>
      <c r="C141" s="86" t="s">
        <v>321</v>
      </c>
      <c r="D141" s="205">
        <v>0</v>
      </c>
      <c r="E141" s="91">
        <v>466085576.12977803</v>
      </c>
      <c r="F141" s="92">
        <f>(E141/$E$161)</f>
        <v>2.5255055872686446E-4</v>
      </c>
      <c r="G141" s="188">
        <v>0</v>
      </c>
      <c r="H141" s="97">
        <v>1372.0194509999999</v>
      </c>
      <c r="I141" s="188">
        <v>0</v>
      </c>
      <c r="J141" s="97">
        <v>1372.0194509999999</v>
      </c>
      <c r="K141" s="93">
        <v>36</v>
      </c>
      <c r="L141" s="94">
        <v>7.0699999999999999E-2</v>
      </c>
      <c r="M141" s="94">
        <v>7.0999999999999994E-2</v>
      </c>
      <c r="N141" s="188">
        <v>337668.67</v>
      </c>
      <c r="O141" s="91">
        <f>337668.67*AC140</f>
        <v>464275207.90267694</v>
      </c>
      <c r="P141" s="92">
        <f>(O141/$O$161)</f>
        <v>2.4814245037178633E-4</v>
      </c>
      <c r="Q141" s="188">
        <v>1.01</v>
      </c>
      <c r="R141" s="97">
        <f>1.01*AC140</f>
        <v>1388.6925309999999</v>
      </c>
      <c r="S141" s="97">
        <v>1.01</v>
      </c>
      <c r="T141" s="97">
        <f>1.01*AC140</f>
        <v>1388.6925309999999</v>
      </c>
      <c r="U141" s="93">
        <v>36</v>
      </c>
      <c r="V141" s="94">
        <v>8.0600000000000005E-2</v>
      </c>
      <c r="W141" s="94">
        <v>7.1999999999999995E-2</v>
      </c>
      <c r="X141" s="200">
        <f>((O141-E141)/E141)</f>
        <v>-3.8841970655556267E-3</v>
      </c>
      <c r="Y141" s="200">
        <f>((T141-J141)/J141)</f>
        <v>1.2152218387172143E-2</v>
      </c>
      <c r="Z141" s="200">
        <f>((U141-K141)/K141)</f>
        <v>0</v>
      </c>
      <c r="AA141" s="200">
        <f>V141-L141</f>
        <v>9.900000000000006E-3</v>
      </c>
      <c r="AB141" s="201">
        <f>W141-M141</f>
        <v>1.0000000000000009E-3</v>
      </c>
      <c r="AC141" s="28"/>
      <c r="AE141" s="32"/>
    </row>
    <row r="142" spans="1:31">
      <c r="A142" s="175">
        <v>125</v>
      </c>
      <c r="B142" s="85" t="s">
        <v>182</v>
      </c>
      <c r="C142" s="86" t="s">
        <v>60</v>
      </c>
      <c r="D142" s="205">
        <v>0</v>
      </c>
      <c r="E142" s="91">
        <v>1600546203.0810449</v>
      </c>
      <c r="F142" s="92">
        <f>(E142/$E$161)</f>
        <v>8.6726313483626808E-4</v>
      </c>
      <c r="G142" s="188">
        <v>0</v>
      </c>
      <c r="H142" s="97">
        <v>160852.30019099999</v>
      </c>
      <c r="I142" s="188">
        <v>0</v>
      </c>
      <c r="J142" s="97">
        <v>160852.30019099999</v>
      </c>
      <c r="K142" s="93">
        <v>76</v>
      </c>
      <c r="L142" s="94">
        <v>1E-4</v>
      </c>
      <c r="M142" s="94">
        <v>7.6600000000000001E-2</v>
      </c>
      <c r="N142" s="188">
        <v>1180003.53</v>
      </c>
      <c r="O142" s="91">
        <f>1180003.53*AC140</f>
        <v>1622437711.5491431</v>
      </c>
      <c r="P142" s="92">
        <f>(O142/$O$161)</f>
        <v>8.6714875674298629E-4</v>
      </c>
      <c r="Q142" s="188">
        <v>118.59</v>
      </c>
      <c r="R142" s="97">
        <f>118.59*AC140</f>
        <v>163054.50222900001</v>
      </c>
      <c r="S142" s="97">
        <v>118.59</v>
      </c>
      <c r="T142" s="97">
        <f>118.59*AC140</f>
        <v>163054.50222900001</v>
      </c>
      <c r="U142" s="93">
        <v>76</v>
      </c>
      <c r="V142" s="94">
        <v>1.1999999999999999E-3</v>
      </c>
      <c r="W142" s="94">
        <v>7.6700000000000004E-2</v>
      </c>
      <c r="X142" s="200">
        <f>((O142-E142)/E142)</f>
        <v>1.3677523601603689E-2</v>
      </c>
      <c r="Y142" s="200">
        <f>((T142-J142)/J142)</f>
        <v>1.3690833363185162E-2</v>
      </c>
      <c r="Z142" s="200">
        <f>((U142-K142)/K142)</f>
        <v>0</v>
      </c>
      <c r="AA142" s="200">
        <f>V142-L142</f>
        <v>1.0999999999999998E-3</v>
      </c>
      <c r="AB142" s="201">
        <f>W142-M142</f>
        <v>1.0000000000000286E-4</v>
      </c>
    </row>
    <row r="143" spans="1:31">
      <c r="A143" s="175">
        <v>126</v>
      </c>
      <c r="B143" s="86" t="s">
        <v>183</v>
      </c>
      <c r="C143" s="86" t="s">
        <v>25</v>
      </c>
      <c r="D143" s="205">
        <v>0</v>
      </c>
      <c r="E143" s="97">
        <v>27816587665.533379</v>
      </c>
      <c r="F143" s="92">
        <f>(E143/$E$161)</f>
        <v>1.5072542718741368E-2</v>
      </c>
      <c r="G143" s="188">
        <v>0</v>
      </c>
      <c r="H143" s="91">
        <v>187138.01937599998</v>
      </c>
      <c r="I143" s="188">
        <v>0</v>
      </c>
      <c r="J143" s="91">
        <v>187138.01937599998</v>
      </c>
      <c r="K143" s="93">
        <v>681</v>
      </c>
      <c r="L143" s="94">
        <v>5.0000000000000001E-4</v>
      </c>
      <c r="M143" s="94">
        <v>1.5800000000000002E-2</v>
      </c>
      <c r="N143" s="188">
        <v>20396504.100000001</v>
      </c>
      <c r="O143" s="97">
        <f>20396504.1*AC140</f>
        <v>28044032576.41671</v>
      </c>
      <c r="P143" s="92">
        <f>(O143/$O$161)</f>
        <v>1.4988771408351823E-2</v>
      </c>
      <c r="Q143" s="188">
        <v>137.88999999999999</v>
      </c>
      <c r="R143" s="91">
        <f>137.89*AC140</f>
        <v>189590.90405899996</v>
      </c>
      <c r="S143" s="91">
        <v>137.88999999999999</v>
      </c>
      <c r="T143" s="91">
        <f>137.89*AC140</f>
        <v>189590.90405899996</v>
      </c>
      <c r="U143" s="93">
        <v>682</v>
      </c>
      <c r="V143" s="94">
        <v>5.0000000000000001E-4</v>
      </c>
      <c r="W143" s="94">
        <v>1.6799999999999999E-2</v>
      </c>
      <c r="X143" s="200">
        <f t="shared" ref="X143:X161" si="96">((O143-E143)/E143)</f>
        <v>8.1765928164204988E-3</v>
      </c>
      <c r="Y143" s="200">
        <f t="shared" ref="Y143:Y161" si="97">((T143-J143)/J143)</f>
        <v>1.3107356223919503E-2</v>
      </c>
      <c r="Z143" s="200">
        <f t="shared" ref="Z143:Z161" si="98">((U143-K143)/K143)</f>
        <v>1.4684287812041115E-3</v>
      </c>
      <c r="AA143" s="200">
        <f t="shared" ref="AA143:AA161" si="99">V143-L143</f>
        <v>0</v>
      </c>
      <c r="AB143" s="201">
        <f t="shared" ref="AB143:AB161" si="100">W143-M143</f>
        <v>9.9999999999999742E-4</v>
      </c>
    </row>
    <row r="144" spans="1:31">
      <c r="A144" s="175">
        <v>127</v>
      </c>
      <c r="B144" s="86" t="s">
        <v>184</v>
      </c>
      <c r="C144" s="86" t="s">
        <v>131</v>
      </c>
      <c r="D144" s="205">
        <v>0</v>
      </c>
      <c r="E144" s="97">
        <v>554393950.80257094</v>
      </c>
      <c r="F144" s="92">
        <f>(E144/$E$161)</f>
        <v>3.0040084739931466E-4</v>
      </c>
      <c r="G144" s="188">
        <v>0</v>
      </c>
      <c r="H144" s="91">
        <v>140353.51453199997</v>
      </c>
      <c r="I144" s="188">
        <v>0</v>
      </c>
      <c r="J144" s="91">
        <v>140353.51453199997</v>
      </c>
      <c r="K144" s="93">
        <v>23</v>
      </c>
      <c r="L144" s="94">
        <v>9.2000000000000003E-4</v>
      </c>
      <c r="M144" s="94">
        <v>2.3E-2</v>
      </c>
      <c r="N144" s="188">
        <v>418412.81</v>
      </c>
      <c r="O144" s="97">
        <f>418412.81*AC140</f>
        <v>575293806.06111097</v>
      </c>
      <c r="P144" s="92">
        <f>(O144/$O$161)</f>
        <v>3.0747886660715271E-4</v>
      </c>
      <c r="Q144" s="188">
        <v>103.43</v>
      </c>
      <c r="R144" s="91">
        <f>103.43*AC140</f>
        <v>142210.364833</v>
      </c>
      <c r="S144" s="91">
        <v>103.43</v>
      </c>
      <c r="T144" s="91">
        <f>103.43*AC140</f>
        <v>142210.364833</v>
      </c>
      <c r="U144" s="93">
        <v>23</v>
      </c>
      <c r="V144" s="94">
        <v>8.1999999999999998E-4</v>
      </c>
      <c r="W144" s="94">
        <v>2.5229999999999999E-2</v>
      </c>
      <c r="X144" s="200">
        <v>0</v>
      </c>
      <c r="Y144" s="200">
        <f t="shared" ref="Y144" si="101">((T144-J144)/J144)</f>
        <v>1.3229809792733577E-2</v>
      </c>
      <c r="Z144" s="200">
        <f t="shared" ref="Z144" si="102">((U144-K144)/K144)</f>
        <v>0</v>
      </c>
      <c r="AA144" s="200">
        <f t="shared" ref="AA144" si="103">V144-L144</f>
        <v>-1.0000000000000005E-4</v>
      </c>
      <c r="AB144" s="201">
        <f t="shared" ref="AB144" si="104">W144-M144</f>
        <v>2.2299999999999993E-3</v>
      </c>
    </row>
    <row r="145" spans="1:30">
      <c r="A145" s="175">
        <v>128</v>
      </c>
      <c r="B145" s="85" t="s">
        <v>185</v>
      </c>
      <c r="C145" s="86" t="s">
        <v>69</v>
      </c>
      <c r="D145" s="205">
        <v>0</v>
      </c>
      <c r="E145" s="91">
        <v>17136343318.4</v>
      </c>
      <c r="F145" s="92">
        <f>(E145/$E$161)</f>
        <v>9.285404443393994E-3</v>
      </c>
      <c r="G145" s="188">
        <v>0</v>
      </c>
      <c r="H145" s="91">
        <v>164723.20000000001</v>
      </c>
      <c r="I145" s="188">
        <v>0</v>
      </c>
      <c r="J145" s="91">
        <v>164723.20000000001</v>
      </c>
      <c r="K145" s="93">
        <v>470</v>
      </c>
      <c r="L145" s="94">
        <v>1.1999999999999999E-3</v>
      </c>
      <c r="M145" s="94">
        <v>6.5500000000000003E-2</v>
      </c>
      <c r="N145" s="188">
        <v>12618906.26</v>
      </c>
      <c r="O145" s="91">
        <v>17363615013.759998</v>
      </c>
      <c r="P145" s="92">
        <f t="shared" ref="P145:P146" si="105">(O145/$O$117)</f>
        <v>7.3645385852563985E-2</v>
      </c>
      <c r="Q145" s="188">
        <v>121.25</v>
      </c>
      <c r="R145" s="91">
        <v>166840</v>
      </c>
      <c r="S145" s="91">
        <v>121.25</v>
      </c>
      <c r="T145" s="91">
        <v>166840</v>
      </c>
      <c r="U145" s="93">
        <v>469</v>
      </c>
      <c r="V145" s="94">
        <v>1.1000000000000001E-3</v>
      </c>
      <c r="W145" s="94">
        <v>6.6299999999999998E-2</v>
      </c>
      <c r="X145" s="200">
        <f t="shared" si="96"/>
        <v>1.3262554976706593E-2</v>
      </c>
      <c r="Y145" s="200">
        <f t="shared" si="97"/>
        <v>1.2850648846064114E-2</v>
      </c>
      <c r="Z145" s="200">
        <f t="shared" si="98"/>
        <v>-2.1276595744680851E-3</v>
      </c>
      <c r="AA145" s="200">
        <f t="shared" si="99"/>
        <v>-9.9999999999999829E-5</v>
      </c>
      <c r="AB145" s="201">
        <f t="shared" si="100"/>
        <v>7.9999999999999516E-4</v>
      </c>
    </row>
    <row r="146" spans="1:30">
      <c r="A146" s="175">
        <v>129</v>
      </c>
      <c r="B146" s="85" t="s">
        <v>186</v>
      </c>
      <c r="C146" s="86" t="s">
        <v>71</v>
      </c>
      <c r="D146" s="205">
        <v>0</v>
      </c>
      <c r="E146" s="97">
        <v>152883502.54478398</v>
      </c>
      <c r="F146" s="92">
        <f t="shared" ref="F146" si="106">(E146/$E$117)</f>
        <v>6.4861817793747476E-4</v>
      </c>
      <c r="G146" s="188">
        <v>0</v>
      </c>
      <c r="H146" s="96">
        <v>1438.0393968599999</v>
      </c>
      <c r="I146" s="188">
        <v>0</v>
      </c>
      <c r="J146" s="96">
        <v>1438.0393968599999</v>
      </c>
      <c r="K146" s="93">
        <v>7</v>
      </c>
      <c r="L146" s="94">
        <v>8.9999999999999998E-4</v>
      </c>
      <c r="M146" s="94">
        <v>8.6199999999999999E-2</v>
      </c>
      <c r="N146" s="188">
        <v>113715.39</v>
      </c>
      <c r="O146" s="97">
        <f>113715.39*AC140</f>
        <v>156352190.844309</v>
      </c>
      <c r="P146" s="92">
        <f t="shared" si="105"/>
        <v>6.6314632146001668E-4</v>
      </c>
      <c r="Q146" s="188">
        <v>1.0573999999999999</v>
      </c>
      <c r="R146" s="96">
        <f>1.0574*AC140</f>
        <v>1453.8648339399999</v>
      </c>
      <c r="S146" s="96">
        <v>1.0573999999999999</v>
      </c>
      <c r="T146" s="96">
        <f>1.0574*AC140</f>
        <v>1453.8648339399999</v>
      </c>
      <c r="U146" s="93">
        <v>7</v>
      </c>
      <c r="V146" s="94">
        <v>-1.1000000000000001E-3</v>
      </c>
      <c r="W146" s="94">
        <v>8.5000000000000006E-2</v>
      </c>
      <c r="X146" s="202">
        <f t="shared" si="96"/>
        <v>2.2688440817928958E-2</v>
      </c>
      <c r="Y146" s="202">
        <f t="shared" si="97"/>
        <v>1.1004870321741756E-2</v>
      </c>
      <c r="Z146" s="202">
        <f t="shared" si="98"/>
        <v>0</v>
      </c>
      <c r="AA146" s="200">
        <f t="shared" si="99"/>
        <v>-2E-3</v>
      </c>
      <c r="AB146" s="201">
        <f t="shared" si="100"/>
        <v>-1.1999999999999927E-3</v>
      </c>
    </row>
    <row r="147" spans="1:30">
      <c r="A147" s="175">
        <v>130</v>
      </c>
      <c r="B147" s="85" t="s">
        <v>187</v>
      </c>
      <c r="C147" s="86" t="s">
        <v>67</v>
      </c>
      <c r="D147" s="205">
        <v>0</v>
      </c>
      <c r="E147" s="91">
        <v>13138869825.437599</v>
      </c>
      <c r="F147" s="92">
        <f t="shared" ref="F147:F160" si="107">(E147/$E$161)</f>
        <v>7.1193555119368679E-3</v>
      </c>
      <c r="G147" s="188">
        <v>0</v>
      </c>
      <c r="H147" s="91">
        <v>1859.2331949757399</v>
      </c>
      <c r="I147" s="188">
        <v>0</v>
      </c>
      <c r="J147" s="91">
        <v>1859.2331949757399</v>
      </c>
      <c r="K147" s="93">
        <v>361</v>
      </c>
      <c r="L147" s="94">
        <v>5.8099999999999999E-2</v>
      </c>
      <c r="M147" s="94">
        <v>6.9900000000000004E-2</v>
      </c>
      <c r="N147" s="188">
        <f>O147/AC140</f>
        <v>9755087.8604630996</v>
      </c>
      <c r="O147" s="91">
        <v>13412690743.637501</v>
      </c>
      <c r="P147" s="92">
        <f t="shared" ref="P147:P160" si="108">(O147/$O$161)</f>
        <v>7.1687178004621512E-3</v>
      </c>
      <c r="Q147" s="188">
        <f>R147/AC140</f>
        <v>1.3730421115244407</v>
      </c>
      <c r="R147" s="91">
        <v>1887.8547772499601</v>
      </c>
      <c r="S147" s="91">
        <f>T147/AC140</f>
        <v>1.3730421115244407</v>
      </c>
      <c r="T147" s="91">
        <v>1887.8547772499601</v>
      </c>
      <c r="U147" s="93">
        <v>363</v>
      </c>
      <c r="V147" s="94">
        <v>6.7299999999999999E-2</v>
      </c>
      <c r="W147" s="94">
        <v>6.9800000000000001E-2</v>
      </c>
      <c r="X147" s="200">
        <f t="shared" si="96"/>
        <v>2.0840522955008559E-2</v>
      </c>
      <c r="Y147" s="200">
        <f t="shared" si="97"/>
        <v>1.539429392265859E-2</v>
      </c>
      <c r="Z147" s="202">
        <f t="shared" si="98"/>
        <v>5.5401662049861496E-3</v>
      </c>
      <c r="AA147" s="200">
        <f t="shared" si="99"/>
        <v>9.1999999999999998E-3</v>
      </c>
      <c r="AB147" s="201">
        <f t="shared" si="100"/>
        <v>-1.0000000000000286E-4</v>
      </c>
    </row>
    <row r="148" spans="1:30">
      <c r="A148" s="175">
        <v>131</v>
      </c>
      <c r="B148" s="85" t="s">
        <v>188</v>
      </c>
      <c r="C148" s="86" t="s">
        <v>89</v>
      </c>
      <c r="D148" s="205">
        <v>0</v>
      </c>
      <c r="E148" s="91">
        <v>272436971.26565701</v>
      </c>
      <c r="F148" s="92">
        <f t="shared" si="107"/>
        <v>1.4762119412130962E-4</v>
      </c>
      <c r="G148" s="188">
        <v>0</v>
      </c>
      <c r="H148" s="91">
        <v>1426.356855</v>
      </c>
      <c r="I148" s="188">
        <v>0</v>
      </c>
      <c r="J148" s="91">
        <v>1426.356855</v>
      </c>
      <c r="K148" s="93">
        <v>11</v>
      </c>
      <c r="L148" s="94">
        <v>6.7299999999999999E-2</v>
      </c>
      <c r="M148" s="94">
        <v>6.7299999999999999E-2</v>
      </c>
      <c r="N148" s="188">
        <v>200656.84</v>
      </c>
      <c r="O148" s="91">
        <f>200656.84*AC140</f>
        <v>275891737.62580401</v>
      </c>
      <c r="P148" s="92">
        <f t="shared" si="108"/>
        <v>1.4745661764077633E-4</v>
      </c>
      <c r="Q148" s="188">
        <v>1.05</v>
      </c>
      <c r="R148" s="91">
        <f>1.05*AC140</f>
        <v>1443.690255</v>
      </c>
      <c r="S148" s="91">
        <v>1.05</v>
      </c>
      <c r="T148" s="91">
        <f>1.05*AC140</f>
        <v>1443.690255</v>
      </c>
      <c r="U148" s="93">
        <v>11</v>
      </c>
      <c r="V148" s="94">
        <v>6.7299999999999999E-2</v>
      </c>
      <c r="W148" s="94">
        <v>6.7299999999999999E-2</v>
      </c>
      <c r="X148" s="200">
        <f t="shared" si="96"/>
        <v>1.2680974774081633E-2</v>
      </c>
      <c r="Y148" s="200">
        <f t="shared" si="97"/>
        <v>1.215221838717211E-2</v>
      </c>
      <c r="Z148" s="202">
        <f t="shared" si="98"/>
        <v>0</v>
      </c>
      <c r="AA148" s="200">
        <f t="shared" si="99"/>
        <v>0</v>
      </c>
      <c r="AB148" s="201">
        <f t="shared" si="100"/>
        <v>0</v>
      </c>
    </row>
    <row r="149" spans="1:30" ht="15.6">
      <c r="A149" s="175">
        <v>132</v>
      </c>
      <c r="B149" s="85" t="s">
        <v>189</v>
      </c>
      <c r="C149" s="86" t="s">
        <v>35</v>
      </c>
      <c r="D149" s="205">
        <v>0</v>
      </c>
      <c r="E149" s="91">
        <v>151013784023.61099</v>
      </c>
      <c r="F149" s="92">
        <f t="shared" si="107"/>
        <v>8.1827495815921983E-2</v>
      </c>
      <c r="G149" s="188">
        <v>0</v>
      </c>
      <c r="H149" s="91">
        <v>135843.50999999998</v>
      </c>
      <c r="I149" s="188">
        <v>0</v>
      </c>
      <c r="J149" s="91">
        <v>135843.50999999998</v>
      </c>
      <c r="K149" s="93">
        <v>3194</v>
      </c>
      <c r="L149" s="94">
        <v>4.58E-2</v>
      </c>
      <c r="M149" s="94">
        <v>0.05</v>
      </c>
      <c r="N149" s="188">
        <f>O149/AC140</f>
        <v>108705199.07849279</v>
      </c>
      <c r="O149" s="91">
        <v>149463463407.10001</v>
      </c>
      <c r="P149" s="92">
        <f t="shared" si="108"/>
        <v>7.9884149357090345E-2</v>
      </c>
      <c r="Q149" s="188">
        <v>100</v>
      </c>
      <c r="R149" s="91">
        <f>100*AC140</f>
        <v>137494.31</v>
      </c>
      <c r="S149" s="91">
        <v>100</v>
      </c>
      <c r="T149" s="91">
        <f>100*AC140</f>
        <v>137494.31</v>
      </c>
      <c r="U149" s="93">
        <v>3271</v>
      </c>
      <c r="V149" s="94">
        <v>3.9E-2</v>
      </c>
      <c r="W149" s="94">
        <v>4.9500000000000002E-2</v>
      </c>
      <c r="X149" s="200">
        <f t="shared" si="96"/>
        <v>-1.0266086811443609E-2</v>
      </c>
      <c r="Y149" s="200">
        <f t="shared" si="97"/>
        <v>1.2152218387172252E-2</v>
      </c>
      <c r="Z149" s="200">
        <f t="shared" si="98"/>
        <v>2.4107701941139637E-2</v>
      </c>
      <c r="AA149" s="200">
        <f t="shared" si="99"/>
        <v>-6.8000000000000005E-3</v>
      </c>
      <c r="AB149" s="201">
        <f t="shared" si="100"/>
        <v>-5.0000000000000044E-4</v>
      </c>
      <c r="AD149" s="29"/>
    </row>
    <row r="150" spans="1:30" ht="15.6">
      <c r="A150" s="175">
        <v>133</v>
      </c>
      <c r="B150" s="85" t="s">
        <v>190</v>
      </c>
      <c r="C150" s="86" t="s">
        <v>144</v>
      </c>
      <c r="D150" s="205">
        <v>0</v>
      </c>
      <c r="E150" s="91">
        <v>1530774273.0591958</v>
      </c>
      <c r="F150" s="92">
        <f t="shared" si="107"/>
        <v>8.2945690179042229E-4</v>
      </c>
      <c r="G150" s="188">
        <v>0</v>
      </c>
      <c r="H150" s="91">
        <v>1562.2003649999997</v>
      </c>
      <c r="I150" s="188">
        <v>0</v>
      </c>
      <c r="J150" s="91">
        <v>1562.2003649999997</v>
      </c>
      <c r="K150" s="93">
        <v>53</v>
      </c>
      <c r="L150" s="94">
        <v>1.9E-3</v>
      </c>
      <c r="M150" s="94">
        <v>0.1149</v>
      </c>
      <c r="N150" s="188">
        <v>1128175.75</v>
      </c>
      <c r="O150" s="91">
        <f>1128175.75*AC140</f>
        <v>1551177463.049825</v>
      </c>
      <c r="P150" s="92">
        <f t="shared" si="108"/>
        <v>8.2906209526346594E-4</v>
      </c>
      <c r="Q150" s="188">
        <v>1.1499999999999999</v>
      </c>
      <c r="R150" s="91">
        <f>1.15*AC140</f>
        <v>1581.1845649999998</v>
      </c>
      <c r="S150" s="91">
        <v>1.1499999999999999</v>
      </c>
      <c r="T150" s="91">
        <f>1.15*AC140</f>
        <v>1581.1845649999998</v>
      </c>
      <c r="U150" s="93">
        <v>53</v>
      </c>
      <c r="V150" s="94">
        <v>1.9E-3</v>
      </c>
      <c r="W150" s="94">
        <v>0.1053</v>
      </c>
      <c r="X150" s="200">
        <f t="shared" si="96"/>
        <v>1.332867317521229E-2</v>
      </c>
      <c r="Y150" s="200">
        <f t="shared" si="97"/>
        <v>1.2152218387172189E-2</v>
      </c>
      <c r="Z150" s="200">
        <f t="shared" si="98"/>
        <v>0</v>
      </c>
      <c r="AA150" s="200">
        <f t="shared" si="99"/>
        <v>0</v>
      </c>
      <c r="AB150" s="201">
        <f t="shared" si="100"/>
        <v>-9.5999999999999974E-3</v>
      </c>
      <c r="AD150" s="29"/>
    </row>
    <row r="151" spans="1:30" ht="15.6">
      <c r="A151" s="175">
        <v>134</v>
      </c>
      <c r="B151" s="85" t="s">
        <v>314</v>
      </c>
      <c r="C151" s="86" t="s">
        <v>40</v>
      </c>
      <c r="D151" s="205">
        <v>0</v>
      </c>
      <c r="E151" s="97">
        <v>10680521537.098808</v>
      </c>
      <c r="F151" s="92">
        <f t="shared" si="107"/>
        <v>5.787288471972689E-3</v>
      </c>
      <c r="G151" s="188">
        <v>0</v>
      </c>
      <c r="H151" s="91">
        <v>14657.514728999999</v>
      </c>
      <c r="I151" s="188">
        <v>0</v>
      </c>
      <c r="J151" s="91">
        <v>14657.514728999999</v>
      </c>
      <c r="K151" s="93">
        <v>187</v>
      </c>
      <c r="L151" s="94">
        <v>5.74E-2</v>
      </c>
      <c r="M151" s="94">
        <v>7.5600000000000001E-2</v>
      </c>
      <c r="N151" s="188">
        <v>7786468.29</v>
      </c>
      <c r="O151" s="97">
        <f>7786468.29*AC140</f>
        <v>10705950848.704298</v>
      </c>
      <c r="P151" s="92">
        <f t="shared" si="108"/>
        <v>5.722039066351086E-3</v>
      </c>
      <c r="Q151" s="188">
        <v>10.81</v>
      </c>
      <c r="R151" s="91">
        <f>10.81*AC140</f>
        <v>14863.134911000001</v>
      </c>
      <c r="S151" s="91">
        <v>10.81</v>
      </c>
      <c r="T151" s="91">
        <f>10.81*AC140</f>
        <v>14863.134911000001</v>
      </c>
      <c r="U151" s="93">
        <v>256</v>
      </c>
      <c r="V151" s="94">
        <v>5.7000000000000002E-2</v>
      </c>
      <c r="W151" s="94">
        <v>7.5300000000000006E-2</v>
      </c>
      <c r="X151" s="200">
        <f t="shared" si="96"/>
        <v>2.3809054190060829E-3</v>
      </c>
      <c r="Y151" s="200">
        <f t="shared" si="97"/>
        <v>1.4028311470373717E-2</v>
      </c>
      <c r="Z151" s="200">
        <f t="shared" si="98"/>
        <v>0.36898395721925131</v>
      </c>
      <c r="AA151" s="200">
        <f t="shared" si="99"/>
        <v>-3.9999999999999758E-4</v>
      </c>
      <c r="AB151" s="201">
        <f t="shared" si="100"/>
        <v>-2.9999999999999472E-4</v>
      </c>
      <c r="AD151" s="29"/>
    </row>
    <row r="152" spans="1:30" ht="15.6">
      <c r="A152" s="175">
        <v>135</v>
      </c>
      <c r="B152" s="86" t="s">
        <v>191</v>
      </c>
      <c r="C152" s="121" t="s">
        <v>44</v>
      </c>
      <c r="D152" s="205">
        <v>0</v>
      </c>
      <c r="E152" s="91">
        <v>30458432455.200001</v>
      </c>
      <c r="F152" s="92">
        <f t="shared" si="107"/>
        <v>1.6504038160501583E-2</v>
      </c>
      <c r="G152" s="188">
        <v>0</v>
      </c>
      <c r="H152" s="91">
        <v>1507.862961</v>
      </c>
      <c r="I152" s="188">
        <v>0</v>
      </c>
      <c r="J152" s="91">
        <v>1507.862961</v>
      </c>
      <c r="K152" s="93">
        <v>604</v>
      </c>
      <c r="L152" s="94">
        <v>-8.0000000000000004E-4</v>
      </c>
      <c r="M152" s="94">
        <v>6.6500000000000004E-2</v>
      </c>
      <c r="N152" s="188">
        <f>O152/AC140</f>
        <v>23497721.340003088</v>
      </c>
      <c r="O152" s="91">
        <v>32308029822.16</v>
      </c>
      <c r="P152" s="92">
        <f t="shared" si="108"/>
        <v>1.7267761772099797E-2</v>
      </c>
      <c r="Q152" s="188">
        <v>1.1100000000000001</v>
      </c>
      <c r="R152" s="91">
        <f>1.11*AC140</f>
        <v>1526.1868410000002</v>
      </c>
      <c r="S152" s="91">
        <v>1.1100000000000001</v>
      </c>
      <c r="T152" s="91">
        <f>1.11*AC140</f>
        <v>1526.1868410000002</v>
      </c>
      <c r="U152" s="93">
        <v>606</v>
      </c>
      <c r="V152" s="94">
        <v>8.9999999999999998E-4</v>
      </c>
      <c r="W152" s="94">
        <v>6.7500000000000004E-2</v>
      </c>
      <c r="X152" s="200">
        <f t="shared" si="96"/>
        <v>6.072529732711926E-2</v>
      </c>
      <c r="Y152" s="200">
        <f t="shared" si="97"/>
        <v>1.2152218387172217E-2</v>
      </c>
      <c r="Z152" s="200">
        <f t="shared" si="98"/>
        <v>3.3112582781456954E-3</v>
      </c>
      <c r="AA152" s="200">
        <f t="shared" si="99"/>
        <v>1.7000000000000001E-3</v>
      </c>
      <c r="AB152" s="201">
        <f t="shared" si="100"/>
        <v>1.0000000000000009E-3</v>
      </c>
      <c r="AD152" s="29"/>
    </row>
    <row r="153" spans="1:30">
      <c r="A153" s="175">
        <v>136</v>
      </c>
      <c r="B153" s="85" t="s">
        <v>192</v>
      </c>
      <c r="C153" s="86" t="s">
        <v>100</v>
      </c>
      <c r="D153" s="205">
        <v>0</v>
      </c>
      <c r="E153" s="97">
        <v>430939067.16000003</v>
      </c>
      <c r="F153" s="92">
        <f t="shared" si="107"/>
        <v>2.3350626529190812E-4</v>
      </c>
      <c r="G153" s="188">
        <v>0</v>
      </c>
      <c r="H153" s="91">
        <v>1728.72</v>
      </c>
      <c r="I153" s="188">
        <v>0</v>
      </c>
      <c r="J153" s="91">
        <v>1728.72</v>
      </c>
      <c r="K153" s="93">
        <v>2</v>
      </c>
      <c r="L153" s="94">
        <v>8.0000000000000004E-4</v>
      </c>
      <c r="M153" s="94">
        <v>-0.16089999999999999</v>
      </c>
      <c r="N153" s="188">
        <v>314390.39</v>
      </c>
      <c r="O153" s="97">
        <f>314390.39*1375.19</f>
        <v>432346520.42410004</v>
      </c>
      <c r="P153" s="92">
        <f t="shared" si="108"/>
        <v>2.3107743674790601E-4</v>
      </c>
      <c r="Q153" s="188">
        <v>1.26</v>
      </c>
      <c r="R153" s="91">
        <f>1.26*1375.19</f>
        <v>1732.7394000000002</v>
      </c>
      <c r="S153" s="91">
        <v>1.26</v>
      </c>
      <c r="T153" s="91">
        <f>1.26*1375.19</f>
        <v>1732.7394000000002</v>
      </c>
      <c r="U153" s="93">
        <v>2</v>
      </c>
      <c r="V153" s="94">
        <v>2.0000000000000001E-4</v>
      </c>
      <c r="W153" s="94">
        <v>-0.15010000000000001</v>
      </c>
      <c r="X153" s="200">
        <f t="shared" si="96"/>
        <v>3.2660145513738088E-3</v>
      </c>
      <c r="Y153" s="200">
        <f t="shared" si="97"/>
        <v>2.3250728862974526E-3</v>
      </c>
      <c r="Z153" s="200">
        <f t="shared" si="98"/>
        <v>0</v>
      </c>
      <c r="AA153" s="200">
        <f t="shared" ref="AA153" si="109">V153-L153</f>
        <v>-6.0000000000000006E-4</v>
      </c>
      <c r="AB153" s="201">
        <f t="shared" ref="AB153" si="110">W153-M153</f>
        <v>1.0799999999999976E-2</v>
      </c>
    </row>
    <row r="154" spans="1:30">
      <c r="A154" s="175">
        <v>137</v>
      </c>
      <c r="B154" s="85" t="s">
        <v>193</v>
      </c>
      <c r="C154" s="86" t="s">
        <v>105</v>
      </c>
      <c r="D154" s="205">
        <v>0</v>
      </c>
      <c r="E154" s="97">
        <v>760564026.291399</v>
      </c>
      <c r="F154" s="92">
        <f t="shared" si="107"/>
        <v>4.1211502699230277E-4</v>
      </c>
      <c r="G154" s="188">
        <v>0</v>
      </c>
      <c r="H154" s="91">
        <v>1472.4078048900001</v>
      </c>
      <c r="I154" s="188">
        <v>0</v>
      </c>
      <c r="J154" s="91">
        <v>1472.4078048900001</v>
      </c>
      <c r="K154" s="93">
        <v>13</v>
      </c>
      <c r="L154" s="94">
        <v>-5.0000000000000001E-4</v>
      </c>
      <c r="M154" s="94">
        <v>5.2999999999999999E-2</v>
      </c>
      <c r="N154" s="188">
        <v>562722.25</v>
      </c>
      <c r="O154" s="97">
        <f>562722.25*AC140</f>
        <v>773711074.85397494</v>
      </c>
      <c r="P154" s="92">
        <f t="shared" si="108"/>
        <v>4.1352749129412849E-4</v>
      </c>
      <c r="Q154" s="188">
        <v>1.0867</v>
      </c>
      <c r="R154" s="91">
        <f>1.0867*AC140</f>
        <v>1494.15066677</v>
      </c>
      <c r="S154" s="91">
        <v>1.0867</v>
      </c>
      <c r="T154" s="91">
        <f>1.0867*AC140</f>
        <v>1494.15066677</v>
      </c>
      <c r="U154" s="93">
        <v>14</v>
      </c>
      <c r="V154" s="94">
        <v>1.1999999999999999E-3</v>
      </c>
      <c r="W154" s="94">
        <v>5.5E-2</v>
      </c>
      <c r="X154" s="200">
        <f t="shared" ref="X154" si="111">((O154-E154)/E154)</f>
        <v>1.7285919538796116E-2</v>
      </c>
      <c r="Y154" s="200">
        <f t="shared" ref="Y154" si="112">((T154-J154)/J154)</f>
        <v>1.4766874915896224E-2</v>
      </c>
      <c r="Z154" s="200">
        <f t="shared" si="98"/>
        <v>7.6923076923076927E-2</v>
      </c>
      <c r="AA154" s="200">
        <f t="shared" si="99"/>
        <v>1.6999999999999999E-3</v>
      </c>
      <c r="AB154" s="201">
        <f t="shared" si="100"/>
        <v>2.0000000000000018E-3</v>
      </c>
    </row>
    <row r="155" spans="1:30">
      <c r="A155" s="175">
        <v>138</v>
      </c>
      <c r="B155" s="85" t="s">
        <v>194</v>
      </c>
      <c r="C155" s="86" t="s">
        <v>46</v>
      </c>
      <c r="D155" s="205">
        <v>0</v>
      </c>
      <c r="E155" s="97">
        <v>881420647917.97998</v>
      </c>
      <c r="F155" s="92">
        <f t="shared" si="107"/>
        <v>0.47760172917923238</v>
      </c>
      <c r="G155" s="188">
        <v>0</v>
      </c>
      <c r="H155" s="91">
        <v>2298.5100000000002</v>
      </c>
      <c r="I155" s="188">
        <v>0</v>
      </c>
      <c r="J155" s="91">
        <v>2298.5100000000002</v>
      </c>
      <c r="K155" s="93">
        <v>13508</v>
      </c>
      <c r="L155" s="94">
        <v>8.0000000000000004E-4</v>
      </c>
      <c r="M155" s="94">
        <v>1.12E-2</v>
      </c>
      <c r="N155" s="188">
        <v>647513745.95000005</v>
      </c>
      <c r="O155" s="97">
        <v>892273941919.09998</v>
      </c>
      <c r="P155" s="92">
        <f t="shared" si="108"/>
        <v>0.47689611373155943</v>
      </c>
      <c r="Q155" s="188">
        <v>1.6924999999999999</v>
      </c>
      <c r="R155" s="91">
        <v>2332.27</v>
      </c>
      <c r="S155" s="188">
        <v>1.6924999999999999</v>
      </c>
      <c r="T155" s="91">
        <v>2332.27</v>
      </c>
      <c r="U155" s="93">
        <v>13532</v>
      </c>
      <c r="V155" s="94">
        <v>6.9999999999999999E-4</v>
      </c>
      <c r="W155" s="94">
        <v>1.1900000000000001E-2</v>
      </c>
      <c r="X155" s="200">
        <f t="shared" si="96"/>
        <v>1.2313410205169078E-2</v>
      </c>
      <c r="Y155" s="200">
        <f t="shared" si="97"/>
        <v>1.4687775994013408E-2</v>
      </c>
      <c r="Z155" s="200">
        <f t="shared" si="98"/>
        <v>1.7767249037607344E-3</v>
      </c>
      <c r="AA155" s="200">
        <f t="shared" si="99"/>
        <v>-1.0000000000000005E-4</v>
      </c>
      <c r="AB155" s="201">
        <f t="shared" si="100"/>
        <v>7.0000000000000097E-4</v>
      </c>
    </row>
    <row r="156" spans="1:30">
      <c r="A156" s="175">
        <v>139</v>
      </c>
      <c r="B156" s="85" t="s">
        <v>195</v>
      </c>
      <c r="C156" s="85" t="s">
        <v>110</v>
      </c>
      <c r="D156" s="205">
        <v>0</v>
      </c>
      <c r="E156" s="97">
        <v>555962848.25261402</v>
      </c>
      <c r="F156" s="92">
        <f t="shared" si="107"/>
        <v>3.0125096151544688E-4</v>
      </c>
      <c r="G156" s="188">
        <v>0</v>
      </c>
      <c r="H156" s="91">
        <v>157673.56205699997</v>
      </c>
      <c r="I156" s="188">
        <v>0</v>
      </c>
      <c r="J156" s="91">
        <v>157673.56205699997</v>
      </c>
      <c r="K156" s="93">
        <v>32</v>
      </c>
      <c r="L156" s="94">
        <v>1.5E-3</v>
      </c>
      <c r="M156" s="94">
        <v>2.0799999999999999E-2</v>
      </c>
      <c r="N156" s="188">
        <v>409857.48</v>
      </c>
      <c r="O156" s="97">
        <f>409857.48*AC140</f>
        <v>563530714.10938799</v>
      </c>
      <c r="P156" s="92">
        <f t="shared" si="108"/>
        <v>3.0119181442093935E-4</v>
      </c>
      <c r="Q156" s="188">
        <v>116.24</v>
      </c>
      <c r="R156" s="91">
        <f>116.24*AC140</f>
        <v>159823.38594399998</v>
      </c>
      <c r="S156" s="91">
        <v>116.24</v>
      </c>
      <c r="T156" s="91">
        <f>116.24*AC140</f>
        <v>159823.38594399998</v>
      </c>
      <c r="U156" s="93">
        <v>32</v>
      </c>
      <c r="V156" s="94">
        <v>1.4E-3</v>
      </c>
      <c r="W156" s="94">
        <v>2.2100000000000002E-2</v>
      </c>
      <c r="X156" s="200">
        <f t="shared" ref="X156" si="113">((O156-E156)/E156)</f>
        <v>1.3612179088152569E-2</v>
      </c>
      <c r="Y156" s="200">
        <f t="shared" ref="Y156" si="114">((T156-J156)/J156)</f>
        <v>1.3634650343110986E-2</v>
      </c>
      <c r="Z156" s="200">
        <f t="shared" ref="Z156" si="115">((U156-K156)/K156)</f>
        <v>0</v>
      </c>
      <c r="AA156" s="200">
        <f t="shared" ref="AA156" si="116">V156-L156</f>
        <v>-1.0000000000000005E-4</v>
      </c>
      <c r="AB156" s="201">
        <f t="shared" ref="AB156" si="117">W156-M156</f>
        <v>1.3000000000000025E-3</v>
      </c>
    </row>
    <row r="157" spans="1:30" ht="16.5" customHeight="1">
      <c r="A157" s="175">
        <v>140</v>
      </c>
      <c r="B157" s="85" t="s">
        <v>196</v>
      </c>
      <c r="C157" s="86" t="s">
        <v>49</v>
      </c>
      <c r="D157" s="205">
        <v>0</v>
      </c>
      <c r="E157" s="97">
        <v>182524079559.26578</v>
      </c>
      <c r="F157" s="92">
        <f t="shared" si="107"/>
        <v>9.890149070170752E-2</v>
      </c>
      <c r="G157" s="188">
        <v>0</v>
      </c>
      <c r="H157" s="91">
        <v>1726.1055035999998</v>
      </c>
      <c r="I157" s="188">
        <v>0</v>
      </c>
      <c r="J157" s="91">
        <v>1726.1055035999998</v>
      </c>
      <c r="K157" s="93">
        <v>997</v>
      </c>
      <c r="L157" s="94">
        <v>8.9999999999999998E-4</v>
      </c>
      <c r="M157" s="94">
        <v>5.8200000000000002E-2</v>
      </c>
      <c r="N157" s="188">
        <v>135596565.56</v>
      </c>
      <c r="O157" s="97">
        <f>135596565.56*1378</f>
        <v>186852067341.67999</v>
      </c>
      <c r="P157" s="92">
        <f t="shared" si="108"/>
        <v>9.9867339582168466E-2</v>
      </c>
      <c r="Q157" s="188">
        <v>1.2712794999999999</v>
      </c>
      <c r="R157" s="91">
        <f>1.2712795*1378</f>
        <v>1751.8231509999998</v>
      </c>
      <c r="S157" s="91">
        <v>1.2712794999999999</v>
      </c>
      <c r="T157" s="91">
        <f>1.2712795*1378</f>
        <v>1751.8231509999998</v>
      </c>
      <c r="U157" s="93">
        <v>1029</v>
      </c>
      <c r="V157" s="94">
        <v>8.0000000000000004E-4</v>
      </c>
      <c r="W157" s="94">
        <v>5.7799999999999997E-2</v>
      </c>
      <c r="X157" s="200">
        <f t="shared" si="96"/>
        <v>2.3711872936791951E-2</v>
      </c>
      <c r="Y157" s="200">
        <f t="shared" si="97"/>
        <v>1.48992326056332E-2</v>
      </c>
      <c r="Z157" s="200">
        <f t="shared" si="98"/>
        <v>3.2096288866599799E-2</v>
      </c>
      <c r="AA157" s="200">
        <f t="shared" si="99"/>
        <v>-9.9999999999999937E-5</v>
      </c>
      <c r="AB157" s="201">
        <f t="shared" si="100"/>
        <v>-4.0000000000000452E-4</v>
      </c>
    </row>
    <row r="158" spans="1:30" ht="16.5" customHeight="1">
      <c r="A158" s="175">
        <v>141</v>
      </c>
      <c r="B158" s="85" t="s">
        <v>197</v>
      </c>
      <c r="C158" s="86" t="s">
        <v>107</v>
      </c>
      <c r="D158" s="205">
        <v>0</v>
      </c>
      <c r="E158" s="91">
        <v>2026782555.0373285</v>
      </c>
      <c r="F158" s="92">
        <f t="shared" si="107"/>
        <v>1.0982212128143917E-3</v>
      </c>
      <c r="G158" s="188">
        <v>0</v>
      </c>
      <c r="H158" s="91">
        <v>157130.18801699998</v>
      </c>
      <c r="I158" s="188">
        <v>0</v>
      </c>
      <c r="J158" s="91">
        <v>157130.18801699998</v>
      </c>
      <c r="K158" s="93">
        <v>33</v>
      </c>
      <c r="L158" s="94">
        <v>5.4000000000000003E-3</v>
      </c>
      <c r="M158" s="94">
        <v>3.4599999999999999E-2</v>
      </c>
      <c r="N158" s="188">
        <v>1492308.97525924</v>
      </c>
      <c r="O158" s="91">
        <f>1492308.97525924*AC140</f>
        <v>2051839928.6007626</v>
      </c>
      <c r="P158" s="92">
        <f t="shared" si="108"/>
        <v>1.0966525435499755E-3</v>
      </c>
      <c r="Q158" s="188">
        <v>115.85</v>
      </c>
      <c r="R158" s="91">
        <f>115.85*AC140</f>
        <v>159287.15813499998</v>
      </c>
      <c r="S158" s="188">
        <v>115.85</v>
      </c>
      <c r="T158" s="91">
        <f>115.85*AC140</f>
        <v>159287.15813499998</v>
      </c>
      <c r="U158" s="93">
        <v>33</v>
      </c>
      <c r="V158" s="94">
        <v>1.6000000000000001E-3</v>
      </c>
      <c r="W158" s="94">
        <v>3.6200000000000003E-2</v>
      </c>
      <c r="X158" s="200">
        <f t="shared" si="96"/>
        <v>1.2363128694371768E-2</v>
      </c>
      <c r="Y158" s="200">
        <f t="shared" si="97"/>
        <v>1.3727280194984773E-2</v>
      </c>
      <c r="Z158" s="200">
        <f t="shared" si="98"/>
        <v>0</v>
      </c>
      <c r="AA158" s="200">
        <f t="shared" si="99"/>
        <v>-3.8000000000000004E-3</v>
      </c>
      <c r="AB158" s="201">
        <f t="shared" si="100"/>
        <v>1.6000000000000042E-3</v>
      </c>
    </row>
    <row r="159" spans="1:30" ht="16.5" customHeight="1">
      <c r="A159" s="175">
        <v>142</v>
      </c>
      <c r="B159" s="85" t="s">
        <v>198</v>
      </c>
      <c r="C159" s="86" t="s">
        <v>117</v>
      </c>
      <c r="D159" s="205">
        <v>0</v>
      </c>
      <c r="E159" s="91">
        <v>5889248833.6637001</v>
      </c>
      <c r="F159" s="92">
        <f t="shared" si="107"/>
        <v>3.1911158799927458E-3</v>
      </c>
      <c r="G159" s="188">
        <v>0</v>
      </c>
      <c r="H159" s="91">
        <v>1602.9534179999998</v>
      </c>
      <c r="I159" s="188">
        <v>0</v>
      </c>
      <c r="J159" s="91">
        <v>1602.9534179999998</v>
      </c>
      <c r="K159" s="93">
        <v>56</v>
      </c>
      <c r="L159" s="94">
        <v>1.5299999999999999E-2</v>
      </c>
      <c r="M159" s="94">
        <v>1.8200000000000001E-2</v>
      </c>
      <c r="N159" s="188">
        <v>4291107.6900000004</v>
      </c>
      <c r="O159" s="91">
        <f>4291107.69*AC140</f>
        <v>5900028909.7224398</v>
      </c>
      <c r="P159" s="92">
        <f t="shared" si="108"/>
        <v>3.1534047177246734E-3</v>
      </c>
      <c r="Q159" s="188">
        <v>1.18</v>
      </c>
      <c r="R159" s="91">
        <f>1.18*AC140</f>
        <v>1622.4328579999999</v>
      </c>
      <c r="S159" s="91">
        <v>1.18</v>
      </c>
      <c r="T159" s="91">
        <f>1.18*AC140</f>
        <v>1622.4328579999999</v>
      </c>
      <c r="U159" s="93">
        <v>56</v>
      </c>
      <c r="V159" s="94">
        <v>1.9099999999999999E-2</v>
      </c>
      <c r="W159" s="94">
        <v>1.9900000000000001E-2</v>
      </c>
      <c r="X159" s="200">
        <f t="shared" ref="X159" si="118">((O159-E159)/E159)</f>
        <v>1.830467070285665E-3</v>
      </c>
      <c r="Y159" s="200">
        <f t="shared" ref="Y159" si="119">((T159-J159)/J159)</f>
        <v>1.2152218387172165E-2</v>
      </c>
      <c r="Z159" s="200">
        <f t="shared" si="98"/>
        <v>0</v>
      </c>
      <c r="AA159" s="200">
        <f t="shared" si="99"/>
        <v>3.7999999999999996E-3</v>
      </c>
      <c r="AB159" s="201">
        <f t="shared" si="100"/>
        <v>1.7000000000000001E-3</v>
      </c>
    </row>
    <row r="160" spans="1:30">
      <c r="A160" s="175">
        <v>143</v>
      </c>
      <c r="B160" s="85" t="s">
        <v>199</v>
      </c>
      <c r="C160" s="86" t="s">
        <v>119</v>
      </c>
      <c r="D160" s="205">
        <v>0</v>
      </c>
      <c r="E160" s="91">
        <v>1951872553.9822738</v>
      </c>
      <c r="F160" s="92">
        <f t="shared" si="107"/>
        <v>1.0576308929470023E-3</v>
      </c>
      <c r="G160" s="188">
        <v>0</v>
      </c>
      <c r="H160" s="91">
        <v>2078.4057029999999</v>
      </c>
      <c r="I160" s="188">
        <v>0</v>
      </c>
      <c r="J160" s="91">
        <v>2078.4057029999999</v>
      </c>
      <c r="K160" s="93">
        <v>143</v>
      </c>
      <c r="L160" s="94">
        <v>1.9E-3</v>
      </c>
      <c r="M160" s="94">
        <v>2.9100000000000001E-2</v>
      </c>
      <c r="N160" s="188">
        <v>1434410.52</v>
      </c>
      <c r="O160" s="91">
        <f>1434410.52 *AC140</f>
        <v>1972232847.0414119</v>
      </c>
      <c r="P160" s="92">
        <f t="shared" si="108"/>
        <v>1.0541047271926892E-3</v>
      </c>
      <c r="Q160" s="188">
        <v>1.53</v>
      </c>
      <c r="R160" s="91">
        <f>1.53*AC140</f>
        <v>2103.6629429999998</v>
      </c>
      <c r="S160" s="91">
        <v>1.53</v>
      </c>
      <c r="T160" s="91">
        <f>1.53*AC140</f>
        <v>2103.6629429999998</v>
      </c>
      <c r="U160" s="93">
        <v>143</v>
      </c>
      <c r="V160" s="94">
        <v>8.0000000000000004E-4</v>
      </c>
      <c r="W160" s="94">
        <v>3.0300000000000001E-2</v>
      </c>
      <c r="X160" s="200">
        <f t="shared" si="96"/>
        <v>1.0431159051649314E-2</v>
      </c>
      <c r="Y160" s="200">
        <f t="shared" si="97"/>
        <v>1.215221838717208E-2</v>
      </c>
      <c r="Z160" s="200">
        <f t="shared" si="98"/>
        <v>0</v>
      </c>
      <c r="AA160" s="200">
        <f t="shared" si="99"/>
        <v>-1.0999999999999998E-3</v>
      </c>
      <c r="AB160" s="201">
        <f t="shared" si="100"/>
        <v>1.1999999999999997E-3</v>
      </c>
    </row>
    <row r="161" spans="1:31">
      <c r="A161" s="101"/>
      <c r="B161" s="102"/>
      <c r="C161" s="127" t="s">
        <v>52</v>
      </c>
      <c r="D161" s="205">
        <v>0</v>
      </c>
      <c r="E161" s="117">
        <f>SUM(E121:E160)</f>
        <v>1845513937800.6819</v>
      </c>
      <c r="F161" s="105">
        <f>(E161/$E$238)</f>
        <v>0.21046099030001103</v>
      </c>
      <c r="G161" s="188"/>
      <c r="H161" s="106"/>
      <c r="I161" s="188">
        <v>0</v>
      </c>
      <c r="J161" s="111"/>
      <c r="K161" s="108">
        <f>SUM(K121:K160)</f>
        <v>31351</v>
      </c>
      <c r="L161" s="128"/>
      <c r="M161" s="128"/>
      <c r="N161" s="117">
        <f>SUM(N121:N160)</f>
        <v>1358439966.0836182</v>
      </c>
      <c r="O161" s="117">
        <f>SUM(O121:O160)</f>
        <v>1871002753487.2156</v>
      </c>
      <c r="P161" s="105">
        <f>(O161/$O$238)</f>
        <v>0.2112531403300148</v>
      </c>
      <c r="Q161" s="193"/>
      <c r="R161" s="106"/>
      <c r="S161" s="106"/>
      <c r="T161" s="111"/>
      <c r="U161" s="108">
        <f>SUM(U121:U160)</f>
        <v>31579</v>
      </c>
      <c r="V161" s="128"/>
      <c r="W161" s="128"/>
      <c r="X161" s="200">
        <f t="shared" si="96"/>
        <v>1.3811229037321158E-2</v>
      </c>
      <c r="Y161" s="200" t="e">
        <f t="shared" si="97"/>
        <v>#DIV/0!</v>
      </c>
      <c r="Z161" s="200">
        <f t="shared" si="98"/>
        <v>7.2724952952058948E-3</v>
      </c>
      <c r="AA161" s="200">
        <f t="shared" si="99"/>
        <v>0</v>
      </c>
      <c r="AB161" s="201">
        <f t="shared" si="100"/>
        <v>0</v>
      </c>
    </row>
    <row r="162" spans="1:31" ht="6" customHeight="1">
      <c r="A162" s="101"/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</row>
    <row r="163" spans="1:31">
      <c r="A163" s="212" t="s">
        <v>200</v>
      </c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</row>
    <row r="164" spans="1:31">
      <c r="A164" s="175">
        <v>144</v>
      </c>
      <c r="B164" s="85" t="s">
        <v>201</v>
      </c>
      <c r="C164" s="86" t="s">
        <v>202</v>
      </c>
      <c r="D164" s="184" t="s">
        <v>347</v>
      </c>
      <c r="E164" s="129">
        <v>2404673408.2857399</v>
      </c>
      <c r="F164" s="92">
        <f>(E164/$E$170)</f>
        <v>4.7557222689416801E-3</v>
      </c>
      <c r="G164" s="185" t="s">
        <v>347</v>
      </c>
      <c r="H164" s="119">
        <v>113.32</v>
      </c>
      <c r="I164" s="185" t="s">
        <v>347</v>
      </c>
      <c r="J164" s="119">
        <v>113.32</v>
      </c>
      <c r="K164" s="93">
        <v>8</v>
      </c>
      <c r="L164" s="94">
        <v>3.8E-3</v>
      </c>
      <c r="M164" s="94">
        <v>7.7899999999999997E-2</v>
      </c>
      <c r="N164" s="185" t="s">
        <v>347</v>
      </c>
      <c r="O164" s="129">
        <v>2475943208.2857399</v>
      </c>
      <c r="P164" s="92">
        <f>(O164/$O$170)</f>
        <v>4.8862959720556006E-3</v>
      </c>
      <c r="Q164" s="185" t="s">
        <v>347</v>
      </c>
      <c r="R164" s="119">
        <v>116.68</v>
      </c>
      <c r="S164" s="185" t="s">
        <v>347</v>
      </c>
      <c r="T164" s="119">
        <v>116.68</v>
      </c>
      <c r="U164" s="93">
        <v>8</v>
      </c>
      <c r="V164" s="94">
        <v>2.9600000000000001E-2</v>
      </c>
      <c r="W164" s="94">
        <v>0.1099</v>
      </c>
      <c r="X164" s="200">
        <f t="shared" ref="X164:X170" si="120">((O164-E164)/E164)</f>
        <v>2.963803722968239E-2</v>
      </c>
      <c r="Y164" s="200">
        <f>((T164-J164)/J164)</f>
        <v>2.9650547123191085E-2</v>
      </c>
      <c r="Z164" s="200">
        <f>((U164-K164)/K164)</f>
        <v>0</v>
      </c>
      <c r="AA164" s="200">
        <f>V164-L164</f>
        <v>2.58E-2</v>
      </c>
      <c r="AB164" s="201">
        <f>W164-M164</f>
        <v>3.2000000000000001E-2</v>
      </c>
    </row>
    <row r="165" spans="1:31">
      <c r="A165" s="175">
        <v>145</v>
      </c>
      <c r="B165" s="85" t="s">
        <v>203</v>
      </c>
      <c r="C165" s="86" t="s">
        <v>23</v>
      </c>
      <c r="D165" s="184" t="s">
        <v>347</v>
      </c>
      <c r="E165" s="129">
        <v>261430599356.5</v>
      </c>
      <c r="F165" s="92">
        <v>0</v>
      </c>
      <c r="G165" s="185" t="s">
        <v>347</v>
      </c>
      <c r="H165" s="119">
        <v>104.5722</v>
      </c>
      <c r="I165" s="185" t="s">
        <v>347</v>
      </c>
      <c r="J165" s="119">
        <v>104.5722</v>
      </c>
      <c r="K165" s="93">
        <v>45</v>
      </c>
      <c r="L165" s="94">
        <v>0.10390000000000001</v>
      </c>
      <c r="M165" s="94">
        <v>0.1119</v>
      </c>
      <c r="N165" s="185" t="s">
        <v>347</v>
      </c>
      <c r="O165" s="129">
        <v>262407648862.45001</v>
      </c>
      <c r="P165" s="92">
        <f t="shared" ref="P165:P169" si="121">(O165/$O$170)</f>
        <v>0.51786383200643893</v>
      </c>
      <c r="Q165" s="185" t="s">
        <v>347</v>
      </c>
      <c r="R165" s="119">
        <v>104.9631</v>
      </c>
      <c r="S165" s="185" t="s">
        <v>347</v>
      </c>
      <c r="T165" s="119">
        <v>104.9631</v>
      </c>
      <c r="U165" s="93">
        <v>45</v>
      </c>
      <c r="V165" s="94">
        <v>0.19489999999999999</v>
      </c>
      <c r="W165" s="94">
        <v>0.1171</v>
      </c>
      <c r="X165" s="200">
        <f t="shared" ref="X165" si="122">((O165-E165)/E165)</f>
        <v>3.7373188462061324E-3</v>
      </c>
      <c r="Y165" s="200">
        <f t="shared" ref="Y165" si="123">((T165-J165)/J165)</f>
        <v>3.7380871780454275E-3</v>
      </c>
      <c r="Z165" s="200">
        <f t="shared" ref="Z165" si="124">((U165-K165)/K165)</f>
        <v>0</v>
      </c>
      <c r="AA165" s="200">
        <f t="shared" ref="AA165" si="125">V165-L165</f>
        <v>9.0999999999999984E-2</v>
      </c>
      <c r="AB165" s="201">
        <f t="shared" ref="AB165" si="126">W165-M165</f>
        <v>5.1999999999999963E-3</v>
      </c>
    </row>
    <row r="166" spans="1:31">
      <c r="A166" s="175">
        <v>146</v>
      </c>
      <c r="B166" s="85" t="s">
        <v>204</v>
      </c>
      <c r="C166" s="86" t="s">
        <v>44</v>
      </c>
      <c r="D166" s="184" t="s">
        <v>347</v>
      </c>
      <c r="E166" s="97">
        <v>170647847866</v>
      </c>
      <c r="F166" s="92">
        <f>(E166/$E$170)</f>
        <v>0.33749022526175571</v>
      </c>
      <c r="G166" s="185" t="s">
        <v>347</v>
      </c>
      <c r="H166" s="119">
        <v>103</v>
      </c>
      <c r="I166" s="185" t="s">
        <v>347</v>
      </c>
      <c r="J166" s="119">
        <v>103</v>
      </c>
      <c r="K166" s="93">
        <v>851</v>
      </c>
      <c r="L166" s="94">
        <v>9.4E-2</v>
      </c>
      <c r="M166" s="94">
        <v>9.4E-2</v>
      </c>
      <c r="N166" s="185" t="s">
        <v>347</v>
      </c>
      <c r="O166" s="97">
        <v>170647847866</v>
      </c>
      <c r="P166" s="92">
        <f t="shared" si="121"/>
        <v>0.33677504753629334</v>
      </c>
      <c r="Q166" s="185" t="s">
        <v>347</v>
      </c>
      <c r="R166" s="119">
        <v>103</v>
      </c>
      <c r="S166" s="185" t="s">
        <v>347</v>
      </c>
      <c r="T166" s="119">
        <v>103</v>
      </c>
      <c r="U166" s="93">
        <v>851</v>
      </c>
      <c r="V166" s="94">
        <v>9.4E-2</v>
      </c>
      <c r="W166" s="94">
        <v>9.4E-2</v>
      </c>
      <c r="X166" s="200">
        <f t="shared" si="120"/>
        <v>0</v>
      </c>
      <c r="Y166" s="200">
        <f t="shared" ref="Y166:Z170" si="127">((T166-J166)/J166)</f>
        <v>0</v>
      </c>
      <c r="Z166" s="200">
        <f t="shared" si="127"/>
        <v>0</v>
      </c>
      <c r="AA166" s="200">
        <f t="shared" ref="AA166:AB170" si="128">V166-L166</f>
        <v>0</v>
      </c>
      <c r="AB166" s="201">
        <f t="shared" si="128"/>
        <v>0</v>
      </c>
    </row>
    <row r="167" spans="1:31" ht="15.75" customHeight="1">
      <c r="A167" s="175">
        <v>147</v>
      </c>
      <c r="B167" s="85" t="s">
        <v>206</v>
      </c>
      <c r="C167" s="86" t="s">
        <v>153</v>
      </c>
      <c r="D167" s="184" t="s">
        <v>347</v>
      </c>
      <c r="E167" s="97">
        <v>6614373539.1047802</v>
      </c>
      <c r="F167" s="92">
        <f>(E167/$E$170)</f>
        <v>1.3081245638859481E-2</v>
      </c>
      <c r="G167" s="185" t="s">
        <v>347</v>
      </c>
      <c r="H167" s="119">
        <v>418.75</v>
      </c>
      <c r="I167" s="185" t="s">
        <v>347</v>
      </c>
      <c r="J167" s="119">
        <v>418.75</v>
      </c>
      <c r="K167" s="93">
        <v>5533</v>
      </c>
      <c r="L167" s="94">
        <v>0.16880000000000001</v>
      </c>
      <c r="M167" s="94">
        <v>6.83E-2</v>
      </c>
      <c r="N167" s="185" t="s">
        <v>347</v>
      </c>
      <c r="O167" s="97">
        <v>6614632675.4399996</v>
      </c>
      <c r="P167" s="92">
        <f t="shared" si="121"/>
        <v>1.3054036494240853E-2</v>
      </c>
      <c r="Q167" s="185" t="s">
        <v>347</v>
      </c>
      <c r="R167" s="119">
        <v>418.75</v>
      </c>
      <c r="S167" s="185" t="s">
        <v>347</v>
      </c>
      <c r="T167" s="119">
        <v>418.75</v>
      </c>
      <c r="U167" s="93">
        <v>5533</v>
      </c>
      <c r="V167" s="94">
        <v>6.4899999999999999E-2</v>
      </c>
      <c r="W167" s="94">
        <v>6.4899999999999999E-2</v>
      </c>
      <c r="X167" s="200">
        <f t="shared" si="120"/>
        <v>3.9177759418536852E-5</v>
      </c>
      <c r="Y167" s="200">
        <f t="shared" si="127"/>
        <v>0</v>
      </c>
      <c r="Z167" s="200">
        <f t="shared" si="127"/>
        <v>0</v>
      </c>
      <c r="AA167" s="200">
        <f t="shared" si="128"/>
        <v>-0.10390000000000001</v>
      </c>
      <c r="AB167" s="201">
        <f t="shared" si="128"/>
        <v>-3.4000000000000002E-3</v>
      </c>
    </row>
    <row r="168" spans="1:31">
      <c r="A168" s="175">
        <v>148</v>
      </c>
      <c r="B168" s="85" t="s">
        <v>205</v>
      </c>
      <c r="C168" s="86" t="s">
        <v>153</v>
      </c>
      <c r="D168" s="184" t="s">
        <v>347</v>
      </c>
      <c r="E168" s="97">
        <v>28310199458.459999</v>
      </c>
      <c r="F168" s="92">
        <f>(E168/$E$170)</f>
        <v>5.5989077576550722E-2</v>
      </c>
      <c r="G168" s="185" t="s">
        <v>347</v>
      </c>
      <c r="H168" s="119">
        <v>72.5</v>
      </c>
      <c r="I168" s="185" t="s">
        <v>347</v>
      </c>
      <c r="J168" s="119">
        <v>72.5</v>
      </c>
      <c r="K168" s="93">
        <v>8119</v>
      </c>
      <c r="L168" s="94">
        <v>5.7099999999999998E-2</v>
      </c>
      <c r="M168" s="94">
        <v>6.8500000000000005E-2</v>
      </c>
      <c r="N168" s="185" t="s">
        <v>347</v>
      </c>
      <c r="O168" s="97">
        <v>28335397009.84</v>
      </c>
      <c r="P168" s="92">
        <f t="shared" si="121"/>
        <v>5.5920158351143764E-2</v>
      </c>
      <c r="Q168" s="185" t="s">
        <v>347</v>
      </c>
      <c r="R168" s="119">
        <v>72.5</v>
      </c>
      <c r="S168" s="185" t="s">
        <v>347</v>
      </c>
      <c r="T168" s="119">
        <v>72.5</v>
      </c>
      <c r="U168" s="93">
        <v>8119</v>
      </c>
      <c r="V168" s="94">
        <v>4.6899999999999997E-2</v>
      </c>
      <c r="W168" s="94">
        <v>7.0099999999999996E-2</v>
      </c>
      <c r="X168" s="200">
        <f t="shared" si="120"/>
        <v>8.9005206116522882E-4</v>
      </c>
      <c r="Y168" s="200">
        <f t="shared" si="127"/>
        <v>0</v>
      </c>
      <c r="Z168" s="200">
        <f t="shared" si="127"/>
        <v>0</v>
      </c>
      <c r="AA168" s="200">
        <f t="shared" si="128"/>
        <v>-1.0200000000000001E-2</v>
      </c>
      <c r="AB168" s="201">
        <f t="shared" si="128"/>
        <v>1.5999999999999903E-3</v>
      </c>
    </row>
    <row r="169" spans="1:31">
      <c r="A169" s="175">
        <v>149</v>
      </c>
      <c r="B169" s="85" t="s">
        <v>310</v>
      </c>
      <c r="C169" s="86" t="s">
        <v>153</v>
      </c>
      <c r="D169" s="184" t="s">
        <v>347</v>
      </c>
      <c r="E169" s="97">
        <v>36230203687.4795</v>
      </c>
      <c r="F169" s="92">
        <f>(E169/$E$170)</f>
        <v>7.1652468851339871E-2</v>
      </c>
      <c r="G169" s="185" t="s">
        <v>347</v>
      </c>
      <c r="H169" s="119">
        <v>7.5</v>
      </c>
      <c r="I169" s="185" t="s">
        <v>347</v>
      </c>
      <c r="J169" s="119">
        <v>7.5</v>
      </c>
      <c r="K169" s="93">
        <v>215231</v>
      </c>
      <c r="L169" s="94">
        <v>0</v>
      </c>
      <c r="M169" s="94">
        <v>0</v>
      </c>
      <c r="N169" s="185" t="s">
        <v>347</v>
      </c>
      <c r="O169" s="97">
        <v>36230203687.4795</v>
      </c>
      <c r="P169" s="92">
        <f t="shared" si="121"/>
        <v>7.1500629639827534E-2</v>
      </c>
      <c r="Q169" s="185" t="s">
        <v>347</v>
      </c>
      <c r="R169" s="119">
        <v>7.5</v>
      </c>
      <c r="S169" s="185" t="s">
        <v>347</v>
      </c>
      <c r="T169" s="119">
        <v>7.5</v>
      </c>
      <c r="U169" s="93">
        <v>215231</v>
      </c>
      <c r="V169" s="94">
        <v>0</v>
      </c>
      <c r="W169" s="94">
        <v>0</v>
      </c>
      <c r="X169" s="200">
        <f t="shared" si="120"/>
        <v>0</v>
      </c>
      <c r="Y169" s="200">
        <f t="shared" si="127"/>
        <v>0</v>
      </c>
      <c r="Z169" s="200">
        <f t="shared" si="127"/>
        <v>0</v>
      </c>
      <c r="AA169" s="200">
        <f t="shared" si="128"/>
        <v>0</v>
      </c>
      <c r="AB169" s="201">
        <f t="shared" si="128"/>
        <v>0</v>
      </c>
    </row>
    <row r="170" spans="1:31">
      <c r="A170" s="101"/>
      <c r="B170" s="130"/>
      <c r="C170" s="103" t="s">
        <v>52</v>
      </c>
      <c r="D170" s="184" t="s">
        <v>347</v>
      </c>
      <c r="E170" s="104">
        <f>SUM(E164:E169)</f>
        <v>505637897315.83008</v>
      </c>
      <c r="F170" s="105">
        <f>(E170/$E$238)</f>
        <v>5.7662556983516036E-2</v>
      </c>
      <c r="G170" s="185" t="s">
        <v>347</v>
      </c>
      <c r="H170" s="106"/>
      <c r="I170" s="106"/>
      <c r="J170" s="131"/>
      <c r="K170" s="108">
        <f>SUM(K164:K169)</f>
        <v>229787</v>
      </c>
      <c r="L170" s="132"/>
      <c r="M170" s="132"/>
      <c r="N170" s="185" t="s">
        <v>347</v>
      </c>
      <c r="O170" s="104">
        <f>SUM(O164:O169)</f>
        <v>506711673309.49524</v>
      </c>
      <c r="P170" s="105">
        <f>(O170/$O$238)</f>
        <v>5.7212332814046196E-2</v>
      </c>
      <c r="Q170" s="187"/>
      <c r="R170" s="106"/>
      <c r="S170" s="106"/>
      <c r="T170" s="131"/>
      <c r="U170" s="108">
        <f>SUM(U164:U169)</f>
        <v>229787</v>
      </c>
      <c r="V170" s="132"/>
      <c r="W170" s="132"/>
      <c r="X170" s="200">
        <f t="shared" si="120"/>
        <v>2.1236066350352341E-3</v>
      </c>
      <c r="Y170" s="200" t="e">
        <f t="shared" si="127"/>
        <v>#DIV/0!</v>
      </c>
      <c r="Z170" s="200">
        <f t="shared" si="127"/>
        <v>0</v>
      </c>
      <c r="AA170" s="200">
        <f t="shared" si="128"/>
        <v>0</v>
      </c>
      <c r="AB170" s="201">
        <f t="shared" si="128"/>
        <v>0</v>
      </c>
    </row>
    <row r="171" spans="1:31" ht="5.25" customHeight="1">
      <c r="A171" s="101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</row>
    <row r="172" spans="1:31" ht="15" customHeight="1">
      <c r="A172" s="212" t="s">
        <v>207</v>
      </c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</row>
    <row r="173" spans="1:31">
      <c r="A173" s="178">
        <v>150</v>
      </c>
      <c r="B173" s="85" t="s">
        <v>208</v>
      </c>
      <c r="C173" s="86" t="s">
        <v>56</v>
      </c>
      <c r="D173" s="184" t="s">
        <v>347</v>
      </c>
      <c r="E173" s="91">
        <v>898817396.57000005</v>
      </c>
      <c r="F173" s="92">
        <f t="shared" ref="F173:F192" si="129">(E173/$E$203)</f>
        <v>6.5584952709498373E-3</v>
      </c>
      <c r="G173" s="185" t="s">
        <v>347</v>
      </c>
      <c r="H173" s="91">
        <v>9.4600000000000009</v>
      </c>
      <c r="I173" s="185" t="s">
        <v>347</v>
      </c>
      <c r="J173" s="91">
        <v>9.6199999999999992</v>
      </c>
      <c r="K173" s="89">
        <v>11972</v>
      </c>
      <c r="L173" s="90">
        <v>2.716E-2</v>
      </c>
      <c r="M173" s="90">
        <v>0.20627100000000001</v>
      </c>
      <c r="N173" s="185" t="s">
        <v>347</v>
      </c>
      <c r="O173" s="91">
        <v>935553674.38</v>
      </c>
      <c r="P173" s="116">
        <f t="shared" ref="P173:P202" si="130">(O173/$O$203)</f>
        <v>6.4766706359457799E-3</v>
      </c>
      <c r="Q173" s="185" t="s">
        <v>347</v>
      </c>
      <c r="R173" s="91">
        <v>9.67</v>
      </c>
      <c r="S173" s="185" t="s">
        <v>347</v>
      </c>
      <c r="T173" s="91">
        <v>9.84</v>
      </c>
      <c r="U173" s="89">
        <v>11973</v>
      </c>
      <c r="V173" s="90">
        <v>2.7147999999999999E-2</v>
      </c>
      <c r="W173" s="90">
        <v>0.23341899999999999</v>
      </c>
      <c r="X173" s="200">
        <f>((O173-E173)/E173)</f>
        <v>4.087179214620254E-2</v>
      </c>
      <c r="Y173" s="200">
        <f t="shared" ref="Y173:Z177" si="131">((T173-J173)/J173)</f>
        <v>2.2869022869022936E-2</v>
      </c>
      <c r="Z173" s="200">
        <f t="shared" si="131"/>
        <v>8.3528232542599398E-5</v>
      </c>
      <c r="AA173" s="200">
        <f t="shared" ref="AA173:AB177" si="132">V173-L173</f>
        <v>-1.2000000000001593E-5</v>
      </c>
      <c r="AB173" s="201">
        <f t="shared" si="132"/>
        <v>2.7147999999999978E-2</v>
      </c>
      <c r="AD173" s="41"/>
    </row>
    <row r="174" spans="1:31">
      <c r="A174" s="178">
        <v>151</v>
      </c>
      <c r="B174" s="85" t="s">
        <v>209</v>
      </c>
      <c r="C174" s="85" t="s">
        <v>210</v>
      </c>
      <c r="D174" s="184" t="s">
        <v>347</v>
      </c>
      <c r="E174" s="91">
        <v>3035533341.48</v>
      </c>
      <c r="F174" s="92">
        <f t="shared" si="129"/>
        <v>2.2149694855574213E-2</v>
      </c>
      <c r="G174" s="185" t="s">
        <v>347</v>
      </c>
      <c r="H174" s="91">
        <v>2996.65</v>
      </c>
      <c r="I174" s="185" t="s">
        <v>347</v>
      </c>
      <c r="J174" s="91">
        <v>3021.86</v>
      </c>
      <c r="K174" s="89">
        <v>222</v>
      </c>
      <c r="L174" s="90">
        <v>7.8100000000000003E-2</v>
      </c>
      <c r="M174" s="90">
        <v>0.36530000000000001</v>
      </c>
      <c r="N174" s="185" t="s">
        <v>347</v>
      </c>
      <c r="O174" s="91">
        <v>2216475363.5700002</v>
      </c>
      <c r="P174" s="116">
        <f t="shared" si="130"/>
        <v>1.5344262222094856E-2</v>
      </c>
      <c r="Q174" s="185" t="s">
        <v>347</v>
      </c>
      <c r="R174" s="91">
        <v>3056.32</v>
      </c>
      <c r="S174" s="185" t="s">
        <v>347</v>
      </c>
      <c r="T174" s="91">
        <v>3074.25</v>
      </c>
      <c r="U174" s="89">
        <v>223</v>
      </c>
      <c r="V174" s="90">
        <v>2.18E-2</v>
      </c>
      <c r="W174" s="90">
        <v>0.3901</v>
      </c>
      <c r="X174" s="200">
        <f>((O174-E174)/E174)</f>
        <v>-0.26982341676756588</v>
      </c>
      <c r="Y174" s="200">
        <f t="shared" si="131"/>
        <v>1.7337004361552114E-2</v>
      </c>
      <c r="Z174" s="200">
        <f t="shared" si="131"/>
        <v>4.5045045045045045E-3</v>
      </c>
      <c r="AA174" s="200">
        <f t="shared" si="132"/>
        <v>-5.6300000000000003E-2</v>
      </c>
      <c r="AB174" s="201">
        <f t="shared" si="132"/>
        <v>2.4799999999999989E-2</v>
      </c>
      <c r="AE174" s="50"/>
    </row>
    <row r="175" spans="1:31">
      <c r="A175" s="178">
        <v>152</v>
      </c>
      <c r="B175" s="85" t="s">
        <v>211</v>
      </c>
      <c r="C175" s="86" t="s">
        <v>23</v>
      </c>
      <c r="D175" s="184" t="s">
        <v>347</v>
      </c>
      <c r="E175" s="91">
        <v>14336339960.870001</v>
      </c>
      <c r="F175" s="92">
        <f t="shared" si="129"/>
        <v>0.10460947706943098</v>
      </c>
      <c r="G175" s="185" t="s">
        <v>347</v>
      </c>
      <c r="H175" s="91">
        <v>1337.9318000000001</v>
      </c>
      <c r="I175" s="185" t="s">
        <v>347</v>
      </c>
      <c r="J175" s="91">
        <v>1378.2715000000001</v>
      </c>
      <c r="K175" s="89">
        <v>22815</v>
      </c>
      <c r="L175" s="90">
        <v>2.2118726925283487E-2</v>
      </c>
      <c r="M175" s="90">
        <v>0.26806918650524941</v>
      </c>
      <c r="N175" s="185" t="s">
        <v>347</v>
      </c>
      <c r="O175" s="91">
        <v>15310052492.58</v>
      </c>
      <c r="P175" s="116">
        <f t="shared" si="130"/>
        <v>0.10598875310836058</v>
      </c>
      <c r="Q175" s="185" t="s">
        <v>347</v>
      </c>
      <c r="R175" s="91">
        <v>1400.6563000000001</v>
      </c>
      <c r="S175" s="185" t="s">
        <v>347</v>
      </c>
      <c r="T175" s="91">
        <v>1442.8871999999999</v>
      </c>
      <c r="U175" s="89">
        <v>22951</v>
      </c>
      <c r="V175" s="90">
        <v>4.6881692032375133E-2</v>
      </c>
      <c r="W175" s="90">
        <v>0.32751841558273309</v>
      </c>
      <c r="X175" s="200">
        <f t="shared" ref="X175:X202" si="133">((O175-E175)/E175)</f>
        <v>6.791918539652915E-2</v>
      </c>
      <c r="Y175" s="200">
        <f t="shared" si="131"/>
        <v>4.6881692032375209E-2</v>
      </c>
      <c r="Z175" s="200">
        <f t="shared" si="131"/>
        <v>5.9609905763751917E-3</v>
      </c>
      <c r="AA175" s="200">
        <f t="shared" si="132"/>
        <v>2.4762965107091646E-2</v>
      </c>
      <c r="AB175" s="201">
        <f t="shared" si="132"/>
        <v>5.9449229077483678E-2</v>
      </c>
      <c r="AD175" s="41"/>
      <c r="AE175" s="41"/>
    </row>
    <row r="176" spans="1:31">
      <c r="A176" s="178">
        <v>153</v>
      </c>
      <c r="B176" s="85" t="s">
        <v>212</v>
      </c>
      <c r="C176" s="86" t="s">
        <v>121</v>
      </c>
      <c r="D176" s="184" t="s">
        <v>347</v>
      </c>
      <c r="E176" s="91">
        <v>7782345370.1899996</v>
      </c>
      <c r="F176" s="92">
        <f t="shared" si="129"/>
        <v>5.6786256587896863E-2</v>
      </c>
      <c r="G176" s="185" t="s">
        <v>347</v>
      </c>
      <c r="H176" s="91">
        <v>45.044400000000003</v>
      </c>
      <c r="I176" s="185" t="s">
        <v>347</v>
      </c>
      <c r="J176" s="91">
        <v>45.611800000000002</v>
      </c>
      <c r="K176" s="93">
        <v>6296</v>
      </c>
      <c r="L176" s="94">
        <v>2.3400000000000001E-2</v>
      </c>
      <c r="M176" s="94">
        <v>0.32790000000000002</v>
      </c>
      <c r="N176" s="185" t="s">
        <v>347</v>
      </c>
      <c r="O176" s="91">
        <v>7926770139.7299995</v>
      </c>
      <c r="P176" s="116">
        <f t="shared" si="130"/>
        <v>5.4875610889887204E-2</v>
      </c>
      <c r="Q176" s="185" t="s">
        <v>347</v>
      </c>
      <c r="R176" s="91">
        <v>45.814999999999998</v>
      </c>
      <c r="S176" s="185" t="s">
        <v>347</v>
      </c>
      <c r="T176" s="91">
        <v>46.397500000000001</v>
      </c>
      <c r="U176" s="93">
        <v>6302</v>
      </c>
      <c r="V176" s="94">
        <v>2.3599999999999999E-2</v>
      </c>
      <c r="W176" s="94">
        <v>0.35070000000000001</v>
      </c>
      <c r="X176" s="200">
        <f t="shared" si="133"/>
        <v>1.8558000534545017E-2</v>
      </c>
      <c r="Y176" s="200">
        <f t="shared" si="131"/>
        <v>1.7225805602936049E-2</v>
      </c>
      <c r="Z176" s="200">
        <f t="shared" si="131"/>
        <v>9.5298602287166459E-4</v>
      </c>
      <c r="AA176" s="200">
        <f t="shared" si="132"/>
        <v>1.9999999999999879E-4</v>
      </c>
      <c r="AB176" s="201">
        <f t="shared" si="132"/>
        <v>2.2799999999999987E-2</v>
      </c>
      <c r="AE176" s="50"/>
    </row>
    <row r="177" spans="1:33">
      <c r="A177" s="178">
        <v>154</v>
      </c>
      <c r="B177" s="85" t="s">
        <v>213</v>
      </c>
      <c r="C177" s="86" t="s">
        <v>129</v>
      </c>
      <c r="D177" s="184" t="s">
        <v>347</v>
      </c>
      <c r="E177" s="97">
        <v>3540492177.8299999</v>
      </c>
      <c r="F177" s="92">
        <f t="shared" si="129"/>
        <v>2.5834281016082383E-2</v>
      </c>
      <c r="G177" s="185" t="s">
        <v>347</v>
      </c>
      <c r="H177" s="91">
        <v>8.3922000000000008</v>
      </c>
      <c r="I177" s="185" t="s">
        <v>347</v>
      </c>
      <c r="J177" s="91">
        <v>8.6156000000000006</v>
      </c>
      <c r="K177" s="93">
        <v>2737</v>
      </c>
      <c r="L177" s="94">
        <v>5.0221853820274123E-2</v>
      </c>
      <c r="M177" s="94">
        <v>0.40221017853945934</v>
      </c>
      <c r="N177" s="185" t="s">
        <v>347</v>
      </c>
      <c r="O177" s="97">
        <v>3697478820.48</v>
      </c>
      <c r="P177" s="116">
        <f t="shared" si="130"/>
        <v>2.5596984074168039E-2</v>
      </c>
      <c r="Q177" s="185" t="s">
        <v>347</v>
      </c>
      <c r="R177" s="91">
        <v>8.7621000000000002</v>
      </c>
      <c r="S177" s="185" t="s">
        <v>347</v>
      </c>
      <c r="T177" s="91">
        <v>8.9999000000000002</v>
      </c>
      <c r="U177" s="93">
        <v>2737</v>
      </c>
      <c r="V177" s="94">
        <v>4.4076642596696969E-2</v>
      </c>
      <c r="W177" s="94">
        <v>0.4583083682844018</v>
      </c>
      <c r="X177" s="200">
        <f t="shared" si="133"/>
        <v>4.4340344439404648E-2</v>
      </c>
      <c r="Y177" s="200">
        <f t="shared" si="131"/>
        <v>4.4605134871628163E-2</v>
      </c>
      <c r="Z177" s="200">
        <f t="shared" si="131"/>
        <v>0</v>
      </c>
      <c r="AA177" s="200">
        <f t="shared" si="132"/>
        <v>-6.1452112235771544E-3</v>
      </c>
      <c r="AB177" s="201">
        <f t="shared" si="132"/>
        <v>5.6098189744942462E-2</v>
      </c>
      <c r="AC177" s="41"/>
      <c r="AD177" s="41"/>
      <c r="AE177" s="41"/>
      <c r="AG177" s="50"/>
    </row>
    <row r="178" spans="1:33">
      <c r="A178" s="178">
        <v>155</v>
      </c>
      <c r="B178" s="85" t="s">
        <v>214</v>
      </c>
      <c r="C178" s="86" t="s">
        <v>27</v>
      </c>
      <c r="D178" s="184" t="s">
        <v>347</v>
      </c>
      <c r="E178" s="97">
        <v>2600325141</v>
      </c>
      <c r="F178" s="92">
        <f t="shared" si="129"/>
        <v>1.897406548344693E-2</v>
      </c>
      <c r="G178" s="185" t="s">
        <v>347</v>
      </c>
      <c r="H178" s="91">
        <v>1.7318</v>
      </c>
      <c r="I178" s="185" t="s">
        <v>347</v>
      </c>
      <c r="J178" s="91">
        <v>1.7458</v>
      </c>
      <c r="K178" s="93">
        <v>496</v>
      </c>
      <c r="L178" s="94">
        <v>3.5099999999999999E-2</v>
      </c>
      <c r="M178" s="94">
        <v>0.39279999999999998</v>
      </c>
      <c r="N178" s="185" t="s">
        <v>347</v>
      </c>
      <c r="O178" s="97">
        <v>2796394673.27</v>
      </c>
      <c r="P178" s="116">
        <f t="shared" si="130"/>
        <v>1.9358939805228754E-2</v>
      </c>
      <c r="Q178" s="185" t="s">
        <v>347</v>
      </c>
      <c r="R178" s="91">
        <v>1.8318000000000001</v>
      </c>
      <c r="S178" s="185" t="s">
        <v>347</v>
      </c>
      <c r="T178" s="91">
        <v>1.8469</v>
      </c>
      <c r="U178" s="93">
        <v>529</v>
      </c>
      <c r="V178" s="94">
        <v>5.7799999999999997E-2</v>
      </c>
      <c r="W178" s="94">
        <v>0.47339999999999999</v>
      </c>
      <c r="X178" s="200">
        <f t="shared" ref="X178" si="134">((O178-E178)/E178)</f>
        <v>7.5401929235125592E-2</v>
      </c>
      <c r="Y178" s="200">
        <f t="shared" ref="Y178" si="135">((T178-J178)/J178)</f>
        <v>5.7910413563982112E-2</v>
      </c>
      <c r="Z178" s="200">
        <f t="shared" ref="Z178" si="136">((U178-K178)/K178)</f>
        <v>6.6532258064516125E-2</v>
      </c>
      <c r="AA178" s="200">
        <f t="shared" ref="AA178" si="137">V178-L178</f>
        <v>2.2699999999999998E-2</v>
      </c>
      <c r="AB178" s="201">
        <f t="shared" ref="AB178" si="138">W178-M178</f>
        <v>8.0600000000000005E-2</v>
      </c>
      <c r="AE178" s="50"/>
    </row>
    <row r="179" spans="1:33">
      <c r="A179" s="178">
        <v>156</v>
      </c>
      <c r="B179" s="85" t="s">
        <v>215</v>
      </c>
      <c r="C179" s="86" t="s">
        <v>67</v>
      </c>
      <c r="D179" s="184" t="s">
        <v>347</v>
      </c>
      <c r="E179" s="91">
        <v>9897227057.3223495</v>
      </c>
      <c r="F179" s="92">
        <f t="shared" si="129"/>
        <v>7.2218135851256998E-2</v>
      </c>
      <c r="G179" s="185" t="s">
        <v>347</v>
      </c>
      <c r="H179" s="91">
        <v>14306.711204241399</v>
      </c>
      <c r="I179" s="185" t="s">
        <v>347</v>
      </c>
      <c r="J179" s="91">
        <v>14417.0499613794</v>
      </c>
      <c r="K179" s="93">
        <v>1617</v>
      </c>
      <c r="L179" s="94">
        <v>2.1405631026268482E-2</v>
      </c>
      <c r="M179" s="94">
        <v>0.28102441080295976</v>
      </c>
      <c r="N179" s="185" t="s">
        <v>347</v>
      </c>
      <c r="O179" s="91">
        <v>10351867924.8092</v>
      </c>
      <c r="P179" s="116">
        <f t="shared" si="130"/>
        <v>7.1664128795424248E-2</v>
      </c>
      <c r="Q179" s="185" t="s">
        <v>347</v>
      </c>
      <c r="R179" s="91">
        <v>14669.3077918118</v>
      </c>
      <c r="S179" s="185" t="s">
        <v>347</v>
      </c>
      <c r="T179" s="91">
        <v>14781.143025056899</v>
      </c>
      <c r="U179" s="93">
        <v>1631</v>
      </c>
      <c r="V179" s="94">
        <v>2.5344510166872114E-2</v>
      </c>
      <c r="W179" s="94">
        <v>0.31349134700656678</v>
      </c>
      <c r="X179" s="200">
        <f t="shared" si="133"/>
        <v>4.5936186454416029E-2</v>
      </c>
      <c r="Y179" s="200">
        <f t="shared" ref="Y179:Y191" si="139">((T179-J179)/J179)</f>
        <v>2.5254338762287495E-2</v>
      </c>
      <c r="Z179" s="200">
        <f t="shared" ref="Z179:Z191" si="140">((U179-K179)/K179)</f>
        <v>8.658008658008658E-3</v>
      </c>
      <c r="AA179" s="200">
        <f t="shared" ref="AA179:AA191" si="141">V179-L179</f>
        <v>3.9388791406036322E-3</v>
      </c>
      <c r="AB179" s="201">
        <f t="shared" ref="AB179:AB191" si="142">W179-M179</f>
        <v>3.2466936203607022E-2</v>
      </c>
      <c r="AD179" s="41"/>
      <c r="AE179" s="41"/>
      <c r="AG179" s="50"/>
    </row>
    <row r="180" spans="1:33">
      <c r="A180" s="178">
        <v>157</v>
      </c>
      <c r="B180" s="85" t="s">
        <v>216</v>
      </c>
      <c r="C180" s="86" t="s">
        <v>69</v>
      </c>
      <c r="D180" s="184" t="s">
        <v>347</v>
      </c>
      <c r="E180" s="91">
        <v>2014256805.79</v>
      </c>
      <c r="F180" s="92">
        <f t="shared" si="129"/>
        <v>1.4697639126328819E-2</v>
      </c>
      <c r="G180" s="185" t="s">
        <v>347</v>
      </c>
      <c r="H180" s="91">
        <v>302.86</v>
      </c>
      <c r="I180" s="185" t="s">
        <v>347</v>
      </c>
      <c r="J180" s="91">
        <v>305.27</v>
      </c>
      <c r="K180" s="93">
        <v>508</v>
      </c>
      <c r="L180" s="94">
        <v>2.7300000000000001E-2</v>
      </c>
      <c r="M180" s="94">
        <v>0.31169999999999998</v>
      </c>
      <c r="N180" s="185" t="s">
        <v>347</v>
      </c>
      <c r="O180" s="91">
        <v>2307939303.5999999</v>
      </c>
      <c r="P180" s="116">
        <f t="shared" si="130"/>
        <v>1.5977450708081813E-2</v>
      </c>
      <c r="Q180" s="185" t="s">
        <v>347</v>
      </c>
      <c r="R180" s="91">
        <v>308.58999999999997</v>
      </c>
      <c r="S180" s="185" t="s">
        <v>347</v>
      </c>
      <c r="T180" s="91">
        <v>310.87</v>
      </c>
      <c r="U180" s="93">
        <v>508</v>
      </c>
      <c r="V180" s="94">
        <v>1.8599999999999998E-2</v>
      </c>
      <c r="W180" s="94">
        <v>0.3362</v>
      </c>
      <c r="X180" s="200">
        <f t="shared" si="133"/>
        <v>0.14580191411830251</v>
      </c>
      <c r="Y180" s="200">
        <f t="shared" si="139"/>
        <v>1.8344416418252772E-2</v>
      </c>
      <c r="Z180" s="200">
        <f t="shared" si="140"/>
        <v>0</v>
      </c>
      <c r="AA180" s="200">
        <f t="shared" si="141"/>
        <v>-8.7000000000000029E-3</v>
      </c>
      <c r="AB180" s="201">
        <f t="shared" si="142"/>
        <v>2.4500000000000022E-2</v>
      </c>
    </row>
    <row r="181" spans="1:33">
      <c r="A181" s="178">
        <v>158</v>
      </c>
      <c r="B181" s="85" t="s">
        <v>217</v>
      </c>
      <c r="C181" s="86" t="s">
        <v>218</v>
      </c>
      <c r="D181" s="184" t="s">
        <v>347</v>
      </c>
      <c r="E181" s="91">
        <v>5136316242.7299995</v>
      </c>
      <c r="F181" s="92">
        <f t="shared" si="129"/>
        <v>3.7478698027652191E-2</v>
      </c>
      <c r="G181" s="185" t="s">
        <v>347</v>
      </c>
      <c r="H181" s="91">
        <v>2.6053999999999999</v>
      </c>
      <c r="I181" s="185" t="s">
        <v>347</v>
      </c>
      <c r="J181" s="91">
        <v>2.6537999999999999</v>
      </c>
      <c r="K181" s="93">
        <v>4797</v>
      </c>
      <c r="L181" s="94">
        <v>2.53E-2</v>
      </c>
      <c r="M181" s="94">
        <v>0.32529999999999998</v>
      </c>
      <c r="N181" s="185" t="s">
        <v>347</v>
      </c>
      <c r="O181" s="91">
        <v>5649214414.8000002</v>
      </c>
      <c r="P181" s="116">
        <f t="shared" si="130"/>
        <v>3.9108500258677355E-2</v>
      </c>
      <c r="Q181" s="185" t="s">
        <v>347</v>
      </c>
      <c r="R181" s="91">
        <v>2.7101999999999999</v>
      </c>
      <c r="S181" s="185" t="s">
        <v>347</v>
      </c>
      <c r="T181" s="91">
        <v>2.7595000000000001</v>
      </c>
      <c r="U181" s="93">
        <v>4901</v>
      </c>
      <c r="V181" s="94">
        <v>4.02E-2</v>
      </c>
      <c r="W181" s="94">
        <v>0.37469999999999998</v>
      </c>
      <c r="X181" s="200">
        <f t="shared" si="133"/>
        <v>9.9857202678274054E-2</v>
      </c>
      <c r="Y181" s="200">
        <f t="shared" si="139"/>
        <v>3.9829678197302029E-2</v>
      </c>
      <c r="Z181" s="200">
        <f t="shared" si="140"/>
        <v>2.1680216802168022E-2</v>
      </c>
      <c r="AA181" s="200">
        <f t="shared" si="141"/>
        <v>1.49E-2</v>
      </c>
      <c r="AB181" s="201">
        <f t="shared" si="142"/>
        <v>4.9399999999999999E-2</v>
      </c>
    </row>
    <row r="182" spans="1:33">
      <c r="A182" s="178">
        <v>159</v>
      </c>
      <c r="B182" s="85" t="s">
        <v>219</v>
      </c>
      <c r="C182" s="86" t="s">
        <v>29</v>
      </c>
      <c r="D182" s="184" t="s">
        <v>347</v>
      </c>
      <c r="E182" s="110">
        <v>1122576850.48</v>
      </c>
      <c r="F182" s="92">
        <f t="shared" si="129"/>
        <v>8.191224372432868E-3</v>
      </c>
      <c r="G182" s="185" t="s">
        <v>347</v>
      </c>
      <c r="H182" s="91">
        <v>277.0129</v>
      </c>
      <c r="I182" s="185" t="s">
        <v>347</v>
      </c>
      <c r="J182" s="91">
        <v>278.6148</v>
      </c>
      <c r="K182" s="93">
        <v>193</v>
      </c>
      <c r="L182" s="94">
        <v>5.6270000000000001E-3</v>
      </c>
      <c r="M182" s="94">
        <v>0.3125</v>
      </c>
      <c r="N182" s="185" t="s">
        <v>347</v>
      </c>
      <c r="O182" s="110">
        <v>1213251460.71</v>
      </c>
      <c r="P182" s="116">
        <f t="shared" si="130"/>
        <v>8.3991227064617521E-3</v>
      </c>
      <c r="Q182" s="185" t="s">
        <v>347</v>
      </c>
      <c r="R182" s="91">
        <v>291.07819999999998</v>
      </c>
      <c r="S182" s="185" t="s">
        <v>347</v>
      </c>
      <c r="T182" s="91">
        <v>292.78140000000002</v>
      </c>
      <c r="U182" s="93">
        <v>195</v>
      </c>
      <c r="V182" s="94">
        <v>9.9609999999999994E-3</v>
      </c>
      <c r="W182" s="94">
        <v>0.37909999999999999</v>
      </c>
      <c r="X182" s="200">
        <f t="shared" si="133"/>
        <v>8.0773632728332739E-2</v>
      </c>
      <c r="Y182" s="200">
        <f t="shared" si="139"/>
        <v>5.0846545122513291E-2</v>
      </c>
      <c r="Z182" s="200">
        <f t="shared" si="140"/>
        <v>1.0362694300518135E-2</v>
      </c>
      <c r="AA182" s="200">
        <f t="shared" si="141"/>
        <v>4.3339999999999993E-3</v>
      </c>
      <c r="AB182" s="201">
        <f t="shared" si="142"/>
        <v>6.6599999999999993E-2</v>
      </c>
    </row>
    <row r="183" spans="1:33">
      <c r="A183" s="178">
        <v>160</v>
      </c>
      <c r="B183" s="85" t="s">
        <v>220</v>
      </c>
      <c r="C183" s="86" t="s">
        <v>75</v>
      </c>
      <c r="D183" s="184" t="s">
        <v>347</v>
      </c>
      <c r="E183" s="110">
        <v>1822642907.8599999</v>
      </c>
      <c r="F183" s="92">
        <f t="shared" si="129"/>
        <v>1.3299469878361555E-2</v>
      </c>
      <c r="G183" s="185" t="s">
        <v>347</v>
      </c>
      <c r="H183" s="91">
        <v>207.8</v>
      </c>
      <c r="I183" s="185" t="s">
        <v>347</v>
      </c>
      <c r="J183" s="91">
        <v>208.68</v>
      </c>
      <c r="K183" s="93">
        <v>137</v>
      </c>
      <c r="L183" s="94">
        <v>3.4500000000000003E-2</v>
      </c>
      <c r="M183" s="94">
        <v>0.2258</v>
      </c>
      <c r="N183" s="185" t="s">
        <v>347</v>
      </c>
      <c r="O183" s="110">
        <v>1984268115.46</v>
      </c>
      <c r="P183" s="116">
        <f t="shared" si="130"/>
        <v>1.3736733005468689E-2</v>
      </c>
      <c r="Q183" s="185" t="s">
        <v>347</v>
      </c>
      <c r="R183" s="91">
        <v>217.6</v>
      </c>
      <c r="S183" s="185" t="s">
        <v>347</v>
      </c>
      <c r="T183" s="91">
        <v>218.03</v>
      </c>
      <c r="U183" s="93">
        <v>137</v>
      </c>
      <c r="V183" s="94">
        <v>5.6399999999999999E-2</v>
      </c>
      <c r="W183" s="94">
        <v>0.28220000000000001</v>
      </c>
      <c r="X183" s="200">
        <f t="shared" si="133"/>
        <v>8.8676288099552872E-2</v>
      </c>
      <c r="Y183" s="200">
        <f t="shared" si="139"/>
        <v>4.4805443741613923E-2</v>
      </c>
      <c r="Z183" s="200">
        <f t="shared" si="140"/>
        <v>0</v>
      </c>
      <c r="AA183" s="200">
        <f t="shared" si="141"/>
        <v>2.1899999999999996E-2</v>
      </c>
      <c r="AB183" s="201">
        <f t="shared" si="142"/>
        <v>5.6400000000000006E-2</v>
      </c>
    </row>
    <row r="184" spans="1:33" ht="15.75" customHeight="1">
      <c r="A184" s="178">
        <v>161</v>
      </c>
      <c r="B184" s="85" t="s">
        <v>221</v>
      </c>
      <c r="C184" s="86" t="s">
        <v>78</v>
      </c>
      <c r="D184" s="184" t="s">
        <v>347</v>
      </c>
      <c r="E184" s="97">
        <v>1078919401.1199999</v>
      </c>
      <c r="F184" s="92">
        <f t="shared" si="129"/>
        <v>7.8726644777735583E-3</v>
      </c>
      <c r="G184" s="185" t="s">
        <v>347</v>
      </c>
      <c r="H184" s="91">
        <v>2.57</v>
      </c>
      <c r="I184" s="185" t="s">
        <v>347</v>
      </c>
      <c r="J184" s="91">
        <v>2.6</v>
      </c>
      <c r="K184" s="93">
        <v>167</v>
      </c>
      <c r="L184" s="94">
        <v>0</v>
      </c>
      <c r="M184" s="94">
        <v>0.41439999999999999</v>
      </c>
      <c r="N184" s="185" t="s">
        <v>347</v>
      </c>
      <c r="O184" s="97">
        <v>1136540210.04</v>
      </c>
      <c r="P184" s="116">
        <f t="shared" si="130"/>
        <v>7.8680644483769633E-3</v>
      </c>
      <c r="Q184" s="185" t="s">
        <v>347</v>
      </c>
      <c r="R184" s="91">
        <v>2.6800999999999999</v>
      </c>
      <c r="S184" s="185" t="s">
        <v>347</v>
      </c>
      <c r="T184" s="91">
        <v>2.7092000000000001</v>
      </c>
      <c r="U184" s="93">
        <v>177</v>
      </c>
      <c r="V184" s="94">
        <v>0</v>
      </c>
      <c r="W184" s="94">
        <v>0.4657</v>
      </c>
      <c r="X184" s="200">
        <f t="shared" si="133"/>
        <v>5.340603650299116E-2</v>
      </c>
      <c r="Y184" s="200">
        <f t="shared" si="139"/>
        <v>4.1999999999999982E-2</v>
      </c>
      <c r="Z184" s="200">
        <f t="shared" si="140"/>
        <v>5.9880239520958084E-2</v>
      </c>
      <c r="AA184" s="200">
        <f t="shared" si="141"/>
        <v>0</v>
      </c>
      <c r="AB184" s="201">
        <f t="shared" si="142"/>
        <v>5.1300000000000012E-2</v>
      </c>
      <c r="AD184" s="41"/>
    </row>
    <row r="185" spans="1:33">
      <c r="A185" s="178">
        <v>162</v>
      </c>
      <c r="B185" s="85" t="s">
        <v>342</v>
      </c>
      <c r="C185" s="86" t="s">
        <v>79</v>
      </c>
      <c r="D185" s="184" t="s">
        <v>347</v>
      </c>
      <c r="E185" s="91">
        <v>19229552289.849998</v>
      </c>
      <c r="F185" s="92">
        <f t="shared" si="129"/>
        <v>0.14031429324436959</v>
      </c>
      <c r="G185" s="185" t="s">
        <v>347</v>
      </c>
      <c r="H185" s="91">
        <v>575.37</v>
      </c>
      <c r="I185" s="185" t="s">
        <v>347</v>
      </c>
      <c r="J185" s="91">
        <v>581.36</v>
      </c>
      <c r="K185" s="93">
        <v>5612</v>
      </c>
      <c r="L185" s="94">
        <v>2.98E-2</v>
      </c>
      <c r="M185" s="94">
        <v>0.34329999999999999</v>
      </c>
      <c r="N185" s="185" t="s">
        <v>347</v>
      </c>
      <c r="O185" s="91">
        <v>20425642567.32</v>
      </c>
      <c r="P185" s="116">
        <f t="shared" si="130"/>
        <v>0.14140306757253185</v>
      </c>
      <c r="Q185" s="185" t="s">
        <v>347</v>
      </c>
      <c r="R185" s="91">
        <v>610.12</v>
      </c>
      <c r="S185" s="185" t="s">
        <v>347</v>
      </c>
      <c r="T185" s="91">
        <v>616.41</v>
      </c>
      <c r="U185" s="93">
        <v>5622</v>
      </c>
      <c r="V185" s="94">
        <v>6.0299999999999999E-2</v>
      </c>
      <c r="W185" s="94">
        <v>0.4254</v>
      </c>
      <c r="X185" s="200">
        <f t="shared" si="133"/>
        <v>6.2200630542050515E-2</v>
      </c>
      <c r="Y185" s="200">
        <f t="shared" si="139"/>
        <v>6.028966561166911E-2</v>
      </c>
      <c r="Z185" s="200">
        <f t="shared" si="140"/>
        <v>1.7818959372772631E-3</v>
      </c>
      <c r="AA185" s="200">
        <f t="shared" si="141"/>
        <v>3.0499999999999999E-2</v>
      </c>
      <c r="AB185" s="201">
        <f t="shared" si="142"/>
        <v>8.2100000000000006E-2</v>
      </c>
    </row>
    <row r="186" spans="1:33">
      <c r="A186" s="178">
        <v>163</v>
      </c>
      <c r="B186" s="85" t="s">
        <v>222</v>
      </c>
      <c r="C186" s="86" t="s">
        <v>87</v>
      </c>
      <c r="D186" s="184" t="s">
        <v>347</v>
      </c>
      <c r="E186" s="91">
        <v>6315045227.9300003</v>
      </c>
      <c r="F186" s="92">
        <f t="shared" si="129"/>
        <v>4.6079653577318878E-2</v>
      </c>
      <c r="G186" s="185" t="s">
        <v>347</v>
      </c>
      <c r="H186" s="91">
        <v>3.8285</v>
      </c>
      <c r="I186" s="185" t="s">
        <v>347</v>
      </c>
      <c r="J186" s="91">
        <v>3.9007000000000001</v>
      </c>
      <c r="K186" s="93">
        <v>10201</v>
      </c>
      <c r="L186" s="94">
        <v>1.95E-2</v>
      </c>
      <c r="M186" s="94">
        <v>0.25040000000000001</v>
      </c>
      <c r="N186" s="185" t="s">
        <v>347</v>
      </c>
      <c r="O186" s="91">
        <v>6530683487.6999998</v>
      </c>
      <c r="P186" s="116">
        <f t="shared" si="130"/>
        <v>4.5210752879008491E-2</v>
      </c>
      <c r="Q186" s="185" t="s">
        <v>347</v>
      </c>
      <c r="R186" s="91">
        <v>3.9580000000000002</v>
      </c>
      <c r="S186" s="185" t="s">
        <v>347</v>
      </c>
      <c r="T186" s="91">
        <v>4.0349000000000004</v>
      </c>
      <c r="U186" s="93">
        <v>10201</v>
      </c>
      <c r="V186" s="94">
        <v>3.4200000000000001E-2</v>
      </c>
      <c r="W186" s="94">
        <v>0.29310000000000003</v>
      </c>
      <c r="X186" s="200">
        <f t="shared" si="133"/>
        <v>3.4146748279217515E-2</v>
      </c>
      <c r="Y186" s="200">
        <f t="shared" si="139"/>
        <v>3.4404081318737741E-2</v>
      </c>
      <c r="Z186" s="200">
        <f t="shared" si="140"/>
        <v>0</v>
      </c>
      <c r="AA186" s="200">
        <f t="shared" si="141"/>
        <v>1.4700000000000001E-2</v>
      </c>
      <c r="AB186" s="201">
        <f t="shared" si="142"/>
        <v>4.2700000000000016E-2</v>
      </c>
    </row>
    <row r="187" spans="1:33">
      <c r="A187" s="178">
        <v>164</v>
      </c>
      <c r="B187" s="85" t="s">
        <v>223</v>
      </c>
      <c r="C187" s="86" t="s">
        <v>89</v>
      </c>
      <c r="D187" s="184" t="s">
        <v>347</v>
      </c>
      <c r="E187" s="91">
        <v>378675404.49000001</v>
      </c>
      <c r="F187" s="92">
        <f t="shared" si="129"/>
        <v>2.7631205838362554E-3</v>
      </c>
      <c r="G187" s="185" t="s">
        <v>347</v>
      </c>
      <c r="H187" s="91">
        <v>428.31763374000002</v>
      </c>
      <c r="I187" s="185" t="s">
        <v>347</v>
      </c>
      <c r="J187" s="91">
        <v>428.31763374000002</v>
      </c>
      <c r="K187" s="93">
        <v>32</v>
      </c>
      <c r="L187" s="94">
        <v>6.4600000000000005E-2</v>
      </c>
      <c r="M187" s="94">
        <v>0.92900000000000005</v>
      </c>
      <c r="N187" s="185" t="s">
        <v>347</v>
      </c>
      <c r="O187" s="91">
        <v>351309775.44</v>
      </c>
      <c r="P187" s="116">
        <f t="shared" si="130"/>
        <v>2.4320546955478826E-3</v>
      </c>
      <c r="Q187" s="185" t="s">
        <v>347</v>
      </c>
      <c r="R187" s="91">
        <v>397.05670859999998</v>
      </c>
      <c r="S187" s="185" t="s">
        <v>347</v>
      </c>
      <c r="T187" s="91">
        <v>397.05670859999998</v>
      </c>
      <c r="U187" s="93">
        <v>35</v>
      </c>
      <c r="V187" s="94">
        <v>-7.2999999999999995E-2</v>
      </c>
      <c r="W187" s="94">
        <v>0.49869999999999998</v>
      </c>
      <c r="X187" s="200">
        <f t="shared" si="133"/>
        <v>-7.2266719003987165E-2</v>
      </c>
      <c r="Y187" s="200">
        <f t="shared" si="139"/>
        <v>-7.2985379721667576E-2</v>
      </c>
      <c r="Z187" s="200">
        <f t="shared" si="140"/>
        <v>9.375E-2</v>
      </c>
      <c r="AA187" s="200">
        <f t="shared" si="141"/>
        <v>-0.1376</v>
      </c>
      <c r="AB187" s="201">
        <f t="shared" si="142"/>
        <v>-0.43030000000000007</v>
      </c>
    </row>
    <row r="188" spans="1:33">
      <c r="A188" s="178">
        <v>165</v>
      </c>
      <c r="B188" s="85" t="s">
        <v>224</v>
      </c>
      <c r="C188" s="85" t="s">
        <v>91</v>
      </c>
      <c r="D188" s="184" t="s">
        <v>347</v>
      </c>
      <c r="E188" s="115">
        <v>88840817.969999999</v>
      </c>
      <c r="F188" s="92">
        <f t="shared" si="129"/>
        <v>6.4825412452748676E-4</v>
      </c>
      <c r="G188" s="185" t="s">
        <v>347</v>
      </c>
      <c r="H188" s="91">
        <v>1.7420109800000001</v>
      </c>
      <c r="I188" s="185" t="s">
        <v>347</v>
      </c>
      <c r="J188" s="91">
        <v>1.7420109800000001</v>
      </c>
      <c r="K188" s="93">
        <v>30</v>
      </c>
      <c r="L188" s="94">
        <v>5.6500000000000002E-2</v>
      </c>
      <c r="M188" s="94">
        <v>0.2132</v>
      </c>
      <c r="N188" s="185" t="s">
        <v>347</v>
      </c>
      <c r="O188" s="115">
        <v>92482063.640000001</v>
      </c>
      <c r="P188" s="116">
        <f t="shared" si="130"/>
        <v>6.4023677350826891E-4</v>
      </c>
      <c r="Q188" s="185" t="s">
        <v>347</v>
      </c>
      <c r="R188" s="91">
        <v>1.7923</v>
      </c>
      <c r="S188" s="185" t="s">
        <v>347</v>
      </c>
      <c r="T188" s="91">
        <v>1.7923</v>
      </c>
      <c r="U188" s="93">
        <v>30</v>
      </c>
      <c r="V188" s="94">
        <v>2.8500000000000001E-2</v>
      </c>
      <c r="W188" s="94">
        <v>0.2482</v>
      </c>
      <c r="X188" s="200">
        <f t="shared" si="133"/>
        <v>4.098617902448385E-2</v>
      </c>
      <c r="Y188" s="200">
        <f t="shared" si="139"/>
        <v>2.8868371426682915E-2</v>
      </c>
      <c r="Z188" s="200">
        <f t="shared" si="140"/>
        <v>0</v>
      </c>
      <c r="AA188" s="200">
        <f t="shared" si="141"/>
        <v>-2.8000000000000001E-2</v>
      </c>
      <c r="AB188" s="201">
        <f t="shared" si="142"/>
        <v>3.5000000000000003E-2</v>
      </c>
    </row>
    <row r="189" spans="1:33" ht="13.5" customHeight="1">
      <c r="A189" s="178">
        <v>166</v>
      </c>
      <c r="B189" s="85" t="s">
        <v>225</v>
      </c>
      <c r="C189" s="86" t="s">
        <v>35</v>
      </c>
      <c r="D189" s="184" t="s">
        <v>347</v>
      </c>
      <c r="E189" s="97">
        <v>12618085455.42</v>
      </c>
      <c r="F189" s="92">
        <f t="shared" si="129"/>
        <v>9.2071709007434596E-2</v>
      </c>
      <c r="G189" s="185" t="s">
        <v>347</v>
      </c>
      <c r="H189" s="91">
        <v>7.9613569999999996</v>
      </c>
      <c r="I189" s="185" t="s">
        <v>347</v>
      </c>
      <c r="J189" s="91">
        <v>8.0682939999999999</v>
      </c>
      <c r="K189" s="93">
        <v>9557</v>
      </c>
      <c r="L189" s="94">
        <v>3.1099999999999999E-2</v>
      </c>
      <c r="M189" s="94">
        <v>0.28210000000000002</v>
      </c>
      <c r="N189" s="185" t="s">
        <v>347</v>
      </c>
      <c r="O189" s="97">
        <v>13609285823.92</v>
      </c>
      <c r="P189" s="116">
        <f t="shared" si="130"/>
        <v>9.4214649876062873E-2</v>
      </c>
      <c r="Q189" s="185" t="s">
        <v>347</v>
      </c>
      <c r="R189" s="91">
        <v>8.2017989999999994</v>
      </c>
      <c r="S189" s="185" t="s">
        <v>347</v>
      </c>
      <c r="T189" s="91">
        <v>8.3072660000000003</v>
      </c>
      <c r="U189" s="93">
        <v>10285</v>
      </c>
      <c r="V189" s="94">
        <v>3.0200000000000001E-2</v>
      </c>
      <c r="W189" s="94">
        <v>0.32079999999999997</v>
      </c>
      <c r="X189" s="200">
        <f t="shared" si="133"/>
        <v>7.8553943227119102E-2</v>
      </c>
      <c r="Y189" s="200">
        <f t="shared" si="139"/>
        <v>2.9618652964307005E-2</v>
      </c>
      <c r="Z189" s="200">
        <f t="shared" si="140"/>
        <v>7.6174531756827452E-2</v>
      </c>
      <c r="AA189" s="200">
        <f t="shared" si="141"/>
        <v>-8.9999999999999802E-4</v>
      </c>
      <c r="AB189" s="201">
        <f t="shared" si="142"/>
        <v>3.8699999999999957E-2</v>
      </c>
      <c r="AD189" s="41"/>
    </row>
    <row r="190" spans="1:33" ht="13.5" customHeight="1">
      <c r="A190" s="178">
        <v>167</v>
      </c>
      <c r="B190" s="85" t="s">
        <v>226</v>
      </c>
      <c r="C190" s="86" t="s">
        <v>227</v>
      </c>
      <c r="D190" s="184" t="s">
        <v>347</v>
      </c>
      <c r="E190" s="97">
        <v>158136945.33000001</v>
      </c>
      <c r="F190" s="92">
        <f t="shared" si="129"/>
        <v>1.1538944529412936E-3</v>
      </c>
      <c r="G190" s="185" t="s">
        <v>347</v>
      </c>
      <c r="H190" s="91">
        <v>3.1928000000000001</v>
      </c>
      <c r="I190" s="185" t="s">
        <v>347</v>
      </c>
      <c r="J190" s="91">
        <v>3.2141999999999999</v>
      </c>
      <c r="K190" s="93">
        <v>121</v>
      </c>
      <c r="L190" s="94">
        <v>2.6599999999999999E-2</v>
      </c>
      <c r="M190" s="94">
        <v>0.1462</v>
      </c>
      <c r="N190" s="185" t="s">
        <v>347</v>
      </c>
      <c r="O190" s="97">
        <v>158285410.47</v>
      </c>
      <c r="P190" s="116">
        <f t="shared" si="130"/>
        <v>1.0957815656798722E-3</v>
      </c>
      <c r="Q190" s="185" t="s">
        <v>347</v>
      </c>
      <c r="R190" s="91">
        <v>3.2263999999999999</v>
      </c>
      <c r="S190" s="185" t="s">
        <v>347</v>
      </c>
      <c r="T190" s="91">
        <v>3.2483</v>
      </c>
      <c r="U190" s="93">
        <v>121</v>
      </c>
      <c r="V190" s="94">
        <v>1.06E-2</v>
      </c>
      <c r="W190" s="94">
        <v>0.1583</v>
      </c>
      <c r="X190" s="200">
        <f t="shared" si="133"/>
        <v>9.388390530129996E-4</v>
      </c>
      <c r="Y190" s="200">
        <f t="shared" si="139"/>
        <v>1.0609171800136898E-2</v>
      </c>
      <c r="Z190" s="200">
        <f t="shared" si="140"/>
        <v>0</v>
      </c>
      <c r="AA190" s="200">
        <f t="shared" si="141"/>
        <v>-1.6E-2</v>
      </c>
      <c r="AB190" s="201">
        <f t="shared" si="142"/>
        <v>1.21E-2</v>
      </c>
    </row>
    <row r="191" spans="1:33">
      <c r="A191" s="178">
        <v>168</v>
      </c>
      <c r="B191" s="85" t="s">
        <v>228</v>
      </c>
      <c r="C191" s="86" t="s">
        <v>144</v>
      </c>
      <c r="D191" s="184" t="s">
        <v>347</v>
      </c>
      <c r="E191" s="97">
        <v>1883439284.29</v>
      </c>
      <c r="F191" s="92">
        <f t="shared" si="129"/>
        <v>1.3743089181713556E-2</v>
      </c>
      <c r="G191" s="185" t="s">
        <v>347</v>
      </c>
      <c r="H191" s="91">
        <v>467.64</v>
      </c>
      <c r="I191" s="185" t="s">
        <v>347</v>
      </c>
      <c r="J191" s="91">
        <v>472.58</v>
      </c>
      <c r="K191" s="93">
        <v>158</v>
      </c>
      <c r="L191" s="94">
        <v>1.37E-2</v>
      </c>
      <c r="M191" s="94">
        <v>0.31409999999999999</v>
      </c>
      <c r="N191" s="185" t="s">
        <v>347</v>
      </c>
      <c r="O191" s="97">
        <v>2098088529.5899999</v>
      </c>
      <c r="P191" s="116">
        <f t="shared" si="130"/>
        <v>1.4524691360135504E-2</v>
      </c>
      <c r="Q191" s="185" t="s">
        <v>347</v>
      </c>
      <c r="R191" s="91">
        <v>494.72</v>
      </c>
      <c r="S191" s="185" t="s">
        <v>347</v>
      </c>
      <c r="T191" s="91">
        <v>499.95</v>
      </c>
      <c r="U191" s="93">
        <v>158</v>
      </c>
      <c r="V191" s="94">
        <v>1.37E-2</v>
      </c>
      <c r="W191" s="94">
        <v>0.39019999999999999</v>
      </c>
      <c r="X191" s="200">
        <f t="shared" si="133"/>
        <v>0.11396663916401015</v>
      </c>
      <c r="Y191" s="200">
        <f t="shared" si="139"/>
        <v>5.791612002200687E-2</v>
      </c>
      <c r="Z191" s="200">
        <f t="shared" si="140"/>
        <v>0</v>
      </c>
      <c r="AA191" s="200">
        <f t="shared" si="141"/>
        <v>0</v>
      </c>
      <c r="AB191" s="201">
        <f t="shared" si="142"/>
        <v>7.6100000000000001E-2</v>
      </c>
    </row>
    <row r="192" spans="1:33">
      <c r="A192" s="178">
        <v>169</v>
      </c>
      <c r="B192" s="85" t="s">
        <v>325</v>
      </c>
      <c r="C192" s="86" t="s">
        <v>323</v>
      </c>
      <c r="D192" s="184" t="s">
        <v>347</v>
      </c>
      <c r="E192" s="91">
        <v>50007828.859999999</v>
      </c>
      <c r="F192" s="92">
        <f t="shared" si="129"/>
        <v>3.6489737552964236E-4</v>
      </c>
      <c r="G192" s="185" t="s">
        <v>347</v>
      </c>
      <c r="H192" s="91">
        <v>1.000157</v>
      </c>
      <c r="I192" s="185" t="s">
        <v>347</v>
      </c>
      <c r="J192" s="91">
        <v>1.0090410000000001</v>
      </c>
      <c r="K192" s="93">
        <v>1</v>
      </c>
      <c r="L192" s="94">
        <v>1.6942000000000001E-3</v>
      </c>
      <c r="M192" s="94">
        <v>0</v>
      </c>
      <c r="N192" s="185" t="s">
        <v>347</v>
      </c>
      <c r="O192" s="91">
        <v>50131001.740000002</v>
      </c>
      <c r="P192" s="116">
        <f t="shared" si="130"/>
        <v>3.4704795225690767E-4</v>
      </c>
      <c r="Q192" s="185" t="s">
        <v>347</v>
      </c>
      <c r="R192" s="91">
        <v>1.002</v>
      </c>
      <c r="S192" s="185" t="s">
        <v>347</v>
      </c>
      <c r="T192" s="91">
        <v>1.0129999999999999</v>
      </c>
      <c r="U192" s="93">
        <v>1</v>
      </c>
      <c r="V192" s="94">
        <v>2.4631000000000002E-3</v>
      </c>
      <c r="W192" s="94">
        <v>0</v>
      </c>
      <c r="X192" s="200">
        <f t="shared" ref="X192" si="143">((O192-E192)/E192)</f>
        <v>2.4630719390924321E-3</v>
      </c>
      <c r="Y192" s="200">
        <f t="shared" ref="Y192" si="144">((T192-J192)/J192)</f>
        <v>3.9235273888769866E-3</v>
      </c>
      <c r="Z192" s="200">
        <f t="shared" ref="Z192" si="145">((U192-K192)/K192)</f>
        <v>0</v>
      </c>
      <c r="AA192" s="200">
        <f t="shared" ref="AA192" si="146">V192-L192</f>
        <v>7.689000000000001E-4</v>
      </c>
      <c r="AB192" s="201">
        <f t="shared" ref="AB192" si="147">W192-M192</f>
        <v>0</v>
      </c>
    </row>
    <row r="193" spans="1:28">
      <c r="A193" s="178">
        <v>170</v>
      </c>
      <c r="B193" s="85" t="s">
        <v>229</v>
      </c>
      <c r="C193" s="86" t="s">
        <v>31</v>
      </c>
      <c r="D193" s="184" t="s">
        <v>347</v>
      </c>
      <c r="E193" s="97">
        <v>3003984729.4400001</v>
      </c>
      <c r="F193" s="92">
        <f t="shared" ref="F193:F202" si="148">(E193/$E$203)</f>
        <v>2.1919490785582942E-2</v>
      </c>
      <c r="G193" s="185" t="s">
        <v>347</v>
      </c>
      <c r="H193" s="91">
        <v>552.22</v>
      </c>
      <c r="I193" s="185" t="s">
        <v>347</v>
      </c>
      <c r="J193" s="91">
        <v>552.22</v>
      </c>
      <c r="K193" s="93">
        <v>823</v>
      </c>
      <c r="L193" s="94">
        <v>3.14E-3</v>
      </c>
      <c r="M193" s="94">
        <v>0.39439999999999997</v>
      </c>
      <c r="N193" s="185" t="s">
        <v>347</v>
      </c>
      <c r="O193" s="97">
        <v>3149446469.0599999</v>
      </c>
      <c r="P193" s="116">
        <f t="shared" si="130"/>
        <v>2.1803054195860982E-2</v>
      </c>
      <c r="Q193" s="185" t="s">
        <v>347</v>
      </c>
      <c r="R193" s="91">
        <v>552.22</v>
      </c>
      <c r="S193" s="185" t="s">
        <v>347</v>
      </c>
      <c r="T193" s="91">
        <v>552.22</v>
      </c>
      <c r="U193" s="93">
        <v>823</v>
      </c>
      <c r="V193" s="94">
        <v>4.8399999999999999E-2</v>
      </c>
      <c r="W193" s="94">
        <v>0.46189999999999998</v>
      </c>
      <c r="X193" s="200">
        <f t="shared" si="133"/>
        <v>4.8422929116259762E-2</v>
      </c>
      <c r="Y193" s="200">
        <f t="shared" ref="Y193:Z195" si="149">((T193-J193)/J193)</f>
        <v>0</v>
      </c>
      <c r="Z193" s="200">
        <f t="shared" si="149"/>
        <v>0</v>
      </c>
      <c r="AA193" s="200">
        <f t="shared" ref="AA193:AB195" si="150">V193-L193</f>
        <v>4.5260000000000002E-2</v>
      </c>
      <c r="AB193" s="201">
        <f t="shared" si="150"/>
        <v>6.7500000000000004E-2</v>
      </c>
    </row>
    <row r="194" spans="1:28">
      <c r="A194" s="178">
        <v>171</v>
      </c>
      <c r="B194" s="85" t="s">
        <v>230</v>
      </c>
      <c r="C194" s="86" t="s">
        <v>100</v>
      </c>
      <c r="D194" s="184" t="s">
        <v>347</v>
      </c>
      <c r="E194" s="91">
        <v>57806573.490000002</v>
      </c>
      <c r="F194" s="92">
        <f t="shared" si="148"/>
        <v>4.2180329431847281E-4</v>
      </c>
      <c r="G194" s="185" t="s">
        <v>347</v>
      </c>
      <c r="H194" s="91">
        <v>3.33</v>
      </c>
      <c r="I194" s="185" t="s">
        <v>347</v>
      </c>
      <c r="J194" s="91">
        <v>3.33</v>
      </c>
      <c r="K194" s="93">
        <v>8</v>
      </c>
      <c r="L194" s="94">
        <v>6.54E-2</v>
      </c>
      <c r="M194" s="94">
        <v>0.26929999999999998</v>
      </c>
      <c r="N194" s="185" t="s">
        <v>347</v>
      </c>
      <c r="O194" s="91">
        <v>65385370.520000003</v>
      </c>
      <c r="P194" s="116">
        <f t="shared" si="130"/>
        <v>4.5265121698972815E-4</v>
      </c>
      <c r="Q194" s="185" t="s">
        <v>347</v>
      </c>
      <c r="R194" s="91">
        <v>3.62</v>
      </c>
      <c r="S194" s="185" t="s">
        <v>347</v>
      </c>
      <c r="T194" s="91">
        <v>3.62</v>
      </c>
      <c r="U194" s="93">
        <v>9</v>
      </c>
      <c r="V194" s="94">
        <v>7.0900000000000005E-2</v>
      </c>
      <c r="W194" s="94">
        <v>0.3795</v>
      </c>
      <c r="X194" s="200">
        <f t="shared" si="133"/>
        <v>0.13110614541633508</v>
      </c>
      <c r="Y194" s="200">
        <f t="shared" si="149"/>
        <v>8.7087087087087095E-2</v>
      </c>
      <c r="Z194" s="200">
        <f t="shared" si="149"/>
        <v>0.125</v>
      </c>
      <c r="AA194" s="200">
        <f t="shared" si="150"/>
        <v>5.5000000000000049E-3</v>
      </c>
      <c r="AB194" s="201">
        <f t="shared" si="150"/>
        <v>0.11020000000000002</v>
      </c>
    </row>
    <row r="195" spans="1:28">
      <c r="A195" s="178">
        <v>172</v>
      </c>
      <c r="B195" s="85" t="s">
        <v>231</v>
      </c>
      <c r="C195" s="86" t="s">
        <v>42</v>
      </c>
      <c r="D195" s="184" t="s">
        <v>347</v>
      </c>
      <c r="E195" s="91">
        <v>671065597.41999996</v>
      </c>
      <c r="F195" s="92">
        <f t="shared" si="148"/>
        <v>4.8966348047686367E-3</v>
      </c>
      <c r="G195" s="185" t="s">
        <v>347</v>
      </c>
      <c r="H195" s="91">
        <v>4.72</v>
      </c>
      <c r="I195" s="185" t="s">
        <v>347</v>
      </c>
      <c r="J195" s="91">
        <v>4.66</v>
      </c>
      <c r="K195" s="93">
        <v>141</v>
      </c>
      <c r="L195" s="94">
        <v>5.3100000000000001E-2</v>
      </c>
      <c r="M195" s="94">
        <v>0.31950000000000001</v>
      </c>
      <c r="N195" s="185" t="s">
        <v>347</v>
      </c>
      <c r="O195" s="91">
        <v>736423541.10000002</v>
      </c>
      <c r="P195" s="116">
        <f t="shared" si="130"/>
        <v>5.0981283649197571E-3</v>
      </c>
      <c r="Q195" s="185" t="s">
        <v>347</v>
      </c>
      <c r="R195" s="91">
        <v>4.7712459999999997</v>
      </c>
      <c r="S195" s="185" t="s">
        <v>347</v>
      </c>
      <c r="T195" s="91">
        <v>4.8168369999999996</v>
      </c>
      <c r="U195" s="93">
        <v>141</v>
      </c>
      <c r="V195" s="94">
        <v>2.8899999999999999E-2</v>
      </c>
      <c r="W195" s="94">
        <v>0.34839999999999999</v>
      </c>
      <c r="X195" s="200">
        <f t="shared" si="133"/>
        <v>9.7394269548725612E-2</v>
      </c>
      <c r="Y195" s="200">
        <f t="shared" si="149"/>
        <v>3.3656008583690868E-2</v>
      </c>
      <c r="Z195" s="200">
        <f t="shared" si="149"/>
        <v>0</v>
      </c>
      <c r="AA195" s="200">
        <f t="shared" si="150"/>
        <v>-2.4200000000000003E-2</v>
      </c>
      <c r="AB195" s="201">
        <f t="shared" si="150"/>
        <v>2.8899999999999981E-2</v>
      </c>
    </row>
    <row r="196" spans="1:28">
      <c r="A196" s="178">
        <v>173</v>
      </c>
      <c r="B196" s="85" t="s">
        <v>311</v>
      </c>
      <c r="C196" s="86" t="s">
        <v>312</v>
      </c>
      <c r="D196" s="184" t="s">
        <v>347</v>
      </c>
      <c r="E196" s="91">
        <v>243159748.45988899</v>
      </c>
      <c r="F196" s="92">
        <f t="shared" si="148"/>
        <v>1.7742892677037026E-3</v>
      </c>
      <c r="G196" s="185" t="s">
        <v>347</v>
      </c>
      <c r="H196" s="91">
        <v>143.37836606553</v>
      </c>
      <c r="I196" s="185" t="s">
        <v>347</v>
      </c>
      <c r="J196" s="91">
        <v>144.41150949772799</v>
      </c>
      <c r="K196" s="93">
        <v>114</v>
      </c>
      <c r="L196" s="94">
        <v>6.1600000000000002E-2</v>
      </c>
      <c r="M196" s="94">
        <v>0.24379999999999999</v>
      </c>
      <c r="N196" s="185" t="s">
        <v>347</v>
      </c>
      <c r="O196" s="91">
        <v>233872511.659554</v>
      </c>
      <c r="P196" s="92">
        <f t="shared" si="130"/>
        <v>1.6190575381194842E-3</v>
      </c>
      <c r="Q196" s="185" t="s">
        <v>347</v>
      </c>
      <c r="R196" s="91">
        <v>138.87643839819501</v>
      </c>
      <c r="S196" s="185" t="s">
        <v>347</v>
      </c>
      <c r="T196" s="91">
        <v>137.93064946420901</v>
      </c>
      <c r="U196" s="93">
        <v>114</v>
      </c>
      <c r="V196" s="94">
        <v>-3.8199999999999998E-2</v>
      </c>
      <c r="W196" s="94">
        <v>0.1966</v>
      </c>
      <c r="X196" s="200">
        <f t="shared" ref="X196" si="151">((O196-E196)/E196)</f>
        <v>-3.819397272434253E-2</v>
      </c>
      <c r="Y196" s="200">
        <f t="shared" ref="Y196" si="152">((T196-J196)/J196)</f>
        <v>-4.4877725162348933E-2</v>
      </c>
      <c r="Z196" s="200">
        <f t="shared" ref="Z196" si="153">((U196-K196)/K196)</f>
        <v>0</v>
      </c>
      <c r="AA196" s="200">
        <f t="shared" ref="AA196" si="154">V196-L196</f>
        <v>-9.98E-2</v>
      </c>
      <c r="AB196" s="201">
        <f t="shared" ref="AB196" si="155">W196-M196</f>
        <v>-4.7199999999999992E-2</v>
      </c>
    </row>
    <row r="197" spans="1:28">
      <c r="A197" s="178">
        <v>174</v>
      </c>
      <c r="B197" s="85" t="s">
        <v>232</v>
      </c>
      <c r="C197" s="86" t="s">
        <v>46</v>
      </c>
      <c r="D197" s="184" t="s">
        <v>347</v>
      </c>
      <c r="E197" s="97">
        <v>12393660982.74</v>
      </c>
      <c r="F197" s="92">
        <f t="shared" si="148"/>
        <v>9.0434127393667338E-2</v>
      </c>
      <c r="G197" s="185" t="s">
        <v>347</v>
      </c>
      <c r="H197" s="91">
        <v>13189.36</v>
      </c>
      <c r="I197" s="185" t="s">
        <v>347</v>
      </c>
      <c r="J197" s="91">
        <v>13315.3</v>
      </c>
      <c r="K197" s="93">
        <v>6677</v>
      </c>
      <c r="L197" s="94">
        <v>3.8399999999999997E-2</v>
      </c>
      <c r="M197" s="94">
        <v>0.36830000000000002</v>
      </c>
      <c r="N197" s="185" t="s">
        <v>347</v>
      </c>
      <c r="O197" s="97">
        <v>13443064702.879999</v>
      </c>
      <c r="P197" s="92">
        <f t="shared" si="130"/>
        <v>9.3063930806494569E-2</v>
      </c>
      <c r="Q197" s="185" t="s">
        <v>347</v>
      </c>
      <c r="R197" s="91">
        <v>13656.95</v>
      </c>
      <c r="S197" s="185" t="s">
        <v>347</v>
      </c>
      <c r="T197" s="91">
        <v>13785.18</v>
      </c>
      <c r="U197" s="93">
        <v>6925</v>
      </c>
      <c r="V197" s="94">
        <v>3.5299999999999998E-2</v>
      </c>
      <c r="W197" s="94">
        <v>0.41660000000000003</v>
      </c>
      <c r="X197" s="200">
        <f t="shared" si="133"/>
        <v>8.4672617848870382E-2</v>
      </c>
      <c r="Y197" s="200">
        <f t="shared" ref="Y197:Z202" si="156">((T197-J197)/J197)</f>
        <v>3.5288728004626332E-2</v>
      </c>
      <c r="Z197" s="200">
        <f t="shared" si="156"/>
        <v>3.7142429234686233E-2</v>
      </c>
      <c r="AA197" s="200">
        <f t="shared" ref="AA197:AB202" si="157">V197-L197</f>
        <v>-3.0999999999999986E-3</v>
      </c>
      <c r="AB197" s="201">
        <f t="shared" si="157"/>
        <v>4.830000000000001E-2</v>
      </c>
    </row>
    <row r="198" spans="1:28">
      <c r="A198" s="178">
        <v>175</v>
      </c>
      <c r="B198" s="85" t="s">
        <v>233</v>
      </c>
      <c r="C198" s="85" t="s">
        <v>110</v>
      </c>
      <c r="D198" s="184" t="s">
        <v>347</v>
      </c>
      <c r="E198" s="97">
        <v>219642177.12</v>
      </c>
      <c r="F198" s="92">
        <f t="shared" si="148"/>
        <v>1.6026861356265019E-3</v>
      </c>
      <c r="G198" s="185" t="s">
        <v>347</v>
      </c>
      <c r="H198" s="91">
        <v>1799.7727</v>
      </c>
      <c r="I198" s="185" t="s">
        <v>347</v>
      </c>
      <c r="J198" s="91">
        <v>1830.3135</v>
      </c>
      <c r="K198" s="93">
        <v>98</v>
      </c>
      <c r="L198" s="94">
        <v>2.92E-2</v>
      </c>
      <c r="M198" s="94">
        <v>0.248</v>
      </c>
      <c r="N198" s="185" t="s">
        <v>347</v>
      </c>
      <c r="O198" s="97">
        <v>227784081.56999999</v>
      </c>
      <c r="P198" s="92">
        <f t="shared" si="130"/>
        <v>1.5769084263583064E-3</v>
      </c>
      <c r="Q198" s="185" t="s">
        <v>347</v>
      </c>
      <c r="R198" s="91">
        <v>1836.4943000000001</v>
      </c>
      <c r="S198" s="185" t="s">
        <v>347</v>
      </c>
      <c r="T198" s="91">
        <v>1869.3467000000001</v>
      </c>
      <c r="U198" s="93">
        <v>109</v>
      </c>
      <c r="V198" s="94">
        <v>2.0400000000000001E-2</v>
      </c>
      <c r="W198" s="94">
        <v>0.27450000000000002</v>
      </c>
      <c r="X198" s="200">
        <f t="shared" si="133"/>
        <v>3.7068948035202338E-2</v>
      </c>
      <c r="Y198" s="200">
        <f t="shared" si="156"/>
        <v>2.1325964103963653E-2</v>
      </c>
      <c r="Z198" s="200">
        <f t="shared" si="156"/>
        <v>0.11224489795918367</v>
      </c>
      <c r="AA198" s="200">
        <f t="shared" si="157"/>
        <v>-8.7999999999999988E-3</v>
      </c>
      <c r="AB198" s="201">
        <f t="shared" si="157"/>
        <v>2.6500000000000024E-2</v>
      </c>
    </row>
    <row r="199" spans="1:28">
      <c r="A199" s="178">
        <v>176</v>
      </c>
      <c r="B199" s="85" t="s">
        <v>234</v>
      </c>
      <c r="C199" s="85" t="s">
        <v>91</v>
      </c>
      <c r="D199" s="184" t="s">
        <v>347</v>
      </c>
      <c r="E199" s="97">
        <v>841713052.53999996</v>
      </c>
      <c r="F199" s="92">
        <f t="shared" si="148"/>
        <v>6.1418160080643413E-3</v>
      </c>
      <c r="G199" s="185" t="s">
        <v>347</v>
      </c>
      <c r="H199" s="91">
        <v>1.6005192100000001</v>
      </c>
      <c r="I199" s="185" t="s">
        <v>347</v>
      </c>
      <c r="J199" s="91">
        <v>1.6005192100000001</v>
      </c>
      <c r="K199" s="93">
        <v>47</v>
      </c>
      <c r="L199" s="94">
        <v>2E-3</v>
      </c>
      <c r="M199" s="94">
        <v>4.7100000000000003E-2</v>
      </c>
      <c r="N199" s="185" t="s">
        <v>347</v>
      </c>
      <c r="O199" s="97">
        <v>844524387.19000006</v>
      </c>
      <c r="P199" s="92">
        <f t="shared" si="130"/>
        <v>5.8464911737730087E-3</v>
      </c>
      <c r="Q199" s="185" t="s">
        <v>347</v>
      </c>
      <c r="R199" s="91">
        <v>1.605</v>
      </c>
      <c r="S199" s="185" t="s">
        <v>347</v>
      </c>
      <c r="T199" s="91">
        <v>1.605</v>
      </c>
      <c r="U199" s="93">
        <v>47</v>
      </c>
      <c r="V199" s="94">
        <v>2.0999999999999999E-3</v>
      </c>
      <c r="W199" s="94">
        <v>5.0200000000000002E-2</v>
      </c>
      <c r="X199" s="200">
        <f t="shared" si="133"/>
        <v>3.340015509461872E-3</v>
      </c>
      <c r="Y199" s="200">
        <f t="shared" si="156"/>
        <v>2.7995852670833618E-3</v>
      </c>
      <c r="Z199" s="200">
        <f t="shared" si="156"/>
        <v>0</v>
      </c>
      <c r="AA199" s="200">
        <f t="shared" si="157"/>
        <v>9.9999999999999829E-5</v>
      </c>
      <c r="AB199" s="201">
        <f t="shared" si="157"/>
        <v>3.0999999999999986E-3</v>
      </c>
    </row>
    <row r="200" spans="1:28">
      <c r="A200" s="178">
        <v>177</v>
      </c>
      <c r="B200" s="85" t="s">
        <v>235</v>
      </c>
      <c r="C200" s="86" t="s">
        <v>49</v>
      </c>
      <c r="D200" s="184" t="s">
        <v>347</v>
      </c>
      <c r="E200" s="91">
        <v>7336216494.6000004</v>
      </c>
      <c r="F200" s="92">
        <f t="shared" si="148"/>
        <v>5.3530941179053076E-2</v>
      </c>
      <c r="G200" s="185" t="s">
        <v>347</v>
      </c>
      <c r="H200" s="91">
        <v>2.9345400000000001</v>
      </c>
      <c r="I200" s="185" t="s">
        <v>347</v>
      </c>
      <c r="J200" s="91">
        <v>2.95275</v>
      </c>
      <c r="K200" s="93">
        <v>3383</v>
      </c>
      <c r="L200" s="94">
        <v>2.7099999999999999E-2</v>
      </c>
      <c r="M200" s="94">
        <v>0.32119999999999999</v>
      </c>
      <c r="N200" s="185" t="s">
        <v>347</v>
      </c>
      <c r="O200" s="91">
        <v>7953374460.3100004</v>
      </c>
      <c r="P200" s="116">
        <f t="shared" si="130"/>
        <v>5.5059787839439531E-2</v>
      </c>
      <c r="Q200" s="185" t="s">
        <v>347</v>
      </c>
      <c r="R200" s="91">
        <v>3.0529199999999999</v>
      </c>
      <c r="S200" s="185" t="s">
        <v>347</v>
      </c>
      <c r="T200" s="91">
        <v>3.07328</v>
      </c>
      <c r="U200" s="93">
        <v>3417</v>
      </c>
      <c r="V200" s="94">
        <v>4.0300000000000002E-2</v>
      </c>
      <c r="W200" s="94">
        <v>0.3745</v>
      </c>
      <c r="X200" s="200">
        <f t="shared" si="133"/>
        <v>8.4124830035246928E-2</v>
      </c>
      <c r="Y200" s="200">
        <f t="shared" si="156"/>
        <v>4.0819574972483286E-2</v>
      </c>
      <c r="Z200" s="200">
        <f t="shared" si="156"/>
        <v>1.0050251256281407E-2</v>
      </c>
      <c r="AA200" s="200">
        <f t="shared" si="157"/>
        <v>1.3200000000000003E-2</v>
      </c>
      <c r="AB200" s="201">
        <f t="shared" si="157"/>
        <v>5.3300000000000014E-2</v>
      </c>
    </row>
    <row r="201" spans="1:28">
      <c r="A201" s="178">
        <v>178</v>
      </c>
      <c r="B201" s="85" t="s">
        <v>236</v>
      </c>
      <c r="C201" s="86" t="s">
        <v>49</v>
      </c>
      <c r="D201" s="184" t="s">
        <v>347</v>
      </c>
      <c r="E201" s="91">
        <v>4301242034.4099998</v>
      </c>
      <c r="F201" s="92">
        <f t="shared" si="148"/>
        <v>3.1385324371268626E-2</v>
      </c>
      <c r="G201" s="185" t="s">
        <v>347</v>
      </c>
      <c r="H201" s="91">
        <v>2.4150299999999998</v>
      </c>
      <c r="I201" s="185" t="s">
        <v>347</v>
      </c>
      <c r="J201" s="91">
        <v>2.43283</v>
      </c>
      <c r="K201" s="93">
        <v>1893</v>
      </c>
      <c r="L201" s="94">
        <v>3.5400000000000001E-2</v>
      </c>
      <c r="M201" s="94">
        <v>0.35099999999999998</v>
      </c>
      <c r="N201" s="185" t="s">
        <v>347</v>
      </c>
      <c r="O201" s="91">
        <v>4833341038.1999998</v>
      </c>
      <c r="P201" s="116">
        <f t="shared" si="130"/>
        <v>3.3460354903065342E-2</v>
      </c>
      <c r="Q201" s="185" t="s">
        <v>347</v>
      </c>
      <c r="R201" s="91">
        <v>2.5404100000000001</v>
      </c>
      <c r="S201" s="185" t="s">
        <v>347</v>
      </c>
      <c r="T201" s="91">
        <v>2.55931</v>
      </c>
      <c r="U201" s="93">
        <v>1960</v>
      </c>
      <c r="V201" s="94">
        <v>5.1900000000000002E-2</v>
      </c>
      <c r="W201" s="94">
        <v>0.42109999999999997</v>
      </c>
      <c r="X201" s="200">
        <f t="shared" si="133"/>
        <v>0.12370822184224931</v>
      </c>
      <c r="Y201" s="200">
        <f t="shared" si="156"/>
        <v>5.19888360469083E-2</v>
      </c>
      <c r="Z201" s="200">
        <f t="shared" si="156"/>
        <v>3.5393555203380875E-2</v>
      </c>
      <c r="AA201" s="200">
        <f t="shared" si="157"/>
        <v>1.6500000000000001E-2</v>
      </c>
      <c r="AB201" s="201">
        <f t="shared" si="157"/>
        <v>7.0099999999999996E-2</v>
      </c>
    </row>
    <row r="202" spans="1:28">
      <c r="A202" s="178">
        <v>179</v>
      </c>
      <c r="B202" s="85" t="s">
        <v>237</v>
      </c>
      <c r="C202" s="86" t="s">
        <v>115</v>
      </c>
      <c r="D202" s="184" t="s">
        <v>347</v>
      </c>
      <c r="E202" s="120">
        <v>13990215338.48</v>
      </c>
      <c r="F202" s="92">
        <f t="shared" si="148"/>
        <v>0.10208387319508794</v>
      </c>
      <c r="G202" s="185" t="s">
        <v>347</v>
      </c>
      <c r="H202" s="91">
        <v>884.94</v>
      </c>
      <c r="I202" s="185" t="s">
        <v>347</v>
      </c>
      <c r="J202" s="91">
        <v>895.1</v>
      </c>
      <c r="K202" s="93">
        <v>41</v>
      </c>
      <c r="L202" s="94">
        <v>3.2300000000000002E-2</v>
      </c>
      <c r="M202" s="94">
        <v>0.2873</v>
      </c>
      <c r="N202" s="185" t="s">
        <v>347</v>
      </c>
      <c r="O202" s="120">
        <v>14120852180.940001</v>
      </c>
      <c r="P202" s="116">
        <f t="shared" si="130"/>
        <v>9.7756132202071494E-2</v>
      </c>
      <c r="Q202" s="185" t="s">
        <v>347</v>
      </c>
      <c r="R202" s="91">
        <v>893.33</v>
      </c>
      <c r="S202" s="185" t="s">
        <v>347</v>
      </c>
      <c r="T202" s="91">
        <v>903.4</v>
      </c>
      <c r="U202" s="93">
        <v>41</v>
      </c>
      <c r="V202" s="94">
        <v>9.2999999999999992E-3</v>
      </c>
      <c r="W202" s="94">
        <v>0.29930000000000001</v>
      </c>
      <c r="X202" s="200">
        <f t="shared" si="133"/>
        <v>9.3377292128367165E-3</v>
      </c>
      <c r="Y202" s="200">
        <f t="shared" si="156"/>
        <v>9.2727069601161363E-3</v>
      </c>
      <c r="Z202" s="200">
        <f t="shared" si="156"/>
        <v>0</v>
      </c>
      <c r="AA202" s="200">
        <f t="shared" si="157"/>
        <v>-2.3000000000000003E-2</v>
      </c>
      <c r="AB202" s="201">
        <f t="shared" si="157"/>
        <v>1.2000000000000011E-2</v>
      </c>
    </row>
    <row r="203" spans="1:28">
      <c r="A203" s="101"/>
      <c r="B203" s="102"/>
      <c r="C203" s="103" t="s">
        <v>52</v>
      </c>
      <c r="D203" s="184" t="s">
        <v>347</v>
      </c>
      <c r="E203" s="133">
        <f>SUM(E173:E202)</f>
        <v>137046282636.08223</v>
      </c>
      <c r="F203" s="105">
        <f>(E203/$E$238)</f>
        <v>1.5628652685710655E-2</v>
      </c>
      <c r="G203" s="185" t="s">
        <v>347</v>
      </c>
      <c r="H203" s="106"/>
      <c r="I203" s="185" t="s">
        <v>347</v>
      </c>
      <c r="J203" s="134"/>
      <c r="K203" s="108">
        <f>SUM(K173:K202)</f>
        <v>90894</v>
      </c>
      <c r="L203" s="135"/>
      <c r="M203" s="135"/>
      <c r="N203" s="185" t="s">
        <v>347</v>
      </c>
      <c r="O203" s="133">
        <f>SUM(O173:O202)</f>
        <v>144449783996.67877</v>
      </c>
      <c r="P203" s="105">
        <f>(O203/$O$238)</f>
        <v>1.6309687643385511E-2</v>
      </c>
      <c r="Q203" s="185" t="s">
        <v>347</v>
      </c>
      <c r="R203" s="106"/>
      <c r="S203" s="185" t="s">
        <v>347</v>
      </c>
      <c r="T203" s="134"/>
      <c r="U203" s="108">
        <f>SUM(U173:U202)</f>
        <v>92303</v>
      </c>
      <c r="V203" s="135"/>
      <c r="W203" s="135"/>
      <c r="X203" s="200">
        <f t="shared" ref="X203" si="158">((O203-E203)/E203)</f>
        <v>5.4021905725499128E-2</v>
      </c>
      <c r="Y203" s="200" t="e">
        <f t="shared" ref="Y203" si="159">((T203-J203)/J203)</f>
        <v>#DIV/0!</v>
      </c>
      <c r="Z203" s="200">
        <f t="shared" ref="Z203" si="160">((U203-K203)/K203)</f>
        <v>1.5501573261161352E-2</v>
      </c>
      <c r="AA203" s="200">
        <f t="shared" ref="AA203" si="161">V203-L203</f>
        <v>0</v>
      </c>
      <c r="AB203" s="201">
        <f t="shared" ref="AB203" si="162">W203-M203</f>
        <v>0</v>
      </c>
    </row>
    <row r="204" spans="1:28" ht="5.25" customHeight="1">
      <c r="A204" s="101"/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</row>
    <row r="205" spans="1:28" ht="15" customHeight="1">
      <c r="A205" s="212" t="s">
        <v>238</v>
      </c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2"/>
      <c r="V205" s="212"/>
      <c r="W205" s="212"/>
      <c r="X205" s="212"/>
      <c r="Y205" s="212"/>
      <c r="Z205" s="212"/>
      <c r="AA205" s="212"/>
      <c r="AB205" s="212"/>
    </row>
    <row r="206" spans="1:28" ht="15" customHeight="1">
      <c r="A206" s="175">
        <v>180</v>
      </c>
      <c r="B206" s="85" t="s">
        <v>316</v>
      </c>
      <c r="C206" s="86" t="s">
        <v>131</v>
      </c>
      <c r="D206" s="184" t="s">
        <v>347</v>
      </c>
      <c r="E206" s="136">
        <v>598495072.46000004</v>
      </c>
      <c r="F206" s="92">
        <v>0</v>
      </c>
      <c r="G206" s="204" t="s">
        <v>347</v>
      </c>
      <c r="H206" s="137">
        <v>1036.76</v>
      </c>
      <c r="I206" s="204" t="s">
        <v>347</v>
      </c>
      <c r="J206" s="137">
        <v>1036.76</v>
      </c>
      <c r="K206" s="93">
        <v>33</v>
      </c>
      <c r="L206" s="94">
        <v>1.83E-3</v>
      </c>
      <c r="M206" s="94">
        <v>3.5639999999999998E-2</v>
      </c>
      <c r="N206" s="185" t="s">
        <v>347</v>
      </c>
      <c r="O206" s="136">
        <v>599996942.53999996</v>
      </c>
      <c r="P206" s="116">
        <f>(O206/$O$209)</f>
        <v>3.0747721279929988E-2</v>
      </c>
      <c r="Q206" s="185" t="s">
        <v>347</v>
      </c>
      <c r="R206" s="137">
        <v>1039.3599999999999</v>
      </c>
      <c r="S206" s="185" t="s">
        <v>347</v>
      </c>
      <c r="T206" s="137">
        <v>1039.3599999999999</v>
      </c>
      <c r="U206" s="93">
        <v>33</v>
      </c>
      <c r="V206" s="94">
        <v>1.73E-3</v>
      </c>
      <c r="W206" s="94">
        <v>3.8240000000000003E-2</v>
      </c>
      <c r="X206" s="200">
        <f>((O206-E206)/E206)</f>
        <v>2.5094109360445905E-3</v>
      </c>
      <c r="Y206" s="200">
        <f t="shared" ref="Y206" si="163">((T206-J206)/J206)</f>
        <v>2.50781280141972E-3</v>
      </c>
      <c r="Z206" s="200">
        <f t="shared" ref="Z206" si="164">((U206-K206)/K206)</f>
        <v>0</v>
      </c>
      <c r="AA206" s="200">
        <f t="shared" ref="AA206" si="165">V206-L206</f>
        <v>-1.0000000000000005E-4</v>
      </c>
      <c r="AB206" s="201">
        <f t="shared" ref="AB206" si="166">W206-M206</f>
        <v>2.6000000000000051E-3</v>
      </c>
    </row>
    <row r="207" spans="1:28">
      <c r="A207" s="175">
        <v>181</v>
      </c>
      <c r="B207" s="85" t="s">
        <v>239</v>
      </c>
      <c r="C207" s="86" t="s">
        <v>240</v>
      </c>
      <c r="D207" s="184" t="s">
        <v>347</v>
      </c>
      <c r="E207" s="136">
        <v>1913876373.03</v>
      </c>
      <c r="F207" s="92">
        <f>(E207/$E$209)</f>
        <v>0.10608640454015221</v>
      </c>
      <c r="G207" s="204" t="s">
        <v>347</v>
      </c>
      <c r="H207" s="137">
        <v>52.196899999999999</v>
      </c>
      <c r="I207" s="204" t="s">
        <v>347</v>
      </c>
      <c r="J207" s="137">
        <v>52.765700000000002</v>
      </c>
      <c r="K207" s="93">
        <v>1337</v>
      </c>
      <c r="L207" s="94">
        <v>2.64E-2</v>
      </c>
      <c r="M207" s="94">
        <v>0.30620000000000003</v>
      </c>
      <c r="N207" s="185" t="s">
        <v>347</v>
      </c>
      <c r="O207" s="136">
        <v>1913876373.03</v>
      </c>
      <c r="P207" s="116">
        <f>(O207/$O$209)</f>
        <v>9.8079395259995983E-2</v>
      </c>
      <c r="Q207" s="185" t="s">
        <v>347</v>
      </c>
      <c r="R207" s="137">
        <v>52.961300000000001</v>
      </c>
      <c r="S207" s="185" t="s">
        <v>347</v>
      </c>
      <c r="T207" s="137">
        <v>53.509300000000003</v>
      </c>
      <c r="U207" s="93">
        <v>1334</v>
      </c>
      <c r="V207" s="94">
        <v>1.9900000000000001E-2</v>
      </c>
      <c r="W207" s="94">
        <v>0.32500000000000001</v>
      </c>
      <c r="X207" s="200">
        <f>((O207-E207)/E207)</f>
        <v>0</v>
      </c>
      <c r="Y207" s="200">
        <f t="shared" ref="Y207:Z209" si="167">((T207-J207)/J207)</f>
        <v>1.4092488112542819E-2</v>
      </c>
      <c r="Z207" s="200">
        <f t="shared" si="167"/>
        <v>-2.243829468960359E-3</v>
      </c>
      <c r="AA207" s="200">
        <f t="shared" ref="AA207:AB209" si="168">V207-L207</f>
        <v>-6.4999999999999988E-3</v>
      </c>
      <c r="AB207" s="201">
        <f t="shared" si="168"/>
        <v>1.8799999999999983E-2</v>
      </c>
    </row>
    <row r="208" spans="1:28">
      <c r="A208" s="175">
        <v>182</v>
      </c>
      <c r="B208" s="85" t="s">
        <v>241</v>
      </c>
      <c r="C208" s="86" t="s">
        <v>46</v>
      </c>
      <c r="D208" s="184" t="s">
        <v>347</v>
      </c>
      <c r="E208" s="110">
        <v>15528360364.83</v>
      </c>
      <c r="F208" s="92">
        <f>(E208/$E$209)</f>
        <v>0.86073893942302127</v>
      </c>
      <c r="G208" s="204" t="s">
        <v>347</v>
      </c>
      <c r="H208" s="137">
        <v>6.81</v>
      </c>
      <c r="I208" s="204" t="s">
        <v>347</v>
      </c>
      <c r="J208" s="137">
        <v>6.91</v>
      </c>
      <c r="K208" s="93">
        <v>14887</v>
      </c>
      <c r="L208" s="94">
        <v>4.3799999999999999E-2</v>
      </c>
      <c r="M208" s="94">
        <v>0.52539999999999998</v>
      </c>
      <c r="N208" s="185" t="s">
        <v>347</v>
      </c>
      <c r="O208" s="110">
        <v>16999668422.290001</v>
      </c>
      <c r="P208" s="116">
        <f>(O208/$O$209)</f>
        <v>0.87117288346007404</v>
      </c>
      <c r="Q208" s="185" t="s">
        <v>347</v>
      </c>
      <c r="R208" s="137">
        <v>7.18</v>
      </c>
      <c r="S208" s="185" t="s">
        <v>347</v>
      </c>
      <c r="T208" s="137">
        <v>7.28</v>
      </c>
      <c r="U208" s="93">
        <v>15180</v>
      </c>
      <c r="V208" s="94">
        <v>5.3499999999999999E-2</v>
      </c>
      <c r="W208" s="94">
        <v>0.60709999999999997</v>
      </c>
      <c r="X208" s="200">
        <f>((O208-E208)/E208)</f>
        <v>9.4749736797218417E-2</v>
      </c>
      <c r="Y208" s="200">
        <f t="shared" si="167"/>
        <v>5.3545586107091189E-2</v>
      </c>
      <c r="Z208" s="200">
        <f t="shared" si="167"/>
        <v>1.9681601397192182E-2</v>
      </c>
      <c r="AA208" s="200">
        <f t="shared" si="168"/>
        <v>9.7000000000000003E-3</v>
      </c>
      <c r="AB208" s="201">
        <f t="shared" si="168"/>
        <v>8.1699999999999995E-2</v>
      </c>
    </row>
    <row r="209" spans="1:30">
      <c r="A209" s="101"/>
      <c r="B209" s="102"/>
      <c r="C209" s="127" t="s">
        <v>52</v>
      </c>
      <c r="D209" s="127"/>
      <c r="E209" s="133">
        <f>SUM(E206:E208)</f>
        <v>18040731810.32</v>
      </c>
      <c r="F209" s="105">
        <f>(E209/$E$238)</f>
        <v>2.0573511826530162E-3</v>
      </c>
      <c r="G209" s="204" t="s">
        <v>347</v>
      </c>
      <c r="H209" s="106"/>
      <c r="I209" s="106"/>
      <c r="J209" s="134"/>
      <c r="K209" s="108">
        <f>SUM(K206:K208)</f>
        <v>16257</v>
      </c>
      <c r="L209" s="135"/>
      <c r="M209" s="135"/>
      <c r="N209" s="185" t="s">
        <v>347</v>
      </c>
      <c r="O209" s="133">
        <f>SUM(O206:O208)</f>
        <v>19513541737.860001</v>
      </c>
      <c r="P209" s="105">
        <f>(O209/$O$238)</f>
        <v>2.2032554272838523E-3</v>
      </c>
      <c r="Q209" s="185" t="s">
        <v>347</v>
      </c>
      <c r="R209" s="106"/>
      <c r="S209" s="185" t="s">
        <v>347</v>
      </c>
      <c r="T209" s="134"/>
      <c r="U209" s="108">
        <f>SUM(U206:U208)</f>
        <v>16547</v>
      </c>
      <c r="V209" s="135"/>
      <c r="W209" s="135"/>
      <c r="X209" s="200">
        <f>((O209-E209)/E209)</f>
        <v>8.1638036806106526E-2</v>
      </c>
      <c r="Y209" s="200" t="e">
        <f t="shared" si="167"/>
        <v>#DIV/0!</v>
      </c>
      <c r="Z209" s="200">
        <f t="shared" si="167"/>
        <v>1.7838469582333764E-2</v>
      </c>
      <c r="AA209" s="200">
        <f t="shared" si="168"/>
        <v>0</v>
      </c>
      <c r="AB209" s="201">
        <f t="shared" si="168"/>
        <v>0</v>
      </c>
    </row>
    <row r="210" spans="1:30" ht="6" customHeight="1">
      <c r="A210" s="101"/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</row>
    <row r="211" spans="1:30" ht="15" customHeight="1">
      <c r="A211" s="208" t="s">
        <v>242</v>
      </c>
      <c r="B211" s="208"/>
      <c r="C211" s="208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</row>
    <row r="212" spans="1:30">
      <c r="A212" s="211" t="s">
        <v>243</v>
      </c>
      <c r="B212" s="211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</row>
    <row r="213" spans="1:30">
      <c r="A213" s="175">
        <v>183</v>
      </c>
      <c r="B213" s="85" t="s">
        <v>244</v>
      </c>
      <c r="C213" s="86" t="s">
        <v>245</v>
      </c>
      <c r="D213" s="184" t="s">
        <v>347</v>
      </c>
      <c r="E213" s="112">
        <v>15307674633.15</v>
      </c>
      <c r="F213" s="92">
        <f>(E213/$E$237)</f>
        <v>0.12154245911313505</v>
      </c>
      <c r="G213" s="204" t="s">
        <v>347</v>
      </c>
      <c r="H213" s="138">
        <v>3.97</v>
      </c>
      <c r="I213" s="204" t="s">
        <v>347</v>
      </c>
      <c r="J213" s="138">
        <v>4.04</v>
      </c>
      <c r="K213" s="113">
        <v>16241</v>
      </c>
      <c r="L213" s="114">
        <v>3.1300000000000001E-2</v>
      </c>
      <c r="M213" s="114">
        <v>0.34699999999999998</v>
      </c>
      <c r="N213" s="185" t="s">
        <v>347</v>
      </c>
      <c r="O213" s="112">
        <v>16721261244.440001</v>
      </c>
      <c r="P213" s="92">
        <f>(O213/$O$237)</f>
        <v>0.12484658780483313</v>
      </c>
      <c r="Q213" s="185" t="s">
        <v>347</v>
      </c>
      <c r="R213" s="138">
        <v>4.25</v>
      </c>
      <c r="S213" s="185" t="s">
        <v>347</v>
      </c>
      <c r="T213" s="138">
        <v>4.32</v>
      </c>
      <c r="U213" s="113">
        <v>16241</v>
      </c>
      <c r="V213" s="114">
        <v>6.8599999999999994E-2</v>
      </c>
      <c r="W213" s="114">
        <v>0.43940000000000001</v>
      </c>
      <c r="X213" s="202">
        <f>((O213-E213)/E213)</f>
        <v>9.2344960627054717E-2</v>
      </c>
      <c r="Y213" s="202">
        <f>((T213-J213)/J213)</f>
        <v>6.9306930693069368E-2</v>
      </c>
      <c r="Z213" s="202">
        <f>((U213-K213)/K213)</f>
        <v>0</v>
      </c>
      <c r="AA213" s="202">
        <f>V213-L213</f>
        <v>3.7299999999999993E-2</v>
      </c>
      <c r="AB213" s="203">
        <f>W213-M213</f>
        <v>9.2400000000000038E-2</v>
      </c>
    </row>
    <row r="214" spans="1:30">
      <c r="A214" s="175">
        <v>184</v>
      </c>
      <c r="B214" s="85" t="s">
        <v>246</v>
      </c>
      <c r="C214" s="86" t="s">
        <v>46</v>
      </c>
      <c r="D214" s="184" t="s">
        <v>347</v>
      </c>
      <c r="E214" s="112">
        <v>28960561634.91</v>
      </c>
      <c r="F214" s="92">
        <f>(E214/$E$237)</f>
        <v>0.22994595604885459</v>
      </c>
      <c r="G214" s="204" t="s">
        <v>347</v>
      </c>
      <c r="H214" s="138">
        <v>1431.56</v>
      </c>
      <c r="I214" s="204" t="s">
        <v>347</v>
      </c>
      <c r="J214" s="138">
        <v>1450.23</v>
      </c>
      <c r="K214" s="113">
        <v>6427</v>
      </c>
      <c r="L214" s="114">
        <v>6.9400000000000003E-2</v>
      </c>
      <c r="M214" s="114">
        <v>0.52529999999999999</v>
      </c>
      <c r="N214" s="185" t="s">
        <v>347</v>
      </c>
      <c r="O214" s="112">
        <v>33994011307.759998</v>
      </c>
      <c r="P214" s="92">
        <f>(O214/$O$237)</f>
        <v>0.25381077752038211</v>
      </c>
      <c r="Q214" s="185" t="s">
        <v>347</v>
      </c>
      <c r="R214" s="138">
        <v>1559.87</v>
      </c>
      <c r="S214" s="185" t="s">
        <v>347</v>
      </c>
      <c r="T214" s="138">
        <v>1579.32</v>
      </c>
      <c r="U214" s="113">
        <v>7003</v>
      </c>
      <c r="V214" s="114">
        <v>8.8999999999999996E-2</v>
      </c>
      <c r="W214" s="114">
        <v>0.66100000000000003</v>
      </c>
      <c r="X214" s="202">
        <f>((O214-E214)/E214)</f>
        <v>0.17380359318662228</v>
      </c>
      <c r="Y214" s="202">
        <f>((T214-J214)/J214)</f>
        <v>8.9013466829399424E-2</v>
      </c>
      <c r="Z214" s="202">
        <f>((U214-K214)/K214)</f>
        <v>8.9621907577407817E-2</v>
      </c>
      <c r="AA214" s="202">
        <f>V214-L214</f>
        <v>1.9599999999999992E-2</v>
      </c>
      <c r="AB214" s="203">
        <f>W214-M214</f>
        <v>0.13570000000000004</v>
      </c>
    </row>
    <row r="215" spans="1:30" ht="6" customHeight="1">
      <c r="A215" s="126"/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</row>
    <row r="216" spans="1:30" ht="15" customHeight="1">
      <c r="A216" s="211" t="s">
        <v>181</v>
      </c>
      <c r="B216" s="211"/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  <c r="AA216" s="211"/>
      <c r="AB216" s="211"/>
    </row>
    <row r="217" spans="1:30">
      <c r="A217" s="175">
        <v>185</v>
      </c>
      <c r="B217" s="85" t="s">
        <v>247</v>
      </c>
      <c r="C217" s="86" t="s">
        <v>23</v>
      </c>
      <c r="D217" s="184" t="s">
        <v>347</v>
      </c>
      <c r="E217" s="97">
        <v>1486333391.53</v>
      </c>
      <c r="F217" s="92">
        <f>(E217/$E$237)</f>
        <v>1.1801440767319721E-2</v>
      </c>
      <c r="G217" s="185" t="s">
        <v>347</v>
      </c>
      <c r="H217" s="137">
        <v>1.1733</v>
      </c>
      <c r="I217" s="185" t="s">
        <v>347</v>
      </c>
      <c r="J217" s="137">
        <v>1.1733</v>
      </c>
      <c r="K217" s="93">
        <v>903</v>
      </c>
      <c r="L217" s="94">
        <v>-0.2477</v>
      </c>
      <c r="M217" s="94">
        <v>0.1089</v>
      </c>
      <c r="N217" s="185" t="s">
        <v>347</v>
      </c>
      <c r="O217" s="97">
        <v>1492755880.0999999</v>
      </c>
      <c r="P217" s="92">
        <f t="shared" ref="P217:P230" si="169">(O217/$O$237)</f>
        <v>1.1145419913707414E-2</v>
      </c>
      <c r="Q217" s="185" t="s">
        <v>347</v>
      </c>
      <c r="R217" s="137">
        <v>1.1768000000000001</v>
      </c>
      <c r="S217" s="185" t="s">
        <v>347</v>
      </c>
      <c r="T217" s="137">
        <v>1.1768000000000001</v>
      </c>
      <c r="U217" s="93">
        <v>905</v>
      </c>
      <c r="V217" s="94">
        <v>0.1555</v>
      </c>
      <c r="W217" s="94">
        <v>0.1119</v>
      </c>
      <c r="X217" s="200">
        <f>((O217-E217)/E217)</f>
        <v>4.3210282474975279E-3</v>
      </c>
      <c r="Y217" s="200">
        <f>((T217-J217)/J217)</f>
        <v>2.9830392908889954E-3</v>
      </c>
      <c r="Z217" s="200">
        <f>((U217-K217)/K217)</f>
        <v>2.2148394241417496E-3</v>
      </c>
      <c r="AA217" s="200">
        <f>V217-L217</f>
        <v>0.4032</v>
      </c>
      <c r="AB217" s="201">
        <f>W217-M217</f>
        <v>3.0000000000000027E-3</v>
      </c>
      <c r="AD217" s="31"/>
    </row>
    <row r="218" spans="1:30">
      <c r="A218" s="175">
        <v>186</v>
      </c>
      <c r="B218" s="85" t="s">
        <v>248</v>
      </c>
      <c r="C218" s="86" t="s">
        <v>249</v>
      </c>
      <c r="D218" s="184" t="s">
        <v>347</v>
      </c>
      <c r="E218" s="97">
        <v>372840342.11000001</v>
      </c>
      <c r="F218" s="92">
        <f>(E218/$E$237)</f>
        <v>2.9603406867883555E-3</v>
      </c>
      <c r="G218" s="185" t="s">
        <v>347</v>
      </c>
      <c r="H218" s="137">
        <v>1139.08</v>
      </c>
      <c r="I218" s="185" t="s">
        <v>347</v>
      </c>
      <c r="J218" s="137">
        <v>1139.08</v>
      </c>
      <c r="K218" s="93">
        <v>19</v>
      </c>
      <c r="L218" s="94">
        <v>2.3999999999999998E-3</v>
      </c>
      <c r="M218" s="94">
        <v>3.7199999999999997E-2</v>
      </c>
      <c r="N218" s="185" t="s">
        <v>347</v>
      </c>
      <c r="O218" s="97">
        <v>373574114.08999997</v>
      </c>
      <c r="P218" s="92">
        <f t="shared" si="169"/>
        <v>2.7892305941848764E-3</v>
      </c>
      <c r="Q218" s="185" t="s">
        <v>347</v>
      </c>
      <c r="R218" s="137">
        <v>1141.32</v>
      </c>
      <c r="S218" s="185" t="s">
        <v>347</v>
      </c>
      <c r="T218" s="137">
        <v>1141.32</v>
      </c>
      <c r="U218" s="93">
        <v>19</v>
      </c>
      <c r="V218" s="94">
        <v>2.5999999999999999E-3</v>
      </c>
      <c r="W218" s="94">
        <v>3.9800000000000002E-2</v>
      </c>
      <c r="X218" s="200">
        <f>((O218-E218)/E218)</f>
        <v>1.9680595073144551E-3</v>
      </c>
      <c r="Y218" s="200">
        <f>((T218-J218)/J218)</f>
        <v>1.9664992801208072E-3</v>
      </c>
      <c r="Z218" s="200">
        <f>((U218-K218)/K218)</f>
        <v>0</v>
      </c>
      <c r="AA218" s="200">
        <f>V218-L218</f>
        <v>2.0000000000000009E-4</v>
      </c>
      <c r="AB218" s="201">
        <f>W218-M218</f>
        <v>2.6000000000000051E-3</v>
      </c>
      <c r="AD218" s="31"/>
    </row>
    <row r="219" spans="1:30">
      <c r="A219" s="175">
        <v>187</v>
      </c>
      <c r="B219" s="85" t="s">
        <v>250</v>
      </c>
      <c r="C219" s="86" t="s">
        <v>69</v>
      </c>
      <c r="D219" s="184" t="s">
        <v>347</v>
      </c>
      <c r="E219" s="97">
        <v>337866662.44</v>
      </c>
      <c r="F219" s="92">
        <f>(E219/$E$237)</f>
        <v>2.6826507611009205E-3</v>
      </c>
      <c r="G219" s="185" t="s">
        <v>347</v>
      </c>
      <c r="H219" s="137">
        <v>128.16999999999999</v>
      </c>
      <c r="I219" s="185" t="s">
        <v>347</v>
      </c>
      <c r="J219" s="137">
        <v>128.16999999999999</v>
      </c>
      <c r="K219" s="93">
        <v>81</v>
      </c>
      <c r="L219" s="94">
        <v>2.7000000000000001E-3</v>
      </c>
      <c r="M219" s="94">
        <v>0.1482</v>
      </c>
      <c r="N219" s="185" t="s">
        <v>347</v>
      </c>
      <c r="O219" s="97">
        <v>355554330.18000001</v>
      </c>
      <c r="P219" s="92">
        <f t="shared" si="169"/>
        <v>2.6546887972918949E-3</v>
      </c>
      <c r="Q219" s="185" t="s">
        <v>347</v>
      </c>
      <c r="R219" s="137">
        <v>128.44</v>
      </c>
      <c r="S219" s="185" t="s">
        <v>347</v>
      </c>
      <c r="T219" s="137">
        <v>128.44</v>
      </c>
      <c r="U219" s="93">
        <v>82</v>
      </c>
      <c r="V219" s="94">
        <v>2.0999999999999999E-3</v>
      </c>
      <c r="W219" s="94">
        <v>0.15770000000000001</v>
      </c>
      <c r="X219" s="200">
        <f t="shared" ref="X219:X238" si="170">((O219-E219)/E219)</f>
        <v>5.2351029877477397E-2</v>
      </c>
      <c r="Y219" s="200">
        <f t="shared" ref="Y219:Y237" si="171">((T219-J219)/J219)</f>
        <v>2.1065772021534703E-3</v>
      </c>
      <c r="Z219" s="200">
        <f t="shared" ref="Z219:Z237" si="172">((U219-K219)/K219)</f>
        <v>1.2345679012345678E-2</v>
      </c>
      <c r="AA219" s="200">
        <f t="shared" ref="AA219:AA237" si="173">V219-L219</f>
        <v>-6.0000000000000027E-4</v>
      </c>
      <c r="AB219" s="201">
        <f t="shared" ref="AB219:AB237" si="174">W219-M219</f>
        <v>9.5000000000000084E-3</v>
      </c>
    </row>
    <row r="220" spans="1:30">
      <c r="A220" s="175">
        <v>188</v>
      </c>
      <c r="B220" s="181" t="s">
        <v>251</v>
      </c>
      <c r="C220" s="86" t="s">
        <v>252</v>
      </c>
      <c r="D220" s="184" t="s">
        <v>347</v>
      </c>
      <c r="E220" s="97">
        <v>53834668.946750097</v>
      </c>
      <c r="F220" s="92">
        <v>0</v>
      </c>
      <c r="G220" s="185" t="s">
        <v>347</v>
      </c>
      <c r="H220" s="137">
        <v>105.27208204125699</v>
      </c>
      <c r="I220" s="185" t="s">
        <v>347</v>
      </c>
      <c r="J220" s="137">
        <v>105.27208204125699</v>
      </c>
      <c r="K220" s="93">
        <v>14</v>
      </c>
      <c r="L220" s="94">
        <v>4.7000000000000002E-3</v>
      </c>
      <c r="M220" s="94">
        <v>5.2699999999999997E-2</v>
      </c>
      <c r="N220" s="185" t="s">
        <v>347</v>
      </c>
      <c r="O220" s="97">
        <v>53812935.210794203</v>
      </c>
      <c r="P220" s="92">
        <f t="shared" si="169"/>
        <v>4.0178556166414433E-4</v>
      </c>
      <c r="Q220" s="185" t="s">
        <v>347</v>
      </c>
      <c r="R220" s="137">
        <v>105.229582371817</v>
      </c>
      <c r="S220" s="185" t="s">
        <v>347</v>
      </c>
      <c r="T220" s="137">
        <v>105.27208204125699</v>
      </c>
      <c r="U220" s="93">
        <v>14</v>
      </c>
      <c r="V220" s="94">
        <v>-4.0000000000000002E-4</v>
      </c>
      <c r="W220" s="94">
        <v>5.2299999999999999E-2</v>
      </c>
      <c r="X220" s="200">
        <f t="shared" si="170"/>
        <v>-4.0371263316194353E-4</v>
      </c>
      <c r="Y220" s="200">
        <f t="shared" si="171"/>
        <v>0</v>
      </c>
      <c r="Z220" s="200">
        <f t="shared" si="172"/>
        <v>0</v>
      </c>
      <c r="AA220" s="200">
        <f t="shared" si="173"/>
        <v>-5.1000000000000004E-3</v>
      </c>
      <c r="AB220" s="201">
        <f t="shared" si="174"/>
        <v>-3.9999999999999758E-4</v>
      </c>
    </row>
    <row r="221" spans="1:30">
      <c r="A221" s="175">
        <v>189</v>
      </c>
      <c r="B221" s="181" t="s">
        <v>253</v>
      </c>
      <c r="C221" s="86" t="s">
        <v>75</v>
      </c>
      <c r="D221" s="184" t="s">
        <v>347</v>
      </c>
      <c r="E221" s="110">
        <v>82697702.370000005</v>
      </c>
      <c r="F221" s="92">
        <f>(E221/$E$237)</f>
        <v>6.5661717732679514E-4</v>
      </c>
      <c r="G221" s="185" t="s">
        <v>347</v>
      </c>
      <c r="H221" s="137">
        <v>110.8</v>
      </c>
      <c r="I221" s="185" t="s">
        <v>347</v>
      </c>
      <c r="J221" s="137">
        <v>110.8</v>
      </c>
      <c r="K221" s="93">
        <v>20</v>
      </c>
      <c r="L221" s="94">
        <v>1.8599999999999998E-2</v>
      </c>
      <c r="M221" s="94">
        <v>0.12280000000000001</v>
      </c>
      <c r="N221" s="185" t="s">
        <v>347</v>
      </c>
      <c r="O221" s="110">
        <v>85207373.329999998</v>
      </c>
      <c r="P221" s="92">
        <f t="shared" si="169"/>
        <v>6.3618704717027493E-4</v>
      </c>
      <c r="Q221" s="185" t="s">
        <v>347</v>
      </c>
      <c r="R221" s="137">
        <v>114.38</v>
      </c>
      <c r="S221" s="185" t="s">
        <v>347</v>
      </c>
      <c r="T221" s="137">
        <v>114.38</v>
      </c>
      <c r="U221" s="93">
        <v>20</v>
      </c>
      <c r="V221" s="94">
        <v>3.6299999999999999E-2</v>
      </c>
      <c r="W221" s="94">
        <v>0.15909999999999999</v>
      </c>
      <c r="X221" s="200">
        <f t="shared" si="170"/>
        <v>3.0347529472722318E-2</v>
      </c>
      <c r="Y221" s="200">
        <f t="shared" si="171"/>
        <v>3.231046931407941E-2</v>
      </c>
      <c r="Z221" s="200">
        <f t="shared" si="172"/>
        <v>0</v>
      </c>
      <c r="AA221" s="200">
        <f t="shared" si="173"/>
        <v>1.77E-2</v>
      </c>
      <c r="AB221" s="201">
        <f t="shared" si="174"/>
        <v>3.6299999999999985E-2</v>
      </c>
    </row>
    <row r="222" spans="1:30">
      <c r="A222" s="175">
        <v>190</v>
      </c>
      <c r="B222" s="85" t="s">
        <v>254</v>
      </c>
      <c r="C222" s="86" t="s">
        <v>78</v>
      </c>
      <c r="D222" s="184" t="s">
        <v>347</v>
      </c>
      <c r="E222" s="110">
        <v>331717302.37</v>
      </c>
      <c r="F222" s="92">
        <v>0</v>
      </c>
      <c r="G222" s="185" t="s">
        <v>347</v>
      </c>
      <c r="H222" s="137">
        <v>1.22</v>
      </c>
      <c r="I222" s="185" t="s">
        <v>347</v>
      </c>
      <c r="J222" s="137">
        <v>1.22</v>
      </c>
      <c r="K222" s="93">
        <v>58</v>
      </c>
      <c r="L222" s="94">
        <v>0</v>
      </c>
      <c r="M222" s="94">
        <v>0.13969999999999999</v>
      </c>
      <c r="N222" s="185" t="s">
        <v>347</v>
      </c>
      <c r="O222" s="110">
        <v>332236210.81999999</v>
      </c>
      <c r="P222" s="92">
        <f t="shared" si="169"/>
        <v>2.4805878372288598E-3</v>
      </c>
      <c r="Q222" s="185" t="s">
        <v>347</v>
      </c>
      <c r="R222" s="137">
        <v>1.22</v>
      </c>
      <c r="S222" s="185" t="s">
        <v>347</v>
      </c>
      <c r="T222" s="137">
        <v>1.22</v>
      </c>
      <c r="U222" s="93">
        <v>59</v>
      </c>
      <c r="V222" s="94">
        <v>0</v>
      </c>
      <c r="W222" s="94">
        <v>0.16930000000000001</v>
      </c>
      <c r="X222" s="200">
        <f t="shared" ref="X222:X223" si="175">((O222-E222)/E222)</f>
        <v>1.5643092666332902E-3</v>
      </c>
      <c r="Y222" s="200">
        <f t="shared" ref="Y222:Y223" si="176">((T222-J222)/J222)</f>
        <v>0</v>
      </c>
      <c r="Z222" s="200">
        <f t="shared" ref="Z222" si="177">((U222-K222)/K222)</f>
        <v>1.7241379310344827E-2</v>
      </c>
      <c r="AA222" s="200">
        <f t="shared" ref="AA222" si="178">V222-L222</f>
        <v>0</v>
      </c>
      <c r="AB222" s="201">
        <f t="shared" ref="AB222" si="179">W222-M222</f>
        <v>2.9600000000000015E-2</v>
      </c>
    </row>
    <row r="223" spans="1:30">
      <c r="A223" s="175">
        <v>191</v>
      </c>
      <c r="B223" s="85" t="s">
        <v>343</v>
      </c>
      <c r="C223" s="86" t="s">
        <v>79</v>
      </c>
      <c r="D223" s="184" t="s">
        <v>347</v>
      </c>
      <c r="E223" s="97">
        <v>5918158661.7600002</v>
      </c>
      <c r="F223" s="92">
        <f t="shared" ref="F223:F230" si="180">(E223/$E$237)</f>
        <v>4.6989995176294937E-2</v>
      </c>
      <c r="G223" s="185" t="s">
        <v>347</v>
      </c>
      <c r="H223" s="137">
        <v>148.38</v>
      </c>
      <c r="I223" s="185" t="s">
        <v>347</v>
      </c>
      <c r="J223" s="137">
        <v>148.38</v>
      </c>
      <c r="K223" s="93">
        <v>808</v>
      </c>
      <c r="L223" s="94">
        <v>2.5999999999999999E-3</v>
      </c>
      <c r="M223" s="94">
        <v>4.2799999999999998E-2</v>
      </c>
      <c r="N223" s="185" t="s">
        <v>347</v>
      </c>
      <c r="O223" s="97">
        <v>5684684412.5799999</v>
      </c>
      <c r="P223" s="92">
        <f t="shared" si="169"/>
        <v>4.2443775100632589E-2</v>
      </c>
      <c r="Q223" s="185" t="s">
        <v>347</v>
      </c>
      <c r="R223" s="137">
        <v>148.69999999999999</v>
      </c>
      <c r="S223" s="185" t="s">
        <v>347</v>
      </c>
      <c r="T223" s="137">
        <v>148.69999999999999</v>
      </c>
      <c r="U223" s="93">
        <v>807</v>
      </c>
      <c r="V223" s="94">
        <v>2.2000000000000001E-3</v>
      </c>
      <c r="W223" s="94">
        <v>4.4999999999999998E-2</v>
      </c>
      <c r="X223" s="200">
        <f t="shared" si="175"/>
        <v>-3.9450488323097346E-2</v>
      </c>
      <c r="Y223" s="200">
        <f t="shared" si="176"/>
        <v>2.1566248820595307E-3</v>
      </c>
      <c r="Z223" s="200">
        <f t="shared" si="172"/>
        <v>-1.2376237623762376E-3</v>
      </c>
      <c r="AA223" s="200">
        <f t="shared" si="173"/>
        <v>-3.9999999999999975E-4</v>
      </c>
      <c r="AB223" s="201">
        <f t="shared" si="174"/>
        <v>2.2000000000000006E-3</v>
      </c>
    </row>
    <row r="224" spans="1:30">
      <c r="A224" s="175">
        <v>192</v>
      </c>
      <c r="B224" s="85" t="s">
        <v>255</v>
      </c>
      <c r="C224" s="86" t="s">
        <v>67</v>
      </c>
      <c r="D224" s="184" t="s">
        <v>347</v>
      </c>
      <c r="E224" s="97">
        <v>998935233.041574</v>
      </c>
      <c r="F224" s="92">
        <f t="shared" si="180"/>
        <v>7.9315145917522849E-3</v>
      </c>
      <c r="G224" s="185" t="s">
        <v>347</v>
      </c>
      <c r="H224" s="96">
        <v>1373.80247777819</v>
      </c>
      <c r="I224" s="185" t="s">
        <v>347</v>
      </c>
      <c r="J224" s="96">
        <v>1373.80247777819</v>
      </c>
      <c r="K224" s="93">
        <v>351</v>
      </c>
      <c r="L224" s="94">
        <v>0.1221</v>
      </c>
      <c r="M224" s="94">
        <v>0.1183</v>
      </c>
      <c r="N224" s="185" t="s">
        <v>347</v>
      </c>
      <c r="O224" s="97">
        <v>1006203685.60886</v>
      </c>
      <c r="P224" s="92">
        <f t="shared" si="169"/>
        <v>7.5126567875783657E-3</v>
      </c>
      <c r="Q224" s="185" t="s">
        <v>347</v>
      </c>
      <c r="R224" s="96">
        <v>1377.4037973310401</v>
      </c>
      <c r="S224" s="185" t="s">
        <v>347</v>
      </c>
      <c r="T224" s="96">
        <v>1377.4037973310401</v>
      </c>
      <c r="U224" s="93">
        <v>351</v>
      </c>
      <c r="V224" s="94">
        <v>0.13669999999999999</v>
      </c>
      <c r="W224" s="94">
        <v>0.1196</v>
      </c>
      <c r="X224" s="200">
        <f t="shared" si="170"/>
        <v>7.276200024655166E-3</v>
      </c>
      <c r="Y224" s="200">
        <f t="shared" si="171"/>
        <v>2.6214245578261059E-3</v>
      </c>
      <c r="Z224" s="200">
        <f t="shared" si="172"/>
        <v>0</v>
      </c>
      <c r="AA224" s="200">
        <f t="shared" si="173"/>
        <v>1.4599999999999988E-2</v>
      </c>
      <c r="AB224" s="201">
        <f t="shared" si="174"/>
        <v>1.2999999999999956E-3</v>
      </c>
    </row>
    <row r="225" spans="1:32">
      <c r="A225" s="175">
        <v>193</v>
      </c>
      <c r="B225" s="85" t="s">
        <v>256</v>
      </c>
      <c r="C225" s="86" t="s">
        <v>245</v>
      </c>
      <c r="D225" s="184" t="s">
        <v>347</v>
      </c>
      <c r="E225" s="97">
        <v>45320497371.629997</v>
      </c>
      <c r="F225" s="92">
        <f t="shared" si="180"/>
        <v>0.35984333550240721</v>
      </c>
      <c r="G225" s="185" t="s">
        <v>347</v>
      </c>
      <c r="H225" s="96">
        <v>1282.93</v>
      </c>
      <c r="I225" s="185" t="s">
        <v>347</v>
      </c>
      <c r="J225" s="96">
        <v>1282.93</v>
      </c>
      <c r="K225" s="93">
        <v>13004</v>
      </c>
      <c r="L225" s="94">
        <v>3.5999999999999999E-3</v>
      </c>
      <c r="M225" s="94">
        <v>4.8099999999999997E-2</v>
      </c>
      <c r="N225" s="185" t="s">
        <v>347</v>
      </c>
      <c r="O225" s="97">
        <v>45315738812.57</v>
      </c>
      <c r="P225" s="92">
        <f t="shared" si="169"/>
        <v>0.33834262152238004</v>
      </c>
      <c r="Q225" s="185" t="s">
        <v>347</v>
      </c>
      <c r="R225" s="96">
        <v>1286.26</v>
      </c>
      <c r="S225" s="185" t="s">
        <v>347</v>
      </c>
      <c r="T225" s="96">
        <v>1286.26</v>
      </c>
      <c r="U225" s="93">
        <v>13004</v>
      </c>
      <c r="V225" s="94">
        <v>2.5999999999999999E-3</v>
      </c>
      <c r="W225" s="94">
        <v>5.0599999999999999E-2</v>
      </c>
      <c r="X225" s="200">
        <f t="shared" si="170"/>
        <v>-1.0499794432918891E-4</v>
      </c>
      <c r="Y225" s="200">
        <f t="shared" si="171"/>
        <v>2.5956209613930041E-3</v>
      </c>
      <c r="Z225" s="200">
        <f t="shared" si="172"/>
        <v>0</v>
      </c>
      <c r="AA225" s="200">
        <f t="shared" si="173"/>
        <v>-1E-3</v>
      </c>
      <c r="AB225" s="201">
        <f t="shared" si="174"/>
        <v>2.5000000000000022E-3</v>
      </c>
    </row>
    <row r="226" spans="1:32">
      <c r="A226" s="175">
        <v>194</v>
      </c>
      <c r="B226" s="85" t="s">
        <v>257</v>
      </c>
      <c r="C226" s="86" t="s">
        <v>258</v>
      </c>
      <c r="D226" s="184" t="s">
        <v>347</v>
      </c>
      <c r="E226" s="97">
        <v>532547424</v>
      </c>
      <c r="F226" s="92">
        <f t="shared" si="180"/>
        <v>4.2284099354420301E-3</v>
      </c>
      <c r="G226" s="185" t="s">
        <v>347</v>
      </c>
      <c r="H226" s="138">
        <v>137.66</v>
      </c>
      <c r="I226" s="185" t="s">
        <v>347</v>
      </c>
      <c r="J226" s="138">
        <v>138.16</v>
      </c>
      <c r="K226" s="113">
        <v>139</v>
      </c>
      <c r="L226" s="94">
        <v>1.37E-2</v>
      </c>
      <c r="M226" s="94">
        <v>0.13250000000000001</v>
      </c>
      <c r="N226" s="185" t="s">
        <v>347</v>
      </c>
      <c r="O226" s="97">
        <v>547980625.65999997</v>
      </c>
      <c r="P226" s="92">
        <f t="shared" si="169"/>
        <v>4.0914085544567881E-3</v>
      </c>
      <c r="Q226" s="185" t="s">
        <v>347</v>
      </c>
      <c r="R226" s="138">
        <v>139.05000000000001</v>
      </c>
      <c r="S226" s="185" t="s">
        <v>347</v>
      </c>
      <c r="T226" s="138">
        <v>139.05000000000001</v>
      </c>
      <c r="U226" s="113">
        <v>139</v>
      </c>
      <c r="V226" s="94">
        <v>1.01E-2</v>
      </c>
      <c r="W226" s="94">
        <v>0.14399999999999999</v>
      </c>
      <c r="X226" s="200">
        <f>((O226-E226)/E226)</f>
        <v>2.8979957398122664E-2</v>
      </c>
      <c r="Y226" s="200">
        <f t="shared" si="171"/>
        <v>6.4418066010423769E-3</v>
      </c>
      <c r="Z226" s="200">
        <f t="shared" si="172"/>
        <v>0</v>
      </c>
      <c r="AA226" s="200">
        <f t="shared" si="173"/>
        <v>-3.6000000000000008E-3</v>
      </c>
      <c r="AB226" s="201">
        <f t="shared" si="174"/>
        <v>1.1499999999999982E-2</v>
      </c>
    </row>
    <row r="227" spans="1:32">
      <c r="A227" s="175">
        <v>195</v>
      </c>
      <c r="B227" s="85" t="s">
        <v>259</v>
      </c>
      <c r="C227" s="86" t="s">
        <v>258</v>
      </c>
      <c r="D227" s="184" t="s">
        <v>347</v>
      </c>
      <c r="E227" s="97">
        <v>932613267.39999998</v>
      </c>
      <c r="F227" s="92">
        <f t="shared" si="180"/>
        <v>7.4049202532603274E-3</v>
      </c>
      <c r="G227" s="185" t="s">
        <v>347</v>
      </c>
      <c r="H227" s="138">
        <v>143.55000000000001</v>
      </c>
      <c r="I227" s="185" t="s">
        <v>347</v>
      </c>
      <c r="J227" s="138">
        <v>143.55000000000001</v>
      </c>
      <c r="K227" s="113">
        <v>131</v>
      </c>
      <c r="L227" s="94">
        <v>4.1000000000000003E-3</v>
      </c>
      <c r="M227" s="94">
        <v>5.8500000000000003E-2</v>
      </c>
      <c r="N227" s="185" t="s">
        <v>347</v>
      </c>
      <c r="O227" s="97">
        <v>939390310.10000002</v>
      </c>
      <c r="P227" s="92">
        <f t="shared" si="169"/>
        <v>7.0138055448362678E-3</v>
      </c>
      <c r="Q227" s="185" t="s">
        <v>347</v>
      </c>
      <c r="R227" s="138">
        <v>144.21</v>
      </c>
      <c r="S227" s="185" t="s">
        <v>347</v>
      </c>
      <c r="T227" s="138">
        <v>144.21</v>
      </c>
      <c r="U227" s="113">
        <v>130</v>
      </c>
      <c r="V227" s="94">
        <v>4.5999999999999999E-3</v>
      </c>
      <c r="W227" s="94">
        <v>6.3299999999999995E-2</v>
      </c>
      <c r="X227" s="200">
        <f t="shared" si="170"/>
        <v>7.2667234500035892E-3</v>
      </c>
      <c r="Y227" s="200">
        <f t="shared" si="171"/>
        <v>4.597701149425263E-3</v>
      </c>
      <c r="Z227" s="200">
        <f t="shared" si="172"/>
        <v>-7.6335877862595417E-3</v>
      </c>
      <c r="AA227" s="200">
        <f t="shared" si="173"/>
        <v>4.9999999999999958E-4</v>
      </c>
      <c r="AB227" s="201">
        <f t="shared" si="174"/>
        <v>4.7999999999999918E-3</v>
      </c>
    </row>
    <row r="228" spans="1:32" ht="13.5" customHeight="1">
      <c r="A228" s="175">
        <v>196</v>
      </c>
      <c r="B228" s="85" t="s">
        <v>260</v>
      </c>
      <c r="C228" s="86" t="s">
        <v>98</v>
      </c>
      <c r="D228" s="184" t="s">
        <v>347</v>
      </c>
      <c r="E228" s="97">
        <v>3438972699</v>
      </c>
      <c r="F228" s="92">
        <f t="shared" si="180"/>
        <v>2.7305335962277594E-2</v>
      </c>
      <c r="G228" s="185" t="s">
        <v>347</v>
      </c>
      <c r="H228" s="119">
        <v>105.58</v>
      </c>
      <c r="I228" s="185" t="s">
        <v>347</v>
      </c>
      <c r="J228" s="119">
        <v>105.58</v>
      </c>
      <c r="K228" s="93">
        <v>880</v>
      </c>
      <c r="L228" s="94">
        <v>3.3999999999999998E-3</v>
      </c>
      <c r="M228" s="94">
        <v>0.17449999999999999</v>
      </c>
      <c r="N228" s="185" t="s">
        <v>347</v>
      </c>
      <c r="O228" s="97">
        <v>3183338067</v>
      </c>
      <c r="P228" s="92">
        <f t="shared" si="169"/>
        <v>2.3767877894159007E-2</v>
      </c>
      <c r="Q228" s="185" t="s">
        <v>347</v>
      </c>
      <c r="R228" s="119">
        <v>106.16</v>
      </c>
      <c r="S228" s="185" t="s">
        <v>347</v>
      </c>
      <c r="T228" s="119">
        <v>106.16</v>
      </c>
      <c r="U228" s="93">
        <v>893</v>
      </c>
      <c r="V228" s="94">
        <v>5.4999999999999997E-3</v>
      </c>
      <c r="W228" s="94">
        <v>0.18279999999999999</v>
      </c>
      <c r="X228" s="200">
        <f t="shared" si="170"/>
        <v>-7.4334591860625882E-2</v>
      </c>
      <c r="Y228" s="200">
        <f t="shared" si="171"/>
        <v>5.4934646713392524E-3</v>
      </c>
      <c r="Z228" s="200">
        <f t="shared" si="172"/>
        <v>1.4772727272727272E-2</v>
      </c>
      <c r="AA228" s="200">
        <f t="shared" si="173"/>
        <v>2.0999999999999999E-3</v>
      </c>
      <c r="AB228" s="201">
        <f t="shared" si="174"/>
        <v>8.3000000000000018E-3</v>
      </c>
    </row>
    <row r="229" spans="1:32" ht="15.75" customHeight="1">
      <c r="A229" s="175">
        <v>197</v>
      </c>
      <c r="B229" s="85" t="s">
        <v>261</v>
      </c>
      <c r="C229" s="86" t="s">
        <v>46</v>
      </c>
      <c r="D229" s="184" t="s">
        <v>347</v>
      </c>
      <c r="E229" s="97">
        <v>2551861428.79</v>
      </c>
      <c r="F229" s="92">
        <f t="shared" si="180"/>
        <v>2.0261700147416226E-2</v>
      </c>
      <c r="G229" s="185" t="s">
        <v>347</v>
      </c>
      <c r="H229" s="119">
        <v>152.44</v>
      </c>
      <c r="I229" s="185" t="s">
        <v>347</v>
      </c>
      <c r="J229" s="119">
        <v>152.44</v>
      </c>
      <c r="K229" s="93">
        <v>2756</v>
      </c>
      <c r="L229" s="94">
        <v>-2.5999999999999999E-3</v>
      </c>
      <c r="M229" s="94">
        <v>0.17780000000000001</v>
      </c>
      <c r="N229" s="185" t="s">
        <v>347</v>
      </c>
      <c r="O229" s="97">
        <v>2605471951.7600002</v>
      </c>
      <c r="P229" s="92">
        <f t="shared" si="169"/>
        <v>1.9453334173975382E-2</v>
      </c>
      <c r="Q229" s="185" t="s">
        <v>347</v>
      </c>
      <c r="R229" s="119">
        <v>152.44</v>
      </c>
      <c r="S229" s="185" t="s">
        <v>347</v>
      </c>
      <c r="T229" s="119">
        <v>152.44</v>
      </c>
      <c r="U229" s="93">
        <v>2812</v>
      </c>
      <c r="V229" s="94">
        <v>2.9999999999999997E-4</v>
      </c>
      <c r="W229" s="94">
        <v>0.16889999999999999</v>
      </c>
      <c r="X229" s="200">
        <f t="shared" si="170"/>
        <v>2.1008398953473124E-2</v>
      </c>
      <c r="Y229" s="200">
        <f t="shared" si="171"/>
        <v>0</v>
      </c>
      <c r="Z229" s="200">
        <f t="shared" si="172"/>
        <v>2.0319303338171262E-2</v>
      </c>
      <c r="AA229" s="200">
        <f t="shared" si="173"/>
        <v>2.8999999999999998E-3</v>
      </c>
      <c r="AB229" s="201">
        <f t="shared" si="174"/>
        <v>-8.900000000000019E-3</v>
      </c>
    </row>
    <row r="230" spans="1:32">
      <c r="A230" s="175">
        <v>198</v>
      </c>
      <c r="B230" s="85" t="s">
        <v>262</v>
      </c>
      <c r="C230" s="86" t="s">
        <v>49</v>
      </c>
      <c r="D230" s="184" t="s">
        <v>347</v>
      </c>
      <c r="E230" s="97">
        <v>4104162783.1599998</v>
      </c>
      <c r="F230" s="92">
        <f t="shared" si="180"/>
        <v>3.2586924482025395E-2</v>
      </c>
      <c r="G230" s="185" t="s">
        <v>347</v>
      </c>
      <c r="H230" s="119">
        <v>1.2640400000000001</v>
      </c>
      <c r="I230" s="185" t="s">
        <v>347</v>
      </c>
      <c r="J230" s="119">
        <v>1.2640400000000001</v>
      </c>
      <c r="K230" s="93">
        <v>2203</v>
      </c>
      <c r="L230" s="94">
        <v>2.2000000000000001E-3</v>
      </c>
      <c r="M230" s="94">
        <v>9.0499999999999997E-2</v>
      </c>
      <c r="N230" s="185" t="s">
        <v>347</v>
      </c>
      <c r="O230" s="97">
        <v>4112797397.75</v>
      </c>
      <c r="P230" s="92">
        <f t="shared" si="169"/>
        <v>3.0707535390753996E-2</v>
      </c>
      <c r="Q230" s="185" t="s">
        <v>347</v>
      </c>
      <c r="R230" s="119">
        <v>1.26644</v>
      </c>
      <c r="S230" s="185" t="s">
        <v>347</v>
      </c>
      <c r="T230" s="119">
        <v>1.26644</v>
      </c>
      <c r="U230" s="93">
        <v>2223</v>
      </c>
      <c r="V230" s="94">
        <v>1.9E-3</v>
      </c>
      <c r="W230" s="94">
        <v>9.2100000000000001E-2</v>
      </c>
      <c r="X230" s="200">
        <f t="shared" si="170"/>
        <v>2.103867474611212E-3</v>
      </c>
      <c r="Y230" s="200">
        <f t="shared" si="171"/>
        <v>1.8986740925919731E-3</v>
      </c>
      <c r="Z230" s="200">
        <f t="shared" si="172"/>
        <v>9.0785292782569228E-3</v>
      </c>
      <c r="AA230" s="200">
        <f t="shared" si="173"/>
        <v>-3.0000000000000014E-4</v>
      </c>
      <c r="AB230" s="201">
        <f t="shared" si="174"/>
        <v>1.6000000000000042E-3</v>
      </c>
    </row>
    <row r="231" spans="1:32" ht="6" customHeight="1">
      <c r="A231" s="101"/>
      <c r="B231" s="210"/>
      <c r="C231" s="210"/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</row>
    <row r="232" spans="1:32">
      <c r="A232" s="211" t="s">
        <v>263</v>
      </c>
      <c r="B232" s="211"/>
      <c r="C232" s="211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  <c r="AB232" s="211"/>
    </row>
    <row r="233" spans="1:32">
      <c r="A233" s="175">
        <v>199</v>
      </c>
      <c r="B233" s="85" t="s">
        <v>264</v>
      </c>
      <c r="C233" s="86" t="s">
        <v>19</v>
      </c>
      <c r="D233" s="184" t="s">
        <v>347</v>
      </c>
      <c r="E233" s="136">
        <v>559482878.69000006</v>
      </c>
      <c r="F233" s="92">
        <f>(E233/$E$209)</f>
        <v>3.101220530144759E-2</v>
      </c>
      <c r="G233" s="204" t="s">
        <v>347</v>
      </c>
      <c r="H233" s="137">
        <v>116.5693</v>
      </c>
      <c r="I233" s="204" t="s">
        <v>347</v>
      </c>
      <c r="J233" s="137">
        <v>116.5693</v>
      </c>
      <c r="K233" s="89">
        <v>110</v>
      </c>
      <c r="L233" s="90">
        <v>3.5999999999999999E-3</v>
      </c>
      <c r="M233" s="90">
        <v>0.1115</v>
      </c>
      <c r="N233" s="185" t="s">
        <v>347</v>
      </c>
      <c r="O233" s="136">
        <v>556428720.67999995</v>
      </c>
      <c r="P233" s="116">
        <f>(O233/O234)</f>
        <v>3.4895066171118982E-2</v>
      </c>
      <c r="Q233" s="185" t="s">
        <v>347</v>
      </c>
      <c r="R233" s="137">
        <v>118.7752</v>
      </c>
      <c r="S233" s="185" t="s">
        <v>347</v>
      </c>
      <c r="T233" s="137">
        <v>118.7752</v>
      </c>
      <c r="U233" s="89">
        <v>110</v>
      </c>
      <c r="V233" s="90">
        <v>1.89E-2</v>
      </c>
      <c r="W233" s="90">
        <v>0.13250000000000001</v>
      </c>
      <c r="X233" s="200">
        <f>((O233-E233)/E233)</f>
        <v>-5.4588945012066523E-3</v>
      </c>
      <c r="Y233" s="200">
        <f t="shared" ref="Y233" si="181">((T233-J233)/J233)</f>
        <v>1.8923507304238765E-2</v>
      </c>
      <c r="Z233" s="200">
        <f t="shared" ref="Z233" si="182">((U233-K233)/K233)</f>
        <v>0</v>
      </c>
      <c r="AA233" s="200">
        <f t="shared" ref="AA233" si="183">V233-L233</f>
        <v>1.5300000000000001E-2</v>
      </c>
      <c r="AB233" s="201">
        <f t="shared" ref="AB233" si="184">W233-M233</f>
        <v>2.1000000000000005E-2</v>
      </c>
      <c r="AE233" s="182"/>
    </row>
    <row r="234" spans="1:32">
      <c r="A234" s="175">
        <v>200</v>
      </c>
      <c r="B234" s="85" t="s">
        <v>265</v>
      </c>
      <c r="C234" s="86" t="s">
        <v>23</v>
      </c>
      <c r="D234" s="184" t="s">
        <v>347</v>
      </c>
      <c r="E234" s="136">
        <v>14065245645.030001</v>
      </c>
      <c r="F234" s="92">
        <f>(E234/$E$209)</f>
        <v>0.77963830918345189</v>
      </c>
      <c r="G234" s="204" t="s">
        <v>347</v>
      </c>
      <c r="H234" s="137">
        <v>143.01079999999999</v>
      </c>
      <c r="I234" s="204" t="s">
        <v>347</v>
      </c>
      <c r="J234" s="137">
        <v>147.32259999999999</v>
      </c>
      <c r="K234" s="89">
        <v>6182</v>
      </c>
      <c r="L234" s="90">
        <v>2.9023367051437744E-2</v>
      </c>
      <c r="M234" s="90">
        <v>0.37334534010485404</v>
      </c>
      <c r="N234" s="185" t="s">
        <v>347</v>
      </c>
      <c r="O234" s="136">
        <v>15945770612.709999</v>
      </c>
      <c r="P234" s="116">
        <f>(O234/$O$209)</f>
        <v>0.81716434806768867</v>
      </c>
      <c r="Q234" s="185" t="s">
        <v>347</v>
      </c>
      <c r="R234" s="137">
        <v>153.37430000000001</v>
      </c>
      <c r="S234" s="185" t="s">
        <v>347</v>
      </c>
      <c r="T234" s="137">
        <v>157.99860000000001</v>
      </c>
      <c r="U234" s="89">
        <v>6456</v>
      </c>
      <c r="V234" s="90">
        <v>0.10480187510313921</v>
      </c>
      <c r="W234" s="90">
        <v>0.48182821707287582</v>
      </c>
      <c r="X234" s="200">
        <f>((O234-E234)/E234)</f>
        <v>0.13370011552869593</v>
      </c>
      <c r="Y234" s="200">
        <f t="shared" ref="Y234" si="185">((T234-J234)/J234)</f>
        <v>7.2466817718394985E-2</v>
      </c>
      <c r="Z234" s="200">
        <f t="shared" ref="Z234" si="186">((U234-K234)/K234)</f>
        <v>4.4322225816887738E-2</v>
      </c>
      <c r="AA234" s="200">
        <f t="shared" ref="AA234" si="187">V234-L234</f>
        <v>7.5778508051701471E-2</v>
      </c>
      <c r="AB234" s="201">
        <f t="shared" ref="AB234" si="188">W234-M234</f>
        <v>0.10848287696802178</v>
      </c>
      <c r="AD234" s="41"/>
      <c r="AE234" s="41"/>
      <c r="AF234" s="52"/>
    </row>
    <row r="235" spans="1:32">
      <c r="A235" s="175">
        <v>201</v>
      </c>
      <c r="B235" s="85" t="s">
        <v>266</v>
      </c>
      <c r="C235" s="86" t="s">
        <v>245</v>
      </c>
      <c r="D235" s="184" t="s">
        <v>347</v>
      </c>
      <c r="E235" s="97">
        <v>397582138.56</v>
      </c>
      <c r="F235" s="92">
        <f t="shared" ref="F235" si="189">(E235/$E$237)</f>
        <v>3.1567897788599463E-3</v>
      </c>
      <c r="G235" s="204" t="s">
        <v>347</v>
      </c>
      <c r="H235" s="96">
        <v>1638.27</v>
      </c>
      <c r="I235" s="204" t="s">
        <v>347</v>
      </c>
      <c r="J235" s="96">
        <v>1638.27</v>
      </c>
      <c r="K235" s="93">
        <v>146</v>
      </c>
      <c r="L235" s="94">
        <v>1.24E-2</v>
      </c>
      <c r="M235" s="94">
        <v>0.31269999999999998</v>
      </c>
      <c r="N235" s="185" t="s">
        <v>347</v>
      </c>
      <c r="O235" s="97">
        <v>429862754.29000002</v>
      </c>
      <c r="P235" s="92">
        <f t="shared" ref="P235" si="190">(O235/$O$237)</f>
        <v>3.2095006060226896E-3</v>
      </c>
      <c r="Q235" s="185" t="s">
        <v>347</v>
      </c>
      <c r="R235" s="96">
        <v>1771.26</v>
      </c>
      <c r="S235" s="185" t="s">
        <v>347</v>
      </c>
      <c r="T235" s="96">
        <v>1771.26</v>
      </c>
      <c r="U235" s="93">
        <v>146</v>
      </c>
      <c r="V235" s="94">
        <v>8.1199999999999994E-2</v>
      </c>
      <c r="W235" s="94">
        <v>0.41920000000000002</v>
      </c>
      <c r="X235" s="200">
        <f t="shared" ref="X235" si="191">((O235-E235)/E235)</f>
        <v>8.1192318766926896E-2</v>
      </c>
      <c r="Y235" s="200">
        <f t="shared" ref="Y235" si="192">((T235-J235)/J235)</f>
        <v>8.1177095350583248E-2</v>
      </c>
      <c r="Z235" s="200">
        <f t="shared" ref="Z235" si="193">((U235-K235)/K235)</f>
        <v>0</v>
      </c>
      <c r="AA235" s="200">
        <f t="shared" ref="AA235" si="194">V235-L235</f>
        <v>6.88E-2</v>
      </c>
      <c r="AB235" s="201">
        <f t="shared" ref="AB235" si="195">W235-M235</f>
        <v>0.10650000000000004</v>
      </c>
    </row>
    <row r="236" spans="1:32">
      <c r="A236" s="175">
        <v>202</v>
      </c>
      <c r="B236" s="85" t="s">
        <v>267</v>
      </c>
      <c r="C236" s="86" t="s">
        <v>268</v>
      </c>
      <c r="D236" s="184" t="s">
        <v>347</v>
      </c>
      <c r="E236" s="97">
        <v>191493281.61000001</v>
      </c>
      <c r="F236" s="92">
        <f t="shared" ref="F236" si="196">(E236/$E$237)</f>
        <v>1.5204506829613782E-3</v>
      </c>
      <c r="G236" s="204" t="s">
        <v>347</v>
      </c>
      <c r="H236" s="96">
        <v>125.44</v>
      </c>
      <c r="I236" s="204" t="s">
        <v>347</v>
      </c>
      <c r="J236" s="96">
        <v>128.02000000000001</v>
      </c>
      <c r="K236" s="93">
        <v>305</v>
      </c>
      <c r="L236" s="94">
        <v>4.1999999999999997E-3</v>
      </c>
      <c r="M236" s="94">
        <v>0.1502</v>
      </c>
      <c r="N236" s="185" t="s">
        <v>347</v>
      </c>
      <c r="O236" s="97">
        <v>198386654.09999999</v>
      </c>
      <c r="P236" s="92">
        <f t="shared" ref="P236" si="197">(O236/$O$237)</f>
        <v>1.4812218090688761E-3</v>
      </c>
      <c r="Q236" s="185" t="s">
        <v>347</v>
      </c>
      <c r="R236" s="96">
        <v>127.29</v>
      </c>
      <c r="S236" s="185" t="s">
        <v>347</v>
      </c>
      <c r="T236" s="96">
        <v>129.91</v>
      </c>
      <c r="U236" s="93">
        <v>310</v>
      </c>
      <c r="V236" s="94">
        <v>1.4800000000000001E-2</v>
      </c>
      <c r="W236" s="94">
        <v>0.16500000000000001</v>
      </c>
      <c r="X236" s="200">
        <f t="shared" ref="X236" si="198">((O236-E236)/E236)</f>
        <v>3.5997986101878987E-2</v>
      </c>
      <c r="Y236" s="200">
        <f t="shared" ref="Y236" si="199">((T236-J236)/J236)</f>
        <v>1.4763318231526216E-2</v>
      </c>
      <c r="Z236" s="200">
        <f t="shared" ref="Z236" si="200">((U236-K236)/K236)</f>
        <v>1.6393442622950821E-2</v>
      </c>
      <c r="AA236" s="200">
        <f t="shared" ref="AA236" si="201">V236-L236</f>
        <v>1.0600000000000002E-2</v>
      </c>
      <c r="AB236" s="201">
        <f t="shared" ref="AB236" si="202">W236-M236</f>
        <v>1.4800000000000008E-2</v>
      </c>
    </row>
    <row r="237" spans="1:32">
      <c r="A237" s="101"/>
      <c r="B237" s="102"/>
      <c r="C237" s="127" t="s">
        <v>52</v>
      </c>
      <c r="D237" s="184" t="s">
        <v>347</v>
      </c>
      <c r="E237" s="117">
        <f>SUM(E213:E236)</f>
        <v>125945079150.49832</v>
      </c>
      <c r="F237" s="105">
        <f>(E237/$E$238)</f>
        <v>1.4362679976838998E-2</v>
      </c>
      <c r="G237" s="204" t="s">
        <v>347</v>
      </c>
      <c r="H237" s="106"/>
      <c r="I237" s="204" t="s">
        <v>347</v>
      </c>
      <c r="J237" s="131"/>
      <c r="K237" s="139">
        <f>SUM(K213:K236)</f>
        <v>50778</v>
      </c>
      <c r="L237" s="132"/>
      <c r="M237" s="132"/>
      <c r="N237" s="185" t="s">
        <v>347</v>
      </c>
      <c r="O237" s="117">
        <f>SUM(O213:O236)</f>
        <v>133934467400.73964</v>
      </c>
      <c r="P237" s="105">
        <f>(O237/$O$238)</f>
        <v>1.5122413253587749E-2</v>
      </c>
      <c r="Q237" s="185" t="s">
        <v>347</v>
      </c>
      <c r="R237" s="106"/>
      <c r="S237" s="185" t="s">
        <v>347</v>
      </c>
      <c r="T237" s="131"/>
      <c r="U237" s="108">
        <f>SUM(U213:U236)</f>
        <v>51724</v>
      </c>
      <c r="V237" s="132"/>
      <c r="W237" s="132"/>
      <c r="X237" s="200">
        <f t="shared" si="170"/>
        <v>6.3435493503437176E-2</v>
      </c>
      <c r="Y237" s="200" t="e">
        <f t="shared" si="171"/>
        <v>#DIV/0!</v>
      </c>
      <c r="Z237" s="200">
        <f t="shared" si="172"/>
        <v>1.8630115404308954E-2</v>
      </c>
      <c r="AA237" s="200">
        <f t="shared" si="173"/>
        <v>0</v>
      </c>
      <c r="AB237" s="201">
        <f t="shared" si="174"/>
        <v>0</v>
      </c>
    </row>
    <row r="238" spans="1:32">
      <c r="A238" s="140"/>
      <c r="B238" s="140"/>
      <c r="C238" s="141" t="s">
        <v>269</v>
      </c>
      <c r="D238" s="141"/>
      <c r="E238" s="142">
        <f>SUM(E26,E76,E117,E161,E170,E203,E209,E237)</f>
        <v>8768912163579.1582</v>
      </c>
      <c r="F238" s="143"/>
      <c r="G238" s="143"/>
      <c r="H238" s="143"/>
      <c r="I238" s="143"/>
      <c r="J238" s="144"/>
      <c r="K238" s="142">
        <f>SUM(K26,K76,K117,K161,K170,K203,K209,K237)</f>
        <v>1313144</v>
      </c>
      <c r="L238" s="145"/>
      <c r="M238" s="145"/>
      <c r="N238" s="145"/>
      <c r="O238" s="142">
        <f>SUM(O26,O76,O117,O161,O170,O203,O209,O237)</f>
        <v>8856686109207.0781</v>
      </c>
      <c r="P238" s="143"/>
      <c r="Q238" s="143"/>
      <c r="R238" s="143"/>
      <c r="S238" s="143"/>
      <c r="T238" s="144"/>
      <c r="U238" s="142">
        <f>SUM(U26,U76,U117,U161,U170,U203,U209,U237)</f>
        <v>1327054</v>
      </c>
      <c r="V238" s="146"/>
      <c r="W238" s="142"/>
      <c r="X238" s="147">
        <f t="shared" si="170"/>
        <v>1.0009673262834203E-2</v>
      </c>
      <c r="Y238" s="147"/>
      <c r="Z238" s="147"/>
      <c r="AA238" s="147"/>
      <c r="AB238" s="147"/>
    </row>
    <row r="239" spans="1:32" ht="6.75" customHeight="1">
      <c r="A239" s="101"/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102"/>
    </row>
    <row r="240" spans="1:32" ht="14.4" customHeight="1">
      <c r="A240" s="208" t="s">
        <v>270</v>
      </c>
      <c r="B240" s="208"/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</row>
    <row r="241" spans="1:33" ht="14.4" customHeight="1">
      <c r="A241" s="175">
        <v>1</v>
      </c>
      <c r="B241" s="85" t="s">
        <v>271</v>
      </c>
      <c r="C241" s="86" t="s">
        <v>23</v>
      </c>
      <c r="D241" s="184" t="s">
        <v>347</v>
      </c>
      <c r="E241" s="97">
        <v>2207514553.6421342</v>
      </c>
      <c r="F241" s="92">
        <f t="shared" ref="F241:F244" si="203">(E241/$E$237)</f>
        <v>1.7527596699544411E-2</v>
      </c>
      <c r="G241" s="206" t="s">
        <v>347</v>
      </c>
      <c r="H241" s="96">
        <v>1430.7038473199998</v>
      </c>
      <c r="I241" s="206" t="s">
        <v>347</v>
      </c>
      <c r="J241" s="96">
        <v>1430.7038473199998</v>
      </c>
      <c r="K241" s="93">
        <v>57</v>
      </c>
      <c r="L241" s="94">
        <v>5.45E-2</v>
      </c>
      <c r="M241" s="94">
        <v>5.1299999999999998E-2</v>
      </c>
      <c r="N241" s="186" t="s">
        <v>347</v>
      </c>
      <c r="O241" s="97">
        <f>1736173.24*FX_RATE</f>
        <v>2387139416.7426438</v>
      </c>
      <c r="P241" s="92">
        <f t="shared" ref="P241:P246" si="204">(O241/$O$247)</f>
        <v>7.4832610350946654E-2</v>
      </c>
      <c r="Q241" s="186" t="s">
        <v>347</v>
      </c>
      <c r="R241" s="96">
        <f>1.0539*FX_RATE</f>
        <v>1449.05253309</v>
      </c>
      <c r="S241" s="186" t="s">
        <v>347</v>
      </c>
      <c r="T241" s="96">
        <f>1.0539*FX_RATE</f>
        <v>1449.05253309</v>
      </c>
      <c r="U241" s="93">
        <v>58</v>
      </c>
      <c r="V241" s="94">
        <v>3.4700000000000002E-2</v>
      </c>
      <c r="W241" s="94">
        <v>5.0299999999999997E-2</v>
      </c>
      <c r="X241" s="200">
        <f t="shared" ref="X241" si="205">((O241-E241)/E241)</f>
        <v>8.1369729954509321E-2</v>
      </c>
      <c r="Y241" s="200">
        <f t="shared" ref="Y241" si="206">((T241-J241)/J241)</f>
        <v>1.2824936344702668E-2</v>
      </c>
      <c r="Z241" s="200">
        <f t="shared" ref="Z241" si="207">((U241-K241)/K241)</f>
        <v>1.7543859649122806E-2</v>
      </c>
      <c r="AA241" s="200">
        <f t="shared" ref="AA241" si="208">V241-L241</f>
        <v>-1.9799999999999998E-2</v>
      </c>
      <c r="AB241" s="201">
        <f t="shared" ref="AB241" si="209">W241-M241</f>
        <v>-1.0000000000000009E-3</v>
      </c>
    </row>
    <row r="242" spans="1:33" ht="14.4" customHeight="1">
      <c r="A242" s="175">
        <v>2</v>
      </c>
      <c r="B242" s="85" t="s">
        <v>272</v>
      </c>
      <c r="C242" s="86" t="s">
        <v>202</v>
      </c>
      <c r="D242" s="184" t="s">
        <v>347</v>
      </c>
      <c r="E242" s="97">
        <v>15531664750.790001</v>
      </c>
      <c r="F242" s="92">
        <f t="shared" ref="F242" si="210">(E242/$E$237)</f>
        <v>0.12332093366053951</v>
      </c>
      <c r="G242" s="206" t="s">
        <v>347</v>
      </c>
      <c r="H242" s="96">
        <v>123.2</v>
      </c>
      <c r="I242" s="206" t="s">
        <v>347</v>
      </c>
      <c r="J242" s="96">
        <v>123.2</v>
      </c>
      <c r="K242" s="93">
        <v>9</v>
      </c>
      <c r="L242" s="94">
        <v>4.3E-3</v>
      </c>
      <c r="M242" s="94">
        <v>2.7757999999999998</v>
      </c>
      <c r="N242" s="186" t="s">
        <v>347</v>
      </c>
      <c r="O242" s="97">
        <v>15612138455.34</v>
      </c>
      <c r="P242" s="92">
        <f t="shared" si="204"/>
        <v>0.48941300435970381</v>
      </c>
      <c r="Q242" s="186" t="s">
        <v>347</v>
      </c>
      <c r="R242" s="96">
        <v>123.2</v>
      </c>
      <c r="S242" s="186" t="s">
        <v>347</v>
      </c>
      <c r="T242" s="96">
        <v>123.2</v>
      </c>
      <c r="U242" s="93">
        <v>11</v>
      </c>
      <c r="V242" s="94">
        <v>5.1999999999999998E-3</v>
      </c>
      <c r="W242" s="94">
        <v>2.7953999999999999</v>
      </c>
      <c r="X242" s="200">
        <f t="shared" ref="X242" si="211">((O242-E242)/E242)</f>
        <v>5.1812671623565681E-3</v>
      </c>
      <c r="Y242" s="200">
        <f t="shared" ref="Y242" si="212">((T242-J242)/J242)</f>
        <v>0</v>
      </c>
      <c r="Z242" s="200">
        <f t="shared" ref="Z242" si="213">((U242-K242)/K242)</f>
        <v>0.22222222222222221</v>
      </c>
      <c r="AA242" s="200">
        <f t="shared" ref="AA242" si="214">V242-L242</f>
        <v>8.9999999999999976E-4</v>
      </c>
      <c r="AB242" s="201">
        <f t="shared" ref="AB242" si="215">W242-M242</f>
        <v>1.9600000000000062E-2</v>
      </c>
      <c r="AD242" s="50"/>
      <c r="AE242" s="34"/>
      <c r="AG242" s="50"/>
    </row>
    <row r="243" spans="1:33" ht="14.4" customHeight="1">
      <c r="A243" s="175">
        <v>3</v>
      </c>
      <c r="B243" s="85" t="s">
        <v>344</v>
      </c>
      <c r="C243" s="86" t="s">
        <v>79</v>
      </c>
      <c r="D243" s="184" t="s">
        <v>347</v>
      </c>
      <c r="E243" s="97">
        <f>917670.61*1358.86</f>
        <v>1246985885.1046</v>
      </c>
      <c r="F243" s="92">
        <f>(E243/$E$237)</f>
        <v>9.9010290319839472E-3</v>
      </c>
      <c r="G243" s="206" t="s">
        <v>347</v>
      </c>
      <c r="H243" s="96">
        <v>152926.10440000001</v>
      </c>
      <c r="I243" s="206" t="s">
        <v>347</v>
      </c>
      <c r="J243" s="96">
        <v>152926.10440000001</v>
      </c>
      <c r="K243" s="93">
        <v>18</v>
      </c>
      <c r="L243" s="94">
        <v>-4.0000000000000002E-4</v>
      </c>
      <c r="M243" s="94">
        <v>6.7000000000000002E-3</v>
      </c>
      <c r="N243" s="188">
        <v>917352.09</v>
      </c>
      <c r="O243" s="97">
        <f>917352.09*1378</f>
        <v>1264111180.02</v>
      </c>
      <c r="P243" s="92">
        <f t="shared" si="204"/>
        <v>3.9627655892756124E-2</v>
      </c>
      <c r="Q243" s="96">
        <v>112.5</v>
      </c>
      <c r="R243" s="96">
        <f>112.5*1378</f>
        <v>155025</v>
      </c>
      <c r="S243" s="96">
        <v>112.5</v>
      </c>
      <c r="T243" s="96">
        <f>112.5*1378</f>
        <v>155025</v>
      </c>
      <c r="U243" s="93">
        <v>18</v>
      </c>
      <c r="V243" s="94">
        <v>-4.0000000000000002E-4</v>
      </c>
      <c r="W243" s="94">
        <v>6.4000000000000003E-3</v>
      </c>
      <c r="X243" s="200">
        <f t="shared" ref="X243:X244" si="216">((O243-E243)/E243)</f>
        <v>1.3733351050692543E-2</v>
      </c>
      <c r="Y243" s="200">
        <f t="shared" ref="Y243:Y244" si="217">((T243-J243)/J243)</f>
        <v>1.3724900717473509E-2</v>
      </c>
      <c r="Z243" s="200">
        <f t="shared" ref="Z243:Z244" si="218">((U243-K243)/K243)</f>
        <v>0</v>
      </c>
      <c r="AA243" s="200">
        <f t="shared" ref="AA243:AA244" si="219">V243-L243</f>
        <v>0</v>
      </c>
      <c r="AB243" s="201">
        <f t="shared" ref="AB243:AB244" si="220">W243-M243</f>
        <v>-2.9999999999999992E-4</v>
      </c>
      <c r="AD243" s="41"/>
    </row>
    <row r="244" spans="1:33" ht="14.4" customHeight="1">
      <c r="A244" s="175">
        <v>4</v>
      </c>
      <c r="B244" s="85" t="s">
        <v>273</v>
      </c>
      <c r="C244" s="86" t="s">
        <v>38</v>
      </c>
      <c r="D244" s="184" t="s">
        <v>347</v>
      </c>
      <c r="E244" s="97">
        <v>12338040145.1</v>
      </c>
      <c r="F244" s="92">
        <f t="shared" si="203"/>
        <v>9.7963653906292247E-2</v>
      </c>
      <c r="G244" s="206" t="s">
        <v>347</v>
      </c>
      <c r="H244" s="96">
        <v>1.18</v>
      </c>
      <c r="I244" s="206" t="s">
        <v>347</v>
      </c>
      <c r="J244" s="96">
        <v>1.18</v>
      </c>
      <c r="K244" s="93">
        <v>16</v>
      </c>
      <c r="L244" s="94">
        <v>3.1899999999999998E-2</v>
      </c>
      <c r="M244" s="94">
        <v>-0.2399</v>
      </c>
      <c r="N244" s="186" t="s">
        <v>347</v>
      </c>
      <c r="O244" s="97">
        <v>11730822625.459999</v>
      </c>
      <c r="P244" s="92">
        <f t="shared" si="204"/>
        <v>0.36774059883983617</v>
      </c>
      <c r="Q244" s="186" t="s">
        <v>347</v>
      </c>
      <c r="R244" s="96">
        <v>1.39</v>
      </c>
      <c r="S244" s="186" t="s">
        <v>347</v>
      </c>
      <c r="T244" s="96">
        <v>1.39</v>
      </c>
      <c r="U244" s="93">
        <v>16</v>
      </c>
      <c r="V244" s="94">
        <v>-4.02E-2</v>
      </c>
      <c r="W244" s="94">
        <v>0.2482</v>
      </c>
      <c r="X244" s="200">
        <f t="shared" si="216"/>
        <v>-4.9215070829636998E-2</v>
      </c>
      <c r="Y244" s="200">
        <f t="shared" si="217"/>
        <v>0.17796610169491522</v>
      </c>
      <c r="Z244" s="200">
        <f t="shared" si="218"/>
        <v>0</v>
      </c>
      <c r="AA244" s="200">
        <f t="shared" si="219"/>
        <v>-7.2099999999999997E-2</v>
      </c>
      <c r="AB244" s="201">
        <f t="shared" si="220"/>
        <v>0.48809999999999998</v>
      </c>
    </row>
    <row r="245" spans="1:33" ht="14.4" customHeight="1">
      <c r="A245" s="175">
        <v>5</v>
      </c>
      <c r="B245" s="85" t="s">
        <v>274</v>
      </c>
      <c r="C245" s="86" t="s">
        <v>49</v>
      </c>
      <c r="D245" s="184" t="s">
        <v>347</v>
      </c>
      <c r="E245" s="97">
        <v>308764590.92000002</v>
      </c>
      <c r="F245" s="92">
        <f t="shared" ref="F245" si="221">(E245/$E$237)</f>
        <v>2.4515812209784009E-3</v>
      </c>
      <c r="G245" s="206" t="s">
        <v>347</v>
      </c>
      <c r="H245" s="96">
        <v>1.5045299999999999</v>
      </c>
      <c r="I245" s="206" t="s">
        <v>347</v>
      </c>
      <c r="J245" s="96">
        <v>1.5045299999999999</v>
      </c>
      <c r="K245" s="93">
        <v>28</v>
      </c>
      <c r="L245" s="94">
        <v>5.1799999999999999E-2</v>
      </c>
      <c r="M245" s="94">
        <v>0.34920000000000001</v>
      </c>
      <c r="N245" s="186" t="s">
        <v>347</v>
      </c>
      <c r="O245" s="97">
        <v>368782246.13</v>
      </c>
      <c r="P245" s="92">
        <f t="shared" si="204"/>
        <v>1.1560672969260598E-2</v>
      </c>
      <c r="Q245" s="186" t="s">
        <v>347</v>
      </c>
      <c r="R245" s="96">
        <v>1.52986</v>
      </c>
      <c r="S245" s="186" t="s">
        <v>347</v>
      </c>
      <c r="T245" s="96">
        <v>1.52986</v>
      </c>
      <c r="U245" s="93">
        <v>28</v>
      </c>
      <c r="V245" s="94">
        <v>1.66E-2</v>
      </c>
      <c r="W245" s="94">
        <v>0.37190000000000001</v>
      </c>
      <c r="X245" s="200">
        <f t="shared" ref="X245:X247" si="222">((O245-E245)/E245)</f>
        <v>0.19437998065506926</v>
      </c>
      <c r="Y245" s="200">
        <f t="shared" ref="Y245" si="223">((T245-J245)/J245)</f>
        <v>1.6835822482768756E-2</v>
      </c>
      <c r="Z245" s="200">
        <f t="shared" ref="Z245" si="224">((U245-K245)/K245)</f>
        <v>0</v>
      </c>
      <c r="AA245" s="200">
        <f t="shared" ref="AA245" si="225">V245-L245</f>
        <v>-3.5199999999999995E-2</v>
      </c>
      <c r="AB245" s="201">
        <f t="shared" ref="AB245" si="226">W245-M245</f>
        <v>2.2699999999999998E-2</v>
      </c>
      <c r="AD245" s="31"/>
    </row>
    <row r="246" spans="1:33" ht="14.4" customHeight="1">
      <c r="A246" s="175">
        <v>6</v>
      </c>
      <c r="B246" s="85" t="s">
        <v>332</v>
      </c>
      <c r="C246" s="86" t="s">
        <v>115</v>
      </c>
      <c r="D246" s="184" t="s">
        <v>347</v>
      </c>
      <c r="E246" s="97">
        <v>0</v>
      </c>
      <c r="F246" s="92">
        <v>0</v>
      </c>
      <c r="G246" s="206" t="s">
        <v>347</v>
      </c>
      <c r="H246" s="96">
        <v>0</v>
      </c>
      <c r="I246" s="206" t="s">
        <v>347</v>
      </c>
      <c r="J246" s="96">
        <v>0</v>
      </c>
      <c r="K246" s="93">
        <v>0</v>
      </c>
      <c r="L246" s="94">
        <v>0</v>
      </c>
      <c r="M246" s="94">
        <v>0</v>
      </c>
      <c r="N246" s="186" t="s">
        <v>347</v>
      </c>
      <c r="O246" s="97">
        <f>390363.36*AC140</f>
        <v>536727408.32481599</v>
      </c>
      <c r="P246" s="92">
        <f t="shared" si="204"/>
        <v>1.6825457587496463E-2</v>
      </c>
      <c r="Q246" s="186" t="s">
        <v>347</v>
      </c>
      <c r="R246" s="96">
        <f>9.88*AC140</f>
        <v>13584.437828</v>
      </c>
      <c r="S246" s="186" t="s">
        <v>347</v>
      </c>
      <c r="T246" s="96">
        <f>9.88*AC140</f>
        <v>13584.437828</v>
      </c>
      <c r="U246" s="93">
        <v>12</v>
      </c>
      <c r="V246" s="94">
        <v>6.7000000000000002E-3</v>
      </c>
      <c r="W246" s="94">
        <v>-1.1900000000000001E-2</v>
      </c>
      <c r="X246" s="200" t="e">
        <f t="shared" ref="X246" si="227">((O246-E246)/E246)</f>
        <v>#DIV/0!</v>
      </c>
      <c r="Y246" s="200" t="e">
        <f t="shared" ref="Y246" si="228">((T246-J246)/J246)</f>
        <v>#DIV/0!</v>
      </c>
      <c r="Z246" s="200" t="e">
        <f t="shared" ref="Z246" si="229">((U246-K246)/K246)</f>
        <v>#DIV/0!</v>
      </c>
      <c r="AA246" s="200">
        <f t="shared" ref="AA246" si="230">V246-L246</f>
        <v>6.7000000000000002E-3</v>
      </c>
      <c r="AB246" s="201">
        <f t="shared" ref="AB246" si="231">W246-M246</f>
        <v>-1.1900000000000001E-2</v>
      </c>
    </row>
    <row r="247" spans="1:33" ht="14.4" customHeight="1">
      <c r="A247" s="148"/>
      <c r="B247" s="148"/>
      <c r="C247" s="148" t="s">
        <v>52</v>
      </c>
      <c r="D247" s="148"/>
      <c r="E247" s="148">
        <f>SUM(E241:E246)</f>
        <v>31632969925.556732</v>
      </c>
      <c r="F247" s="148"/>
      <c r="G247" s="148"/>
      <c r="H247" s="148"/>
      <c r="I247" s="148"/>
      <c r="J247" s="148"/>
      <c r="K247" s="148">
        <f>SUM(K241:K246)</f>
        <v>128</v>
      </c>
      <c r="L247" s="148"/>
      <c r="M247" s="148"/>
      <c r="N247" s="148"/>
      <c r="O247" s="148">
        <f>SUM(O241:O246)</f>
        <v>31899721332.017464</v>
      </c>
      <c r="P247" s="148"/>
      <c r="Q247" s="148"/>
      <c r="R247" s="148"/>
      <c r="S247" s="148"/>
      <c r="T247" s="148"/>
      <c r="U247" s="148">
        <f>SUM(U241:U246)</f>
        <v>143</v>
      </c>
      <c r="V247" s="148"/>
      <c r="W247" s="148"/>
      <c r="X247" s="147">
        <f t="shared" si="222"/>
        <v>8.4327019274032574E-3</v>
      </c>
      <c r="Y247" s="148"/>
      <c r="Z247" s="148"/>
      <c r="AA247" s="148"/>
      <c r="AB247" s="148"/>
    </row>
    <row r="248" spans="1:33" ht="6" customHeight="1">
      <c r="A248" s="101"/>
      <c r="B248" s="149"/>
      <c r="C248" s="127"/>
      <c r="D248" s="127"/>
      <c r="E248" s="149"/>
      <c r="F248" s="149"/>
      <c r="G248" s="184"/>
      <c r="H248" s="149"/>
      <c r="I248" s="184"/>
      <c r="J248" s="149"/>
      <c r="K248" s="149"/>
      <c r="L248" s="149"/>
      <c r="M248" s="149"/>
      <c r="N248" s="184"/>
      <c r="O248" s="149"/>
      <c r="P248" s="149"/>
      <c r="Q248" s="184"/>
      <c r="R248" s="149"/>
      <c r="S248" s="184"/>
      <c r="T248" s="149"/>
      <c r="U248" s="149"/>
      <c r="V248" s="149"/>
      <c r="W248" s="149"/>
      <c r="X248" s="149"/>
      <c r="Y248" s="149"/>
      <c r="Z248" s="149"/>
      <c r="AA248" s="149"/>
      <c r="AB248" s="102"/>
    </row>
    <row r="249" spans="1:33" ht="15.6">
      <c r="A249" s="208" t="s">
        <v>275</v>
      </c>
      <c r="B249" s="208"/>
      <c r="C249" s="208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</row>
    <row r="250" spans="1:33">
      <c r="A250" s="175">
        <v>1</v>
      </c>
      <c r="B250" s="85" t="s">
        <v>276</v>
      </c>
      <c r="C250" s="86" t="s">
        <v>277</v>
      </c>
      <c r="D250" s="184" t="s">
        <v>347</v>
      </c>
      <c r="E250" s="97">
        <v>130535438849</v>
      </c>
      <c r="F250" s="92">
        <f>(E250/$E$252)</f>
        <v>0.91049516077788983</v>
      </c>
      <c r="G250" s="206" t="s">
        <v>347</v>
      </c>
      <c r="H250" s="119">
        <v>108.35</v>
      </c>
      <c r="I250" s="206" t="s">
        <v>347</v>
      </c>
      <c r="J250" s="119">
        <v>108.35</v>
      </c>
      <c r="K250" s="93">
        <v>0</v>
      </c>
      <c r="L250" s="94" t="s">
        <v>308</v>
      </c>
      <c r="M250" s="94">
        <v>0.1363</v>
      </c>
      <c r="N250" s="186" t="s">
        <v>347</v>
      </c>
      <c r="O250" s="97">
        <v>130535438849</v>
      </c>
      <c r="P250" s="92">
        <f>(O250/$O$252)</f>
        <v>0.91021667159489039</v>
      </c>
      <c r="Q250" s="186" t="s">
        <v>347</v>
      </c>
      <c r="R250" s="115" t="s">
        <v>308</v>
      </c>
      <c r="S250" s="186" t="s">
        <v>347</v>
      </c>
      <c r="T250" s="207" t="s">
        <v>308</v>
      </c>
      <c r="U250" s="93">
        <v>0</v>
      </c>
      <c r="V250" s="94" t="s">
        <v>308</v>
      </c>
      <c r="W250" s="94">
        <v>0.18440000000000001</v>
      </c>
      <c r="X250" s="200">
        <f>((O250-E250)/E250)</f>
        <v>0</v>
      </c>
      <c r="Y250" s="200" t="e">
        <f>((T250-J250)/J250)</f>
        <v>#VALUE!</v>
      </c>
      <c r="Z250" s="200" t="e">
        <f>((U250-K250)/K250)</f>
        <v>#DIV/0!</v>
      </c>
      <c r="AA250" s="200" t="e">
        <f>V250-L250</f>
        <v>#VALUE!</v>
      </c>
      <c r="AB250" s="201">
        <f>W250-M250</f>
        <v>4.8100000000000004E-2</v>
      </c>
    </row>
    <row r="251" spans="1:33" ht="14.4" customHeight="1">
      <c r="A251" s="175">
        <v>2</v>
      </c>
      <c r="B251" s="85" t="s">
        <v>278</v>
      </c>
      <c r="C251" s="86" t="s">
        <v>49</v>
      </c>
      <c r="D251" s="184" t="s">
        <v>347</v>
      </c>
      <c r="E251" s="97">
        <v>12832087385.27</v>
      </c>
      <c r="F251" s="92">
        <f>(E251/$E$252)</f>
        <v>8.9504839222110194E-2</v>
      </c>
      <c r="G251" s="206" t="s">
        <v>347</v>
      </c>
      <c r="H251" s="150">
        <v>1000000</v>
      </c>
      <c r="I251" s="206" t="s">
        <v>347</v>
      </c>
      <c r="J251" s="150">
        <v>1000000</v>
      </c>
      <c r="K251" s="93">
        <v>26</v>
      </c>
      <c r="L251" s="94">
        <v>0.17599999999999999</v>
      </c>
      <c r="M251" s="94">
        <v>0.17599999999999999</v>
      </c>
      <c r="N251" s="186" t="s">
        <v>347</v>
      </c>
      <c r="O251" s="97">
        <v>12875952001.790001</v>
      </c>
      <c r="P251" s="92">
        <f>(O251/$O$252)</f>
        <v>8.9783328405109539E-2</v>
      </c>
      <c r="Q251" s="186" t="s">
        <v>347</v>
      </c>
      <c r="R251" s="150">
        <v>1000000</v>
      </c>
      <c r="S251" s="186" t="s">
        <v>347</v>
      </c>
      <c r="T251" s="150">
        <v>1000000</v>
      </c>
      <c r="U251" s="93">
        <v>26</v>
      </c>
      <c r="V251" s="94">
        <v>1.8E-3</v>
      </c>
      <c r="W251" s="94">
        <v>0.17649999999999999</v>
      </c>
      <c r="X251" s="200">
        <f>((O251-E251)/E251)</f>
        <v>3.4183539437514124E-3</v>
      </c>
      <c r="Y251" s="200">
        <f>((T251-J251)/J251)</f>
        <v>0</v>
      </c>
      <c r="Z251" s="200">
        <f>((U251-K251)/K251)</f>
        <v>0</v>
      </c>
      <c r="AA251" s="200">
        <f>V251-L251</f>
        <v>-0.17419999999999999</v>
      </c>
      <c r="AB251" s="201">
        <f>W251-M251</f>
        <v>5.0000000000000044E-4</v>
      </c>
    </row>
    <row r="252" spans="1:33" ht="15" customHeight="1">
      <c r="A252" s="140"/>
      <c r="B252" s="140"/>
      <c r="C252" s="141" t="s">
        <v>279</v>
      </c>
      <c r="D252" s="141"/>
      <c r="E252" s="148">
        <f>SUM(E250:E251)</f>
        <v>143367526234.26999</v>
      </c>
      <c r="F252" s="151"/>
      <c r="G252" s="151"/>
      <c r="H252" s="152"/>
      <c r="I252" s="152"/>
      <c r="J252" s="152"/>
      <c r="K252" s="148">
        <f>SUM(K250:K251)</f>
        <v>26</v>
      </c>
      <c r="L252" s="153"/>
      <c r="M252" s="153"/>
      <c r="N252" s="153"/>
      <c r="O252" s="148">
        <f>SUM(O250:O251)</f>
        <v>143411390850.79001</v>
      </c>
      <c r="P252" s="151"/>
      <c r="Q252" s="151"/>
      <c r="R252" s="152"/>
      <c r="S252" s="152"/>
      <c r="T252" s="152"/>
      <c r="U252" s="148">
        <f>SUM(U250:U251)</f>
        <v>26</v>
      </c>
      <c r="V252" s="153"/>
      <c r="W252" s="148"/>
      <c r="X252" s="147">
        <f>((O252-E252)/E252)</f>
        <v>3.0595922013986951E-4</v>
      </c>
      <c r="Y252" s="154"/>
      <c r="Z252" s="154"/>
      <c r="AA252" s="147"/>
      <c r="AB252" s="155"/>
    </row>
    <row r="253" spans="1:33" ht="4.5" customHeight="1">
      <c r="A253" s="101"/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</row>
    <row r="254" spans="1:33" ht="15.6">
      <c r="A254" s="208" t="s">
        <v>280</v>
      </c>
      <c r="B254" s="208"/>
      <c r="C254" s="208"/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</row>
    <row r="255" spans="1:33">
      <c r="A255" s="175">
        <v>1</v>
      </c>
      <c r="B255" s="85" t="s">
        <v>281</v>
      </c>
      <c r="C255" s="86" t="s">
        <v>89</v>
      </c>
      <c r="D255" s="184" t="s">
        <v>347</v>
      </c>
      <c r="E255" s="156">
        <v>2087058922.26</v>
      </c>
      <c r="F255" s="157">
        <f t="shared" ref="F255:F266" si="232">(E255/$E$267)</f>
        <v>7.2203506868829939E-2</v>
      </c>
      <c r="G255" s="206" t="s">
        <v>347</v>
      </c>
      <c r="H255" s="150">
        <v>509.95705736999997</v>
      </c>
      <c r="I255" s="206" t="s">
        <v>347</v>
      </c>
      <c r="J255" s="150">
        <v>509.95705736999997</v>
      </c>
      <c r="K255" s="158">
        <v>266</v>
      </c>
      <c r="L255" s="109">
        <v>3.78E-2</v>
      </c>
      <c r="M255" s="109">
        <v>0.44496502711662683</v>
      </c>
      <c r="N255" s="186" t="s">
        <v>347</v>
      </c>
      <c r="O255" s="156">
        <v>2249661372.5</v>
      </c>
      <c r="P255" s="157">
        <f t="shared" ref="P255:P266" si="233">(O255/$O$267)</f>
        <v>7.3444130132632415E-2</v>
      </c>
      <c r="Q255" s="186" t="s">
        <v>347</v>
      </c>
      <c r="R255" s="150">
        <v>549.56846015999997</v>
      </c>
      <c r="S255" s="186" t="s">
        <v>347</v>
      </c>
      <c r="T255" s="150">
        <v>549.56846015999997</v>
      </c>
      <c r="U255" s="158">
        <v>2256</v>
      </c>
      <c r="V255" s="109">
        <v>7.7700000000000005E-2</v>
      </c>
      <c r="W255" s="109">
        <v>0.55914792374035382</v>
      </c>
      <c r="X255" s="200">
        <f>((O255-E255)/E255)</f>
        <v>7.7909851277185665E-2</v>
      </c>
      <c r="Y255" s="200">
        <f>((T255-J255)/J255)</f>
        <v>7.7675957646880636E-2</v>
      </c>
      <c r="Z255" s="200">
        <f>((U255-K255)/K255)</f>
        <v>7.481203007518797</v>
      </c>
      <c r="AA255" s="200">
        <f>V255-L255</f>
        <v>3.9900000000000005E-2</v>
      </c>
      <c r="AB255" s="201">
        <f>W255-M255</f>
        <v>0.11418289662372699</v>
      </c>
      <c r="AD255" s="41"/>
      <c r="AF255" s="30"/>
    </row>
    <row r="256" spans="1:33">
      <c r="A256" s="175">
        <v>2</v>
      </c>
      <c r="B256" s="85" t="s">
        <v>282</v>
      </c>
      <c r="C256" s="86" t="s">
        <v>245</v>
      </c>
      <c r="D256" s="184" t="s">
        <v>347</v>
      </c>
      <c r="E256" s="156">
        <v>3429596765.6399999</v>
      </c>
      <c r="F256" s="157">
        <f t="shared" si="232"/>
        <v>0.11864969933721677</v>
      </c>
      <c r="G256" s="206" t="s">
        <v>347</v>
      </c>
      <c r="H256" s="150">
        <v>97.55</v>
      </c>
      <c r="I256" s="206" t="s">
        <v>347</v>
      </c>
      <c r="J256" s="150">
        <v>107.82</v>
      </c>
      <c r="K256" s="158">
        <v>1805</v>
      </c>
      <c r="L256" s="109">
        <v>5.8900000000000001E-2</v>
      </c>
      <c r="M256" s="109">
        <v>0.66359999999999997</v>
      </c>
      <c r="N256" s="186" t="s">
        <v>347</v>
      </c>
      <c r="O256" s="156">
        <v>3883482402.8099999</v>
      </c>
      <c r="P256" s="157">
        <f t="shared" si="233"/>
        <v>0.12678307519802767</v>
      </c>
      <c r="Q256" s="186" t="s">
        <v>347</v>
      </c>
      <c r="R256" s="150">
        <v>110.46</v>
      </c>
      <c r="S256" s="186" t="s">
        <v>347</v>
      </c>
      <c r="T256" s="150">
        <v>122.09</v>
      </c>
      <c r="U256" s="158">
        <v>1805</v>
      </c>
      <c r="V256" s="109">
        <v>0.1323</v>
      </c>
      <c r="W256" s="109">
        <v>0.88380000000000003</v>
      </c>
      <c r="X256" s="200">
        <f t="shared" ref="X256:X267" si="234">((O256-E256)/E256)</f>
        <v>0.1323437325686013</v>
      </c>
      <c r="Y256" s="200">
        <f t="shared" ref="Y256:Y267" si="235">((T256-J256)/J256)</f>
        <v>0.13235021331849389</v>
      </c>
      <c r="Z256" s="200">
        <f t="shared" ref="Z256:Z267" si="236">((U256-K256)/K256)</f>
        <v>0</v>
      </c>
      <c r="AA256" s="200">
        <f t="shared" ref="AA256:AA267" si="237">V256-L256</f>
        <v>7.3399999999999993E-2</v>
      </c>
      <c r="AB256" s="201">
        <f t="shared" ref="AB256:AB267" si="238">W256-M256</f>
        <v>0.22020000000000006</v>
      </c>
      <c r="AD256" s="41"/>
    </row>
    <row r="257" spans="1:32">
      <c r="A257" s="175">
        <v>3</v>
      </c>
      <c r="B257" s="85" t="s">
        <v>283</v>
      </c>
      <c r="C257" s="86" t="s">
        <v>40</v>
      </c>
      <c r="D257" s="184" t="s">
        <v>347</v>
      </c>
      <c r="E257" s="156">
        <v>775311258.38</v>
      </c>
      <c r="F257" s="157">
        <f t="shared" si="232"/>
        <v>2.6822525791127452E-2</v>
      </c>
      <c r="G257" s="206" t="s">
        <v>347</v>
      </c>
      <c r="H257" s="150">
        <v>64.595941999999994</v>
      </c>
      <c r="I257" s="206" t="s">
        <v>347</v>
      </c>
      <c r="J257" s="150">
        <v>64.843078000000006</v>
      </c>
      <c r="K257" s="158">
        <v>871</v>
      </c>
      <c r="L257" s="109">
        <v>3.9899999999999998E-2</v>
      </c>
      <c r="M257" s="109">
        <v>0.59770000000000001</v>
      </c>
      <c r="N257" s="186" t="s">
        <v>347</v>
      </c>
      <c r="O257" s="156">
        <v>809910776.79999995</v>
      </c>
      <c r="P257" s="157">
        <f t="shared" si="233"/>
        <v>2.6440953831650769E-2</v>
      </c>
      <c r="Q257" s="186" t="s">
        <v>347</v>
      </c>
      <c r="R257" s="150">
        <v>67.48</v>
      </c>
      <c r="S257" s="186" t="s">
        <v>347</v>
      </c>
      <c r="T257" s="150">
        <v>67.739999999999995</v>
      </c>
      <c r="U257" s="158">
        <v>871</v>
      </c>
      <c r="V257" s="109">
        <v>4.4600000000000001E-2</v>
      </c>
      <c r="W257" s="109">
        <v>0.66900000000000004</v>
      </c>
      <c r="X257" s="200">
        <f t="shared" si="234"/>
        <v>4.4626616789101035E-2</v>
      </c>
      <c r="Y257" s="200">
        <f t="shared" si="235"/>
        <v>4.4675886607356746E-2</v>
      </c>
      <c r="Z257" s="200">
        <f t="shared" si="236"/>
        <v>0</v>
      </c>
      <c r="AA257" s="200">
        <f t="shared" si="237"/>
        <v>4.7000000000000028E-3</v>
      </c>
      <c r="AB257" s="201">
        <f t="shared" si="238"/>
        <v>7.130000000000003E-2</v>
      </c>
    </row>
    <row r="258" spans="1:32">
      <c r="A258" s="175">
        <v>4</v>
      </c>
      <c r="B258" s="85" t="s">
        <v>284</v>
      </c>
      <c r="C258" s="86" t="s">
        <v>40</v>
      </c>
      <c r="D258" s="184" t="s">
        <v>347</v>
      </c>
      <c r="E258" s="156">
        <v>1593729616.8</v>
      </c>
      <c r="F258" s="157">
        <f t="shared" si="232"/>
        <v>5.5136376892066033E-2</v>
      </c>
      <c r="G258" s="206" t="s">
        <v>347</v>
      </c>
      <c r="H258" s="150">
        <v>135.33594500000001</v>
      </c>
      <c r="I258" s="206" t="s">
        <v>347</v>
      </c>
      <c r="J258" s="150">
        <v>135.82601099999999</v>
      </c>
      <c r="K258" s="158">
        <v>981</v>
      </c>
      <c r="L258" s="109">
        <v>7.6499999999999999E-2</v>
      </c>
      <c r="M258" s="109">
        <v>0.62460000000000004</v>
      </c>
      <c r="N258" s="186" t="s">
        <v>347</v>
      </c>
      <c r="O258" s="156">
        <v>1512860770.1600001</v>
      </c>
      <c r="P258" s="157">
        <f t="shared" si="233"/>
        <v>4.9389985814936484E-2</v>
      </c>
      <c r="Q258" s="186" t="s">
        <v>347</v>
      </c>
      <c r="R258" s="150">
        <v>128.46874299999999</v>
      </c>
      <c r="S258" s="186" t="s">
        <v>347</v>
      </c>
      <c r="T258" s="150">
        <v>128.98129599999999</v>
      </c>
      <c r="U258" s="158">
        <v>981</v>
      </c>
      <c r="V258" s="109">
        <v>-5.0700000000000002E-2</v>
      </c>
      <c r="W258" s="109">
        <v>0.54210000000000003</v>
      </c>
      <c r="X258" s="200">
        <f t="shared" si="234"/>
        <v>-5.0741886068713403E-2</v>
      </c>
      <c r="Y258" s="200">
        <f t="shared" si="235"/>
        <v>-5.0393256413898573E-2</v>
      </c>
      <c r="Z258" s="200">
        <f t="shared" si="236"/>
        <v>0</v>
      </c>
      <c r="AA258" s="200">
        <f t="shared" si="237"/>
        <v>-0.12720000000000001</v>
      </c>
      <c r="AB258" s="201">
        <f t="shared" si="238"/>
        <v>-8.2500000000000018E-2</v>
      </c>
    </row>
    <row r="259" spans="1:32">
      <c r="A259" s="175">
        <v>5</v>
      </c>
      <c r="B259" s="85" t="s">
        <v>285</v>
      </c>
      <c r="C259" s="86" t="s">
        <v>286</v>
      </c>
      <c r="D259" s="184" t="s">
        <v>347</v>
      </c>
      <c r="E259" s="156">
        <v>1991170731.9000001</v>
      </c>
      <c r="F259" s="157">
        <f t="shared" si="232"/>
        <v>6.8886176659579898E-2</v>
      </c>
      <c r="G259" s="206" t="s">
        <v>347</v>
      </c>
      <c r="H259" s="150">
        <v>56515</v>
      </c>
      <c r="I259" s="206" t="s">
        <v>347</v>
      </c>
      <c r="J259" s="150">
        <v>62675</v>
      </c>
      <c r="K259" s="158">
        <v>604</v>
      </c>
      <c r="L259" s="109">
        <v>-2.3E-2</v>
      </c>
      <c r="M259" s="109">
        <v>0.01</v>
      </c>
      <c r="N259" s="186" t="s">
        <v>347</v>
      </c>
      <c r="O259" s="156">
        <v>1974680481.05</v>
      </c>
      <c r="P259" s="157">
        <f t="shared" si="233"/>
        <v>6.4466897993380276E-2</v>
      </c>
      <c r="Q259" s="186" t="s">
        <v>347</v>
      </c>
      <c r="R259" s="150">
        <v>56600</v>
      </c>
      <c r="S259" s="186" t="s">
        <v>347</v>
      </c>
      <c r="T259" s="150">
        <v>62100</v>
      </c>
      <c r="U259" s="158">
        <v>604</v>
      </c>
      <c r="V259" s="109">
        <v>-8.0000000000000002E-3</v>
      </c>
      <c r="W259" s="109">
        <v>0</v>
      </c>
      <c r="X259" s="200">
        <f t="shared" si="234"/>
        <v>-8.2816860381756102E-3</v>
      </c>
      <c r="Y259" s="200">
        <f t="shared" si="235"/>
        <v>-9.1743119266055051E-3</v>
      </c>
      <c r="Z259" s="200">
        <f t="shared" si="236"/>
        <v>0</v>
      </c>
      <c r="AA259" s="200">
        <f t="shared" si="237"/>
        <v>1.4999999999999999E-2</v>
      </c>
      <c r="AB259" s="201">
        <f t="shared" si="238"/>
        <v>-0.01</v>
      </c>
    </row>
    <row r="260" spans="1:32">
      <c r="A260" s="175">
        <v>6</v>
      </c>
      <c r="B260" s="85" t="s">
        <v>287</v>
      </c>
      <c r="C260" s="86" t="s">
        <v>288</v>
      </c>
      <c r="D260" s="184" t="s">
        <v>347</v>
      </c>
      <c r="E260" s="156">
        <v>1547791004.8099999</v>
      </c>
      <c r="F260" s="157">
        <f t="shared" si="232"/>
        <v>5.354709311527036E-2</v>
      </c>
      <c r="G260" s="206" t="s">
        <v>347</v>
      </c>
      <c r="H260" s="150">
        <v>7343.15</v>
      </c>
      <c r="I260" s="206" t="s">
        <v>347</v>
      </c>
      <c r="J260" s="150">
        <v>7343.15</v>
      </c>
      <c r="K260" s="158">
        <v>777</v>
      </c>
      <c r="L260" s="109">
        <v>4.4600000000000001E-2</v>
      </c>
      <c r="M260" s="109">
        <v>0.57099999999999995</v>
      </c>
      <c r="N260" s="186" t="s">
        <v>347</v>
      </c>
      <c r="O260" s="156">
        <v>1626814952.8</v>
      </c>
      <c r="P260" s="157">
        <f t="shared" si="233"/>
        <v>5.3110219411546325E-2</v>
      </c>
      <c r="Q260" s="186" t="s">
        <v>347</v>
      </c>
      <c r="R260" s="150">
        <v>5888.48</v>
      </c>
      <c r="S260" s="186" t="s">
        <v>347</v>
      </c>
      <c r="T260" s="150">
        <v>5888.48</v>
      </c>
      <c r="U260" s="158">
        <v>777</v>
      </c>
      <c r="V260" s="109">
        <v>3.5999999999999997E-2</v>
      </c>
      <c r="W260" s="109">
        <v>0.62749999999999995</v>
      </c>
      <c r="X260" s="200">
        <f t="shared" si="234"/>
        <v>5.1055955063972376E-2</v>
      </c>
      <c r="Y260" s="200">
        <f t="shared" si="235"/>
        <v>-0.19809890850656736</v>
      </c>
      <c r="Z260" s="200">
        <f t="shared" si="236"/>
        <v>0</v>
      </c>
      <c r="AA260" s="200">
        <f t="shared" si="237"/>
        <v>-8.6000000000000035E-3</v>
      </c>
      <c r="AB260" s="201">
        <f t="shared" si="238"/>
        <v>5.6499999999999995E-2</v>
      </c>
    </row>
    <row r="261" spans="1:32">
      <c r="A261" s="175">
        <v>7</v>
      </c>
      <c r="B261" s="85" t="s">
        <v>289</v>
      </c>
      <c r="C261" s="86" t="s">
        <v>288</v>
      </c>
      <c r="D261" s="184" t="s">
        <v>347</v>
      </c>
      <c r="E261" s="156">
        <v>1555618759.1600001</v>
      </c>
      <c r="F261" s="157">
        <f t="shared" si="232"/>
        <v>5.3817900666005787E-2</v>
      </c>
      <c r="G261" s="206" t="s">
        <v>347</v>
      </c>
      <c r="H261" s="150">
        <v>3900</v>
      </c>
      <c r="I261" s="206" t="s">
        <v>347</v>
      </c>
      <c r="J261" s="150">
        <v>3900</v>
      </c>
      <c r="K261" s="158">
        <v>5505</v>
      </c>
      <c r="L261" s="109">
        <v>3.8100000000000002E-2</v>
      </c>
      <c r="M261" s="109">
        <v>0.43159999999999998</v>
      </c>
      <c r="N261" s="186" t="s">
        <v>347</v>
      </c>
      <c r="O261" s="156">
        <v>1689445726.5599999</v>
      </c>
      <c r="P261" s="157">
        <f t="shared" si="233"/>
        <v>5.5154910561319312E-2</v>
      </c>
      <c r="Q261" s="186" t="s">
        <v>347</v>
      </c>
      <c r="R261" s="150">
        <v>3950</v>
      </c>
      <c r="S261" s="186" t="s">
        <v>347</v>
      </c>
      <c r="T261" s="150">
        <v>3950</v>
      </c>
      <c r="U261" s="158">
        <v>5505</v>
      </c>
      <c r="V261" s="109">
        <v>7.22E-2</v>
      </c>
      <c r="W261" s="109">
        <v>0.53490000000000004</v>
      </c>
      <c r="X261" s="200">
        <f t="shared" si="234"/>
        <v>8.602812650077804E-2</v>
      </c>
      <c r="Y261" s="200">
        <f t="shared" si="235"/>
        <v>1.282051282051282E-2</v>
      </c>
      <c r="Z261" s="200">
        <f t="shared" si="236"/>
        <v>0</v>
      </c>
      <c r="AA261" s="200">
        <f t="shared" si="237"/>
        <v>3.4099999999999998E-2</v>
      </c>
      <c r="AB261" s="201">
        <f t="shared" si="238"/>
        <v>0.10330000000000006</v>
      </c>
    </row>
    <row r="262" spans="1:32">
      <c r="A262" s="175">
        <v>8</v>
      </c>
      <c r="B262" s="85" t="s">
        <v>290</v>
      </c>
      <c r="C262" s="86" t="s">
        <v>291</v>
      </c>
      <c r="D262" s="184" t="s">
        <v>347</v>
      </c>
      <c r="E262" s="156">
        <v>657075067.51999998</v>
      </c>
      <c r="F262" s="157">
        <f t="shared" si="232"/>
        <v>2.2732048264187378E-2</v>
      </c>
      <c r="G262" s="206" t="s">
        <v>347</v>
      </c>
      <c r="H262" s="150">
        <v>46.97</v>
      </c>
      <c r="I262" s="206" t="s">
        <v>347</v>
      </c>
      <c r="J262" s="150">
        <v>47.07</v>
      </c>
      <c r="K262" s="158">
        <v>3486</v>
      </c>
      <c r="L262" s="109">
        <v>-5.11E-2</v>
      </c>
      <c r="M262" s="109">
        <v>0.33329999999999999</v>
      </c>
      <c r="N262" s="186" t="s">
        <v>347</v>
      </c>
      <c r="O262" s="156">
        <v>678262303.86000001</v>
      </c>
      <c r="P262" s="157">
        <f t="shared" si="233"/>
        <v>2.2143059181122561E-2</v>
      </c>
      <c r="Q262" s="186" t="s">
        <v>347</v>
      </c>
      <c r="R262" s="150">
        <v>48.68</v>
      </c>
      <c r="S262" s="186" t="s">
        <v>347</v>
      </c>
      <c r="T262" s="150">
        <v>48.58</v>
      </c>
      <c r="U262" s="158">
        <v>3486</v>
      </c>
      <c r="V262" s="109">
        <v>-3.4599999999999999E-2</v>
      </c>
      <c r="W262" s="109">
        <v>0.28720000000000001</v>
      </c>
      <c r="X262" s="200">
        <f t="shared" si="234"/>
        <v>3.224477291455765E-2</v>
      </c>
      <c r="Y262" s="200">
        <f t="shared" si="235"/>
        <v>3.2079881028255749E-2</v>
      </c>
      <c r="Z262" s="200">
        <f t="shared" si="236"/>
        <v>0</v>
      </c>
      <c r="AA262" s="200">
        <f t="shared" si="237"/>
        <v>1.6500000000000001E-2</v>
      </c>
      <c r="AB262" s="201">
        <f t="shared" si="238"/>
        <v>-4.6099999999999974E-2</v>
      </c>
    </row>
    <row r="263" spans="1:32">
      <c r="A263" s="175">
        <v>9</v>
      </c>
      <c r="B263" s="85" t="s">
        <v>292</v>
      </c>
      <c r="C263" s="86" t="s">
        <v>291</v>
      </c>
      <c r="D263" s="184" t="s">
        <v>347</v>
      </c>
      <c r="E263" s="159">
        <v>1997904419.99</v>
      </c>
      <c r="F263" s="157">
        <f t="shared" si="232"/>
        <v>6.911913409507596E-2</v>
      </c>
      <c r="G263" s="206" t="s">
        <v>347</v>
      </c>
      <c r="H263" s="150">
        <v>24.1</v>
      </c>
      <c r="I263" s="206" t="s">
        <v>347</v>
      </c>
      <c r="J263" s="150">
        <v>24.2</v>
      </c>
      <c r="K263" s="158">
        <v>3723</v>
      </c>
      <c r="L263" s="109">
        <v>-1.8E-3</v>
      </c>
      <c r="M263" s="109">
        <v>0.86329999999999996</v>
      </c>
      <c r="N263" s="186" t="s">
        <v>347</v>
      </c>
      <c r="O263" s="159">
        <v>1963564745.04</v>
      </c>
      <c r="P263" s="157">
        <f t="shared" si="233"/>
        <v>6.410400535006161E-2</v>
      </c>
      <c r="Q263" s="186" t="s">
        <v>347</v>
      </c>
      <c r="R263" s="150">
        <v>22.76</v>
      </c>
      <c r="S263" s="186" t="s">
        <v>347</v>
      </c>
      <c r="T263" s="150">
        <v>22.86</v>
      </c>
      <c r="U263" s="158">
        <v>3723</v>
      </c>
      <c r="V263" s="109">
        <v>-0.14130000000000001</v>
      </c>
      <c r="W263" s="109">
        <v>0.6</v>
      </c>
      <c r="X263" s="200">
        <f t="shared" si="234"/>
        <v>-1.7187846729010154E-2</v>
      </c>
      <c r="Y263" s="200">
        <f t="shared" si="235"/>
        <v>-5.5371900826446274E-2</v>
      </c>
      <c r="Z263" s="200">
        <f t="shared" si="236"/>
        <v>0</v>
      </c>
      <c r="AA263" s="200">
        <f t="shared" si="237"/>
        <v>-0.13950000000000001</v>
      </c>
      <c r="AB263" s="201">
        <f t="shared" si="238"/>
        <v>-0.26329999999999998</v>
      </c>
    </row>
    <row r="264" spans="1:32" ht="15" customHeight="1">
      <c r="A264" s="175">
        <v>10</v>
      </c>
      <c r="B264" s="85" t="s">
        <v>293</v>
      </c>
      <c r="C264" s="86" t="s">
        <v>291</v>
      </c>
      <c r="D264" s="184" t="s">
        <v>347</v>
      </c>
      <c r="E264" s="156">
        <v>395276944.74000001</v>
      </c>
      <c r="F264" s="157">
        <f t="shared" si="232"/>
        <v>1.3674928527518218E-2</v>
      </c>
      <c r="G264" s="206" t="s">
        <v>347</v>
      </c>
      <c r="H264" s="150">
        <v>146.84</v>
      </c>
      <c r="I264" s="206" t="s">
        <v>347</v>
      </c>
      <c r="J264" s="150">
        <v>148.84</v>
      </c>
      <c r="K264" s="158">
        <v>1823</v>
      </c>
      <c r="L264" s="109">
        <v>-0.1799</v>
      </c>
      <c r="M264" s="109">
        <v>0.24249999999999999</v>
      </c>
      <c r="N264" s="186" t="s">
        <v>347</v>
      </c>
      <c r="O264" s="156">
        <v>395259755.64999998</v>
      </c>
      <c r="P264" s="157">
        <f t="shared" si="233"/>
        <v>1.2903946027170845E-2</v>
      </c>
      <c r="Q264" s="186" t="s">
        <v>347</v>
      </c>
      <c r="R264" s="150">
        <v>146.83000000000001</v>
      </c>
      <c r="S264" s="186" t="s">
        <v>347</v>
      </c>
      <c r="T264" s="150">
        <v>148.83000000000001</v>
      </c>
      <c r="U264" s="158">
        <v>1975</v>
      </c>
      <c r="V264" s="109">
        <v>-3.3500000000000002E-2</v>
      </c>
      <c r="W264" s="109">
        <v>0.2009</v>
      </c>
      <c r="X264" s="200">
        <f t="shared" si="234"/>
        <v>-4.3486194246263941E-5</v>
      </c>
      <c r="Y264" s="200">
        <f t="shared" si="235"/>
        <v>-6.7186240257934062E-5</v>
      </c>
      <c r="Z264" s="200">
        <f t="shared" si="236"/>
        <v>8.3379045529347232E-2</v>
      </c>
      <c r="AA264" s="200">
        <f t="shared" si="237"/>
        <v>0.1464</v>
      </c>
      <c r="AB264" s="201">
        <f t="shared" si="238"/>
        <v>-4.1599999999999998E-2</v>
      </c>
    </row>
    <row r="265" spans="1:32">
      <c r="A265" s="175">
        <v>11</v>
      </c>
      <c r="B265" s="85" t="s">
        <v>294</v>
      </c>
      <c r="C265" s="86" t="s">
        <v>291</v>
      </c>
      <c r="D265" s="184" t="s">
        <v>347</v>
      </c>
      <c r="E265" s="156">
        <v>12321560125.6</v>
      </c>
      <c r="F265" s="157">
        <f t="shared" si="232"/>
        <v>0.42627442937743248</v>
      </c>
      <c r="G265" s="206" t="s">
        <v>347</v>
      </c>
      <c r="H265" s="150">
        <v>82.44</v>
      </c>
      <c r="I265" s="206" t="s">
        <v>347</v>
      </c>
      <c r="J265" s="150">
        <v>82.64</v>
      </c>
      <c r="K265" s="158">
        <v>4310</v>
      </c>
      <c r="L265" s="109">
        <v>-2.1600000000000001E-2</v>
      </c>
      <c r="M265" s="109">
        <v>0.66649999999999998</v>
      </c>
      <c r="N265" s="186" t="s">
        <v>347</v>
      </c>
      <c r="O265" s="156">
        <v>13202613322.25</v>
      </c>
      <c r="P265" s="157">
        <f t="shared" si="233"/>
        <v>0.4310224030973156</v>
      </c>
      <c r="Q265" s="186" t="s">
        <v>347</v>
      </c>
      <c r="R265" s="150">
        <v>88.48</v>
      </c>
      <c r="S265" s="186" t="s">
        <v>347</v>
      </c>
      <c r="T265" s="150">
        <v>88.68</v>
      </c>
      <c r="U265" s="158">
        <v>4310</v>
      </c>
      <c r="V265" s="109">
        <v>7.7700000000000005E-2</v>
      </c>
      <c r="W265" s="109">
        <v>0.79600000000000004</v>
      </c>
      <c r="X265" s="200">
        <f t="shared" si="234"/>
        <v>7.1505003235708076E-2</v>
      </c>
      <c r="Y265" s="200">
        <f t="shared" si="235"/>
        <v>7.3088092933204341E-2</v>
      </c>
      <c r="Z265" s="200">
        <f t="shared" si="236"/>
        <v>0</v>
      </c>
      <c r="AA265" s="200">
        <f t="shared" si="237"/>
        <v>9.9299999999999999E-2</v>
      </c>
      <c r="AB265" s="201">
        <f t="shared" si="238"/>
        <v>0.12950000000000006</v>
      </c>
      <c r="AD265" s="30"/>
      <c r="AE265" s="30"/>
    </row>
    <row r="266" spans="1:32">
      <c r="A266" s="175">
        <v>12</v>
      </c>
      <c r="B266" s="85" t="s">
        <v>295</v>
      </c>
      <c r="C266" s="86" t="s">
        <v>291</v>
      </c>
      <c r="D266" s="184" t="s">
        <v>347</v>
      </c>
      <c r="E266" s="159">
        <v>553135682.53999996</v>
      </c>
      <c r="F266" s="157">
        <f t="shared" si="232"/>
        <v>1.9136180405689769E-2</v>
      </c>
      <c r="G266" s="206" t="s">
        <v>347</v>
      </c>
      <c r="H266" s="150">
        <v>96.38</v>
      </c>
      <c r="I266" s="206" t="s">
        <v>347</v>
      </c>
      <c r="J266" s="150">
        <v>96.58</v>
      </c>
      <c r="K266" s="158">
        <v>2967</v>
      </c>
      <c r="L266" s="109">
        <v>-0.1333</v>
      </c>
      <c r="M266" s="109">
        <v>0.69825918762088979</v>
      </c>
      <c r="N266" s="186" t="s">
        <v>347</v>
      </c>
      <c r="O266" s="159">
        <v>644364724.01999998</v>
      </c>
      <c r="P266" s="157">
        <f t="shared" si="233"/>
        <v>2.103641340083624E-2</v>
      </c>
      <c r="Q266" s="186" t="s">
        <v>347</v>
      </c>
      <c r="R266" s="150">
        <v>112.67</v>
      </c>
      <c r="S266" s="186" t="s">
        <v>347</v>
      </c>
      <c r="T266" s="150">
        <v>112.87</v>
      </c>
      <c r="U266" s="158">
        <v>2967</v>
      </c>
      <c r="V266" s="109">
        <v>7.6899999999999996E-2</v>
      </c>
      <c r="W266" s="109">
        <v>1.0012411347517731</v>
      </c>
      <c r="X266" s="200">
        <f t="shared" si="234"/>
        <v>0.16493067498570352</v>
      </c>
      <c r="Y266" s="200">
        <f t="shared" si="235"/>
        <v>0.16866846137916761</v>
      </c>
      <c r="Z266" s="200">
        <f t="shared" si="236"/>
        <v>0</v>
      </c>
      <c r="AA266" s="200">
        <f t="shared" si="237"/>
        <v>0.2102</v>
      </c>
      <c r="AB266" s="201">
        <f t="shared" si="238"/>
        <v>0.30298194713088333</v>
      </c>
      <c r="AD266" s="41"/>
      <c r="AE266" s="41"/>
      <c r="AF266" s="30"/>
    </row>
    <row r="267" spans="1:32">
      <c r="A267" s="160"/>
      <c r="B267" s="160"/>
      <c r="C267" s="161" t="s">
        <v>296</v>
      </c>
      <c r="D267" s="192"/>
      <c r="E267" s="148">
        <f>SUM(E255:E266)</f>
        <v>28905229299.34</v>
      </c>
      <c r="F267" s="151"/>
      <c r="G267" s="151"/>
      <c r="H267" s="151"/>
      <c r="I267" s="151"/>
      <c r="J267" s="152"/>
      <c r="K267" s="148">
        <f>SUM(K255:K266)</f>
        <v>27118</v>
      </c>
      <c r="L267" s="153"/>
      <c r="M267" s="153"/>
      <c r="N267" s="153"/>
      <c r="O267" s="148">
        <f>SUM(O255:O266)</f>
        <v>30630921333.499996</v>
      </c>
      <c r="P267" s="151"/>
      <c r="Q267" s="151"/>
      <c r="R267" s="151"/>
      <c r="S267" s="151"/>
      <c r="T267" s="152"/>
      <c r="U267" s="148">
        <f>SUM(U255:U266)</f>
        <v>29260</v>
      </c>
      <c r="V267" s="153"/>
      <c r="W267" s="153"/>
      <c r="X267" s="200">
        <f t="shared" si="234"/>
        <v>5.9701724428091602E-2</v>
      </c>
      <c r="Y267" s="200" t="e">
        <f t="shared" si="235"/>
        <v>#DIV/0!</v>
      </c>
      <c r="Z267" s="200">
        <f t="shared" si="236"/>
        <v>7.8988125967991735E-2</v>
      </c>
      <c r="AA267" s="200">
        <f t="shared" si="237"/>
        <v>0</v>
      </c>
      <c r="AB267" s="201">
        <f t="shared" si="238"/>
        <v>0</v>
      </c>
      <c r="AF267" s="23"/>
    </row>
    <row r="268" spans="1:32">
      <c r="A268" s="162"/>
      <c r="B268" s="162"/>
      <c r="C268" s="163" t="s">
        <v>297</v>
      </c>
      <c r="D268" s="191"/>
      <c r="E268" s="164">
        <f>SUM(E238,E247,E252,E267)</f>
        <v>8972817889038.3242</v>
      </c>
      <c r="F268" s="165"/>
      <c r="G268" s="165"/>
      <c r="H268" s="165"/>
      <c r="I268" s="165"/>
      <c r="J268" s="166"/>
      <c r="K268" s="164">
        <f>SUM(K238,K247,K252,K267)</f>
        <v>1340416</v>
      </c>
      <c r="L268" s="167"/>
      <c r="M268" s="167"/>
      <c r="N268" s="167"/>
      <c r="O268" s="164">
        <f>SUM(O238,O247,O252,O267)</f>
        <v>9062628142723.3848</v>
      </c>
      <c r="P268" s="165"/>
      <c r="Q268" s="165"/>
      <c r="R268" s="165"/>
      <c r="S268" s="165"/>
      <c r="T268" s="164"/>
      <c r="U268" s="164">
        <f>SUM(U238,U247,U252,U267)</f>
        <v>1356483</v>
      </c>
      <c r="V268" s="168"/>
      <c r="W268" s="164"/>
      <c r="X268" s="169"/>
      <c r="Y268" s="170"/>
      <c r="Z268" s="170"/>
      <c r="AA268" s="171"/>
      <c r="AB268" s="171"/>
      <c r="AF268" s="23"/>
    </row>
    <row r="269" spans="1:32">
      <c r="A269" s="172" t="s">
        <v>298</v>
      </c>
      <c r="B269" s="173" t="s">
        <v>331</v>
      </c>
      <c r="C269" s="190">
        <v>1374.9431</v>
      </c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</row>
    <row r="270" spans="1:32">
      <c r="B270" s="32"/>
    </row>
    <row r="271" spans="1:32">
      <c r="B271" s="32"/>
      <c r="C271" s="33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oqvNEGR9/Vj7FCYHQzeaK/WsC7rVbRx7c2SXMmJkx4UogeYuZ6E2xk1zKZGSIZ48Dg605ncn5epy+aM+XiPUmw==" saltValue="4ash0hdv4HlIju4HiQDj1g==" spinCount="100000" sheet="1" objects="1" scenarios="1"/>
  <sortState ref="A150:C177">
    <sortCondition descending="1" ref="A149"/>
  </sortState>
  <mergeCells count="34">
    <mergeCell ref="A1:AB1"/>
    <mergeCell ref="X2:Z2"/>
    <mergeCell ref="AA2:AB2"/>
    <mergeCell ref="N2:W2"/>
    <mergeCell ref="D2:M2"/>
    <mergeCell ref="B4:AB4"/>
    <mergeCell ref="A5:AB5"/>
    <mergeCell ref="B27:AB27"/>
    <mergeCell ref="A28:AB28"/>
    <mergeCell ref="B77:AB77"/>
    <mergeCell ref="A78:AB78"/>
    <mergeCell ref="B118:AB118"/>
    <mergeCell ref="A119:AB119"/>
    <mergeCell ref="A120:AB120"/>
    <mergeCell ref="B139:AB139"/>
    <mergeCell ref="A140:AB140"/>
    <mergeCell ref="B162:AB162"/>
    <mergeCell ref="A163:AB163"/>
    <mergeCell ref="B171:AB171"/>
    <mergeCell ref="A172:AB172"/>
    <mergeCell ref="B204:AB204"/>
    <mergeCell ref="A205:AB205"/>
    <mergeCell ref="B210:AB210"/>
    <mergeCell ref="A211:AB211"/>
    <mergeCell ref="A212:AB212"/>
    <mergeCell ref="A240:AB240"/>
    <mergeCell ref="A249:AB249"/>
    <mergeCell ref="B253:AB253"/>
    <mergeCell ref="A254:AB254"/>
    <mergeCell ref="B215:AB215"/>
    <mergeCell ref="A216:AB216"/>
    <mergeCell ref="B231:AB231"/>
    <mergeCell ref="A232:AB232"/>
    <mergeCell ref="B239:AA239"/>
  </mergeCells>
  <pageMargins left="0.7" right="0.7" top="0.75" bottom="0.75" header="0.3" footer="0.3"/>
  <pageSetup paperSize="9" orientation="portrait" horizontalDpi="300" verticalDpi="300" r:id="rId1"/>
  <ignoredErrors>
    <ignoredError sqref="F103 F83 P53 P37 F37 P146 F146" formula="1"/>
    <ignoredError sqref="Y170 Y26 Y76 Y117 Y161 Y203 Y209 Y237 Y267 Z250:Z251 X54:Z54 X146 X132:Z132 X49:Z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C9" sqref="C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4"/>
      <c r="B1" s="54"/>
      <c r="C1" s="54"/>
      <c r="D1" s="54"/>
      <c r="F1" s="15"/>
      <c r="G1" s="15"/>
      <c r="H1" s="20"/>
    </row>
    <row r="2" spans="1:8" ht="27.6">
      <c r="A2" s="55" t="s">
        <v>299</v>
      </c>
      <c r="B2" s="56" t="s">
        <v>328</v>
      </c>
      <c r="C2" s="56" t="s">
        <v>345</v>
      </c>
      <c r="D2" s="57"/>
      <c r="F2" s="15"/>
      <c r="G2" s="15"/>
      <c r="H2" s="20"/>
    </row>
    <row r="3" spans="1:8">
      <c r="A3" s="58" t="s">
        <v>17</v>
      </c>
      <c r="B3" s="59">
        <f t="shared" ref="B3:C10" si="0">B13</f>
        <v>216.34030366850018</v>
      </c>
      <c r="C3" s="59">
        <f t="shared" si="0"/>
        <v>234.65650655800678</v>
      </c>
      <c r="D3" s="57"/>
      <c r="F3" s="15"/>
      <c r="G3" s="15"/>
      <c r="H3" s="20"/>
    </row>
    <row r="4" spans="1:8" ht="15.6" customHeight="1">
      <c r="A4" s="55" t="s">
        <v>53</v>
      </c>
      <c r="B4" s="60">
        <f t="shared" si="0"/>
        <v>5684.6814589689548</v>
      </c>
      <c r="C4" s="60">
        <f t="shared" si="0"/>
        <v>5710.6440913866309</v>
      </c>
      <c r="D4" s="57"/>
      <c r="F4" s="15"/>
      <c r="G4" s="15"/>
      <c r="H4" s="20"/>
    </row>
    <row r="5" spans="1:8" ht="16.2" customHeight="1">
      <c r="A5" s="55" t="s">
        <v>300</v>
      </c>
      <c r="B5" s="59">
        <f t="shared" si="0"/>
        <v>235.70647222829081</v>
      </c>
      <c r="C5" s="59">
        <f t="shared" si="0"/>
        <v>235.77329133045038</v>
      </c>
      <c r="D5" s="57"/>
      <c r="F5" s="15"/>
      <c r="G5" s="15"/>
      <c r="H5" s="20"/>
    </row>
    <row r="6" spans="1:8">
      <c r="A6" s="55" t="s">
        <v>165</v>
      </c>
      <c r="B6" s="60">
        <f t="shared" si="0"/>
        <v>1845.5139378006818</v>
      </c>
      <c r="C6" s="60">
        <f t="shared" si="0"/>
        <v>1871.0027534872156</v>
      </c>
      <c r="D6" s="57"/>
      <c r="F6" s="15"/>
      <c r="G6" s="15"/>
      <c r="H6" s="20"/>
    </row>
    <row r="7" spans="1:8">
      <c r="A7" s="55" t="s">
        <v>301</v>
      </c>
      <c r="B7" s="59">
        <f t="shared" si="0"/>
        <v>505.63789731583006</v>
      </c>
      <c r="C7" s="59">
        <f t="shared" si="0"/>
        <v>506.71167330949521</v>
      </c>
      <c r="D7" s="57"/>
      <c r="F7" s="15"/>
      <c r="G7" s="15"/>
      <c r="H7" s="20"/>
    </row>
    <row r="8" spans="1:8">
      <c r="A8" s="55" t="s">
        <v>207</v>
      </c>
      <c r="B8" s="61">
        <f t="shared" si="0"/>
        <v>137.04628263608222</v>
      </c>
      <c r="C8" s="61">
        <f t="shared" si="0"/>
        <v>144.44978399667878</v>
      </c>
      <c r="D8" s="57"/>
      <c r="F8" s="15"/>
      <c r="G8" s="15"/>
      <c r="H8" s="20"/>
    </row>
    <row r="9" spans="1:8">
      <c r="A9" s="55" t="s">
        <v>238</v>
      </c>
      <c r="B9" s="59">
        <f t="shared" si="0"/>
        <v>18.040731810320001</v>
      </c>
      <c r="C9" s="59">
        <f t="shared" si="0"/>
        <v>19.513541737859999</v>
      </c>
      <c r="D9" s="57"/>
      <c r="F9" s="15"/>
      <c r="G9" s="15"/>
      <c r="H9" s="20"/>
    </row>
    <row r="10" spans="1:8">
      <c r="A10" s="55" t="s">
        <v>302</v>
      </c>
      <c r="B10" s="59">
        <f t="shared" si="0"/>
        <v>125.94507915049832</v>
      </c>
      <c r="C10" s="59">
        <f t="shared" si="0"/>
        <v>133.93446740073963</v>
      </c>
      <c r="D10" s="57"/>
      <c r="F10" s="15"/>
      <c r="G10" s="15"/>
      <c r="H10" s="20"/>
    </row>
    <row r="11" spans="1:8">
      <c r="A11" s="55" t="s">
        <v>270</v>
      </c>
      <c r="B11" s="59">
        <f>B21</f>
        <v>31.632969925556733</v>
      </c>
      <c r="C11" s="59">
        <f>C21</f>
        <v>31.899721332017464</v>
      </c>
      <c r="D11" s="57"/>
      <c r="F11" s="15"/>
      <c r="G11" s="15"/>
      <c r="H11" s="20"/>
    </row>
    <row r="12" spans="1:8">
      <c r="A12" s="54"/>
      <c r="B12" s="54"/>
      <c r="C12" s="54"/>
      <c r="D12" s="54"/>
      <c r="F12" s="15"/>
      <c r="G12" s="15"/>
      <c r="H12" s="20"/>
    </row>
    <row r="13" spans="1:8">
      <c r="A13" s="62" t="s">
        <v>17</v>
      </c>
      <c r="B13" s="63">
        <f>'Weekly Valuation'!E26/1000000000</f>
        <v>216.34030366850018</v>
      </c>
      <c r="C13" s="64">
        <f>'Weekly Valuation'!O26/1000000000</f>
        <v>234.65650655800678</v>
      </c>
      <c r="D13" s="54"/>
      <c r="F13" s="15"/>
      <c r="G13" s="15"/>
      <c r="H13" s="20"/>
    </row>
    <row r="14" spans="1:8">
      <c r="A14" s="65" t="s">
        <v>53</v>
      </c>
      <c r="B14" s="63">
        <f>'Weekly Valuation'!E76/1000000000</f>
        <v>5684.6814589689548</v>
      </c>
      <c r="C14" s="66">
        <f>'Weekly Valuation'!O76/1000000000</f>
        <v>5710.6440913866309</v>
      </c>
      <c r="D14" s="54"/>
      <c r="F14" s="15"/>
      <c r="G14" s="15"/>
      <c r="H14" s="20"/>
    </row>
    <row r="15" spans="1:8">
      <c r="A15" s="65" t="s">
        <v>300</v>
      </c>
      <c r="B15" s="63">
        <f>'Weekly Valuation'!E117/1000000000</f>
        <v>235.70647222829081</v>
      </c>
      <c r="C15" s="64">
        <f>'Weekly Valuation'!O117/1000000000</f>
        <v>235.77329133045038</v>
      </c>
      <c r="D15" s="54"/>
      <c r="F15" s="15"/>
      <c r="G15" s="15"/>
      <c r="H15" s="20"/>
    </row>
    <row r="16" spans="1:8">
      <c r="A16" s="65" t="s">
        <v>165</v>
      </c>
      <c r="B16" s="63">
        <f>'Weekly Valuation'!E161/1000000000</f>
        <v>1845.5139378006818</v>
      </c>
      <c r="C16" s="66">
        <f>'Weekly Valuation'!O161/1000000000</f>
        <v>1871.0027534872156</v>
      </c>
      <c r="D16" s="54"/>
      <c r="F16" s="15"/>
      <c r="G16" s="15"/>
      <c r="H16" s="20"/>
    </row>
    <row r="17" spans="1:8">
      <c r="A17" s="65" t="s">
        <v>301</v>
      </c>
      <c r="B17" s="63">
        <f>'Weekly Valuation'!E170/1000000000</f>
        <v>505.63789731583006</v>
      </c>
      <c r="C17" s="64">
        <f>'Weekly Valuation'!O170/1000000000</f>
        <v>506.71167330949521</v>
      </c>
      <c r="D17" s="54"/>
      <c r="F17" s="15"/>
      <c r="G17" s="15"/>
      <c r="H17" s="20"/>
    </row>
    <row r="18" spans="1:8">
      <c r="A18" s="65" t="s">
        <v>207</v>
      </c>
      <c r="B18" s="63">
        <f>'Weekly Valuation'!E203/1000000000</f>
        <v>137.04628263608222</v>
      </c>
      <c r="C18" s="67">
        <f>'Weekly Valuation'!O203/1000000000</f>
        <v>144.44978399667878</v>
      </c>
      <c r="D18" s="54"/>
      <c r="F18" s="15"/>
      <c r="G18" s="15"/>
      <c r="H18" s="20"/>
    </row>
    <row r="19" spans="1:8">
      <c r="A19" s="65" t="s">
        <v>238</v>
      </c>
      <c r="B19" s="63">
        <f>'Weekly Valuation'!E209/1000000000</f>
        <v>18.040731810320001</v>
      </c>
      <c r="C19" s="64">
        <f>'Weekly Valuation'!O209/1000000000</f>
        <v>19.513541737859999</v>
      </c>
      <c r="D19" s="54"/>
      <c r="F19" s="15"/>
      <c r="G19" s="15"/>
      <c r="H19" s="20"/>
    </row>
    <row r="20" spans="1:8">
      <c r="A20" s="65" t="s">
        <v>302</v>
      </c>
      <c r="B20" s="63">
        <f>'Weekly Valuation'!E237/1000000000</f>
        <v>125.94507915049832</v>
      </c>
      <c r="C20" s="64">
        <f>'Weekly Valuation'!O237/1000000000</f>
        <v>133.93446740073963</v>
      </c>
      <c r="D20" s="54"/>
      <c r="F20" s="15"/>
      <c r="G20" s="15"/>
      <c r="H20" s="20"/>
    </row>
    <row r="21" spans="1:8">
      <c r="A21" s="65" t="s">
        <v>270</v>
      </c>
      <c r="B21" s="63">
        <f>'Weekly Valuation'!E247/1000000000</f>
        <v>31.632969925556733</v>
      </c>
      <c r="C21" s="64">
        <f>'Weekly Valuation'!O247/1000000000</f>
        <v>31.899721332017464</v>
      </c>
      <c r="D21" s="54"/>
      <c r="F21" s="15"/>
      <c r="G21" s="15"/>
      <c r="H21" s="20"/>
    </row>
    <row r="22" spans="1:8">
      <c r="A22" s="68"/>
      <c r="B22" s="54"/>
      <c r="C22" s="69"/>
      <c r="D22" s="54"/>
      <c r="F22" s="15"/>
      <c r="G22" s="15"/>
      <c r="H22" s="20"/>
    </row>
    <row r="23" spans="1:8">
      <c r="A23" s="70"/>
      <c r="B23" s="69"/>
      <c r="C23" s="71"/>
      <c r="F23" s="15"/>
      <c r="G23" s="15"/>
      <c r="H23" s="20"/>
    </row>
    <row r="24" spans="1:8">
      <c r="A24" s="70"/>
      <c r="B24" s="69"/>
      <c r="C24" s="69"/>
      <c r="F24" s="15"/>
      <c r="G24" s="15"/>
      <c r="H24" s="20"/>
    </row>
    <row r="25" spans="1:8">
      <c r="A25" s="70"/>
      <c r="B25" s="69"/>
      <c r="C25" s="69"/>
      <c r="F25" s="15"/>
      <c r="G25" s="15"/>
      <c r="H25" s="20"/>
    </row>
    <row r="26" spans="1:8">
      <c r="A26" s="70"/>
      <c r="B26" s="69"/>
      <c r="C26" s="69"/>
      <c r="F26" s="15"/>
      <c r="G26" s="20"/>
      <c r="H26" s="20"/>
    </row>
    <row r="27" spans="1:8">
      <c r="A27" s="70"/>
      <c r="B27" s="69"/>
      <c r="C27" s="69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dp6CMqfnLphFBA9ubEWoeq/sg/4Pa7y6gJXkq+x98LLVZTB6/g8DO5yzA8lEHIs4lZOJvKfaAbZRvx7ZyB51Yw==" saltValue="eHidSC/GoQbYmplbgYNFu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H15" sqref="H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2" t="s">
        <v>299</v>
      </c>
      <c r="B1" s="73">
        <v>46142</v>
      </c>
      <c r="C1" s="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8" t="s">
        <v>238</v>
      </c>
      <c r="B2" s="69">
        <f>'Weekly Valuation'!O209</f>
        <v>19513541737.860001</v>
      </c>
      <c r="C2" s="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8" t="s">
        <v>270</v>
      </c>
      <c r="B3" s="69">
        <f>'Weekly Valuation'!O247</f>
        <v>31899721332.017464</v>
      </c>
      <c r="C3" s="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8" t="s">
        <v>302</v>
      </c>
      <c r="B4" s="69">
        <f>'Weekly Valuation'!O237</f>
        <v>133934467400.73964</v>
      </c>
      <c r="C4" s="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8" t="s">
        <v>207</v>
      </c>
      <c r="B5" s="71">
        <f>'Weekly Valuation'!O203</f>
        <v>144449783996.67877</v>
      </c>
      <c r="C5" s="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8" t="s">
        <v>17</v>
      </c>
      <c r="B6" s="69">
        <f>'Weekly Valuation'!O26</f>
        <v>234656506558.00677</v>
      </c>
      <c r="C6" s="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8" t="s">
        <v>300</v>
      </c>
      <c r="B7" s="69">
        <f>'Weekly Valuation'!O117</f>
        <v>235773291330.45038</v>
      </c>
      <c r="C7" s="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8" t="s">
        <v>301</v>
      </c>
      <c r="B8" s="69">
        <f>'Weekly Valuation'!O170</f>
        <v>506711673309.49524</v>
      </c>
      <c r="C8" s="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8" t="s">
        <v>165</v>
      </c>
      <c r="B9" s="74">
        <f>'Weekly Valuation'!O161</f>
        <v>1871002753487.2156</v>
      </c>
      <c r="C9" s="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8" t="s">
        <v>53</v>
      </c>
      <c r="B10" s="74">
        <f>'Weekly Valuation'!O76</f>
        <v>5710644091386.6309</v>
      </c>
      <c r="C10" s="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4"/>
      <c r="B11" s="54"/>
      <c r="C11" s="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8"/>
      <c r="B12" s="75"/>
      <c r="C12" s="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8"/>
      <c r="B13" s="54"/>
      <c r="C13" s="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9"/>
      <c r="B14" s="69"/>
      <c r="C14" s="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69"/>
      <c r="B15" s="69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70"/>
      <c r="B16" s="71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69"/>
      <c r="B17" s="69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69"/>
      <c r="B18" s="69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74"/>
      <c r="B19" s="69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74"/>
      <c r="B20" s="74"/>
      <c r="C20" s="20"/>
      <c r="D20" s="2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74"/>
      <c r="B21" s="74"/>
      <c r="C21" s="20"/>
      <c r="D21" s="2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1"/>
    </row>
    <row r="34" spans="1:17" ht="1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FdxicKK2O2w/10buqzirLnRHMzrTWyuApvAtQk4+/L2bJdHr1BhqkjKYOerFgHK6GzPL6D37i49Q/fw92y5yOg==" saltValue="/g/muTPmXjVrj4XMalbQw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20"/>
      <c r="M1" s="15"/>
      <c r="N1" s="15"/>
      <c r="O1" s="46"/>
    </row>
    <row r="2" spans="1:15">
      <c r="A2" s="76" t="s">
        <v>303</v>
      </c>
      <c r="B2" s="77">
        <v>46094</v>
      </c>
      <c r="C2" s="77">
        <v>46099</v>
      </c>
      <c r="D2" s="77">
        <v>46108</v>
      </c>
      <c r="E2" s="77">
        <v>46114</v>
      </c>
      <c r="F2" s="77">
        <v>46122</v>
      </c>
      <c r="G2" s="77">
        <v>46129</v>
      </c>
      <c r="H2" s="77">
        <v>46136</v>
      </c>
      <c r="I2" s="77">
        <v>46142</v>
      </c>
      <c r="J2" s="20"/>
      <c r="K2" s="15"/>
      <c r="L2" s="20"/>
      <c r="M2" s="15"/>
      <c r="N2" s="15"/>
      <c r="O2" s="46"/>
    </row>
    <row r="3" spans="1:15">
      <c r="A3" s="76" t="s">
        <v>304</v>
      </c>
      <c r="B3" s="78">
        <f t="shared" ref="B3:I3" si="0">B4</f>
        <v>8362.1373987365132</v>
      </c>
      <c r="C3" s="78">
        <f t="shared" si="0"/>
        <v>8418.7881429582667</v>
      </c>
      <c r="D3" s="78">
        <f t="shared" si="0"/>
        <v>8440.5567676688224</v>
      </c>
      <c r="E3" s="78">
        <f t="shared" si="0"/>
        <v>8593.7769156229697</v>
      </c>
      <c r="F3" s="78">
        <f t="shared" si="0"/>
        <v>8623.4476305652915</v>
      </c>
      <c r="G3" s="78">
        <f t="shared" si="0"/>
        <v>8682.1345271243354</v>
      </c>
      <c r="H3" s="78">
        <f t="shared" si="0"/>
        <v>8800.5451335047146</v>
      </c>
      <c r="I3" s="78">
        <f t="shared" si="0"/>
        <v>8888.5858305390957</v>
      </c>
      <c r="J3" s="20"/>
      <c r="K3" s="15"/>
      <c r="L3" s="20"/>
      <c r="M3" s="15"/>
      <c r="N3" s="15"/>
      <c r="O3" s="46"/>
    </row>
    <row r="4" spans="1:15">
      <c r="A4" s="20"/>
      <c r="B4" s="79">
        <f>'NAV Trend'!C11/1000000000</f>
        <v>8362.1373987365132</v>
      </c>
      <c r="C4" s="79">
        <f>'NAV Trend'!D11/1000000000</f>
        <v>8418.7881429582667</v>
      </c>
      <c r="D4" s="79">
        <f>'NAV Trend'!E11/1000000000</f>
        <v>8440.5567676688224</v>
      </c>
      <c r="E4" s="79">
        <f>'NAV Trend'!F11/1000000000</f>
        <v>8593.7769156229697</v>
      </c>
      <c r="F4" s="79">
        <f>'NAV Trend'!G11/1000000000</f>
        <v>8623.4476305652915</v>
      </c>
      <c r="G4" s="79">
        <f>'NAV Trend'!H11/1000000000</f>
        <v>8682.1345271243354</v>
      </c>
      <c r="H4" s="80">
        <f>'NAV Trend'!I11/1000000000</f>
        <v>8800.5451335047146</v>
      </c>
      <c r="I4" s="80">
        <f>'NAV Trend'!J11/1000000000</f>
        <v>8888.5858305390957</v>
      </c>
      <c r="J4" s="20"/>
      <c r="K4" s="15"/>
      <c r="L4" s="20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20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20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20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KCr2EkqrttpA/jzz0iE7++zRCJcGYw7oKw5lQq1TuaOlOBA9qbR21jtk61RskRENXHkOvZAwWIovmojDVdWQ1g==" saltValue="1wxtSfnNi19EyHNtuzHJ0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44"/>
    </row>
    <row r="2" spans="1:16">
      <c r="A2" s="76" t="s">
        <v>303</v>
      </c>
      <c r="B2" s="77">
        <v>46094</v>
      </c>
      <c r="C2" s="77">
        <v>46099</v>
      </c>
      <c r="D2" s="77">
        <v>46108</v>
      </c>
      <c r="E2" s="77">
        <v>46114</v>
      </c>
      <c r="F2" s="77">
        <v>46122</v>
      </c>
      <c r="G2" s="77">
        <v>46129</v>
      </c>
      <c r="H2" s="77">
        <v>46136</v>
      </c>
      <c r="I2" s="77">
        <v>46142</v>
      </c>
      <c r="J2" s="20"/>
      <c r="K2" s="20"/>
      <c r="L2" s="15"/>
      <c r="M2" s="15"/>
      <c r="N2" s="20"/>
      <c r="O2" s="20"/>
      <c r="P2" s="44"/>
    </row>
    <row r="3" spans="1:16">
      <c r="A3" s="76" t="s">
        <v>305</v>
      </c>
      <c r="B3" s="78">
        <f t="shared" ref="B3:I3" si="0">B4</f>
        <v>24.024073678480001</v>
      </c>
      <c r="C3" s="78">
        <f t="shared" si="0"/>
        <v>24.06611184246</v>
      </c>
      <c r="D3" s="78">
        <f t="shared" si="0"/>
        <v>24.226803601379999</v>
      </c>
      <c r="E3" s="78">
        <f t="shared" si="0"/>
        <v>24.882508960419997</v>
      </c>
      <c r="F3" s="78">
        <f t="shared" si="0"/>
        <v>25.247393537559997</v>
      </c>
      <c r="G3" s="78">
        <f t="shared" si="0"/>
        <v>27.644948093229999</v>
      </c>
      <c r="H3" s="78">
        <f t="shared" si="0"/>
        <v>28.90522929934</v>
      </c>
      <c r="I3" s="78">
        <f t="shared" si="0"/>
        <v>30.630921333499995</v>
      </c>
      <c r="J3" s="20"/>
      <c r="K3" s="20"/>
      <c r="L3" s="15"/>
      <c r="M3" s="15"/>
      <c r="N3" s="20"/>
      <c r="O3" s="20"/>
      <c r="P3" s="44"/>
    </row>
    <row r="4" spans="1:16">
      <c r="A4" s="20"/>
      <c r="B4" s="79">
        <f>'NAV Trend'!C17/1000000000</f>
        <v>24.024073678480001</v>
      </c>
      <c r="C4" s="79">
        <f>'NAV Trend'!D17/1000000000</f>
        <v>24.06611184246</v>
      </c>
      <c r="D4" s="79">
        <f>'NAV Trend'!E17/1000000000</f>
        <v>24.226803601379999</v>
      </c>
      <c r="E4" s="79">
        <f>'NAV Trend'!F17/1000000000</f>
        <v>24.882508960419997</v>
      </c>
      <c r="F4" s="79">
        <f>'NAV Trend'!G17/1000000000</f>
        <v>25.247393537559997</v>
      </c>
      <c r="G4" s="79">
        <f>'NAV Trend'!H17/1000000000</f>
        <v>27.644948093229999</v>
      </c>
      <c r="H4" s="79">
        <f>'NAV Trend'!I17/1000000000</f>
        <v>28.90522929934</v>
      </c>
      <c r="I4" s="80">
        <f>'NAV Trend'!J17/1000000000</f>
        <v>30.630921333499995</v>
      </c>
      <c r="J4" s="20"/>
      <c r="K4" s="20"/>
      <c r="L4" s="15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20"/>
      <c r="O9" s="20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TxX7NxCN6Pl9D5Xsj4bLG1Hn8XbRPv4H3OWFvuR+8LF35eH13lEtKZkUqQJbrKcXlyaHg9J/QPOss0pd0aKI4A==" saltValue="BmekYv0ZfvNa2E4FM5uVr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J10" sqref="J10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299</v>
      </c>
      <c r="B1" s="2">
        <v>46087</v>
      </c>
      <c r="C1" s="2">
        <v>46094</v>
      </c>
      <c r="D1" s="2">
        <v>46099</v>
      </c>
      <c r="E1" s="2">
        <v>46108</v>
      </c>
      <c r="F1" s="2">
        <v>46114</v>
      </c>
      <c r="G1" s="2">
        <v>46122</v>
      </c>
      <c r="H1" s="2">
        <v>46129</v>
      </c>
      <c r="I1" s="2">
        <v>46136</v>
      </c>
      <c r="J1" s="2">
        <v>46142</v>
      </c>
    </row>
    <row r="2" spans="1:11">
      <c r="A2" s="3" t="s">
        <v>17</v>
      </c>
      <c r="B2" s="4">
        <v>159211652092.74878</v>
      </c>
      <c r="C2" s="4">
        <v>163538120041.90128</v>
      </c>
      <c r="D2" s="4">
        <v>167362604727.21579</v>
      </c>
      <c r="E2" s="4">
        <v>170736602967.8475</v>
      </c>
      <c r="F2" s="4">
        <v>176153465596.20389</v>
      </c>
      <c r="G2" s="4">
        <v>183847376318.7514</v>
      </c>
      <c r="H2" s="4">
        <v>198102253974.0199</v>
      </c>
      <c r="I2" s="4">
        <v>216340303668.50018</v>
      </c>
      <c r="J2" s="4">
        <v>234656506558.00677</v>
      </c>
    </row>
    <row r="3" spans="1:11">
      <c r="A3" s="3" t="s">
        <v>53</v>
      </c>
      <c r="B3" s="4">
        <v>5336290181627.8701</v>
      </c>
      <c r="C3" s="4">
        <v>5391387940295.4883</v>
      </c>
      <c r="D3" s="4">
        <v>5463853896039.3164</v>
      </c>
      <c r="E3" s="4">
        <v>5448379818849.8945</v>
      </c>
      <c r="F3" s="4">
        <v>5577381495616.4316</v>
      </c>
      <c r="G3" s="4">
        <v>5619001466443.6777</v>
      </c>
      <c r="H3" s="4">
        <v>5663646349610.5918</v>
      </c>
      <c r="I3" s="4">
        <v>5684681458968.9551</v>
      </c>
      <c r="J3" s="4">
        <v>5710644091386.6309</v>
      </c>
    </row>
    <row r="4" spans="1:11">
      <c r="A4" s="3" t="s">
        <v>300</v>
      </c>
      <c r="B4" s="5">
        <v>242895635845.56708</v>
      </c>
      <c r="C4" s="5">
        <v>242725393719.77261</v>
      </c>
      <c r="D4" s="5">
        <v>241723605867.83209</v>
      </c>
      <c r="E4" s="5">
        <v>241168824723.06894</v>
      </c>
      <c r="F4" s="5">
        <v>240228161185.21439</v>
      </c>
      <c r="G4" s="5">
        <v>237025512543.87482</v>
      </c>
      <c r="H4" s="5">
        <v>237154042743.45844</v>
      </c>
      <c r="I4" s="5">
        <v>235706472228.2908</v>
      </c>
      <c r="J4" s="5">
        <v>235773291330.45038</v>
      </c>
    </row>
    <row r="5" spans="1:11">
      <c r="A5" s="3" t="s">
        <v>165</v>
      </c>
      <c r="B5" s="4">
        <v>1871197469152.2844</v>
      </c>
      <c r="C5" s="4">
        <v>1825820397268.7412</v>
      </c>
      <c r="D5" s="4">
        <v>1804490357211.8433</v>
      </c>
      <c r="E5" s="4">
        <v>1836846387271.8889</v>
      </c>
      <c r="F5" s="4">
        <v>1846414762120.1338</v>
      </c>
      <c r="G5" s="4">
        <v>1821179366345.8789</v>
      </c>
      <c r="H5" s="4">
        <v>1809968636474.0674</v>
      </c>
      <c r="I5" s="4">
        <v>1845513937800.6819</v>
      </c>
      <c r="J5" s="4">
        <v>1871002753487.2156</v>
      </c>
    </row>
    <row r="6" spans="1:11">
      <c r="A6" s="3" t="s">
        <v>301</v>
      </c>
      <c r="B6" s="5">
        <v>492232053531.7984</v>
      </c>
      <c r="C6" s="5">
        <v>492695374746.03168</v>
      </c>
      <c r="D6" s="5">
        <v>493149888469.67896</v>
      </c>
      <c r="E6" s="5">
        <v>493584500319.52655</v>
      </c>
      <c r="F6" s="5">
        <v>502059408571.63251</v>
      </c>
      <c r="G6" s="5">
        <v>504643192934.91315</v>
      </c>
      <c r="H6" s="5">
        <v>505060613754.44171</v>
      </c>
      <c r="I6" s="5">
        <v>505637897315.83008</v>
      </c>
      <c r="J6" s="5">
        <v>506711673309.49524</v>
      </c>
    </row>
    <row r="7" spans="1:11">
      <c r="A7" s="3" t="s">
        <v>207</v>
      </c>
      <c r="B7" s="7">
        <v>119284434936.1797</v>
      </c>
      <c r="C7" s="7">
        <v>120029792761.26135</v>
      </c>
      <c r="D7" s="7">
        <v>121922044985.49959</v>
      </c>
      <c r="E7" s="7">
        <v>122320890754.34761</v>
      </c>
      <c r="F7" s="7">
        <v>121950048807.84406</v>
      </c>
      <c r="G7" s="7">
        <v>125203708589.52214</v>
      </c>
      <c r="H7" s="7">
        <v>130923641116.56393</v>
      </c>
      <c r="I7" s="7">
        <v>137046282636.08223</v>
      </c>
      <c r="J7" s="7">
        <v>144449783996.67877</v>
      </c>
    </row>
    <row r="8" spans="1:11">
      <c r="A8" s="3" t="s">
        <v>238</v>
      </c>
      <c r="B8" s="6">
        <v>14784118823.610147</v>
      </c>
      <c r="C8" s="6">
        <v>14898817340.940001</v>
      </c>
      <c r="D8" s="6">
        <v>14938804220.809999</v>
      </c>
      <c r="E8" s="6">
        <v>14939585769.67</v>
      </c>
      <c r="F8" s="6">
        <v>15037578574.93964</v>
      </c>
      <c r="G8" s="6">
        <v>15435732579.870001</v>
      </c>
      <c r="H8" s="6">
        <v>16713684212.59</v>
      </c>
      <c r="I8" s="6">
        <v>18040731810.32</v>
      </c>
      <c r="J8" s="6">
        <v>19513541737.860001</v>
      </c>
    </row>
    <row r="9" spans="1:11">
      <c r="A9" s="3" t="s">
        <v>302</v>
      </c>
      <c r="B9" s="6">
        <v>108414656881.62793</v>
      </c>
      <c r="C9" s="6">
        <v>111041562562.37579</v>
      </c>
      <c r="D9" s="6">
        <v>111346941436.07184</v>
      </c>
      <c r="E9" s="6">
        <v>112580157012.57768</v>
      </c>
      <c r="F9" s="6">
        <v>114551995150.56964</v>
      </c>
      <c r="G9" s="6">
        <v>117111274808.80344</v>
      </c>
      <c r="H9" s="6">
        <v>120565305238.60492</v>
      </c>
      <c r="I9" s="6">
        <v>125945079150.49832</v>
      </c>
      <c r="J9" s="6">
        <v>133934467400.73964</v>
      </c>
    </row>
    <row r="10" spans="1:11">
      <c r="A10" s="3" t="s">
        <v>270</v>
      </c>
      <c r="B10" s="6">
        <v>31180088808.191078</v>
      </c>
      <c r="C10" s="6">
        <v>30929893185.840004</v>
      </c>
      <c r="D10" s="6">
        <v>30888527279.779999</v>
      </c>
      <c r="E10" s="6">
        <v>31122132963.085693</v>
      </c>
      <c r="F10" s="6">
        <v>31240648592.305443</v>
      </c>
      <c r="G10" s="6">
        <v>31390655001.210625</v>
      </c>
      <c r="H10" s="6">
        <v>31487849239.809494</v>
      </c>
      <c r="I10" s="6">
        <v>31632969925.556732</v>
      </c>
      <c r="J10" s="6">
        <v>31899721332.017464</v>
      </c>
    </row>
    <row r="11" spans="1:11" ht="15.6">
      <c r="A11" s="8" t="s">
        <v>306</v>
      </c>
      <c r="B11" s="9">
        <f t="shared" ref="B11:H11" si="0">SUM(B2:B9)</f>
        <v>8344310202891.6875</v>
      </c>
      <c r="C11" s="9">
        <f t="shared" si="0"/>
        <v>8362137398736.5127</v>
      </c>
      <c r="D11" s="9">
        <f t="shared" si="0"/>
        <v>8418788142958.2676</v>
      </c>
      <c r="E11" s="9">
        <f t="shared" si="0"/>
        <v>8440556767668.8223</v>
      </c>
      <c r="F11" s="9">
        <f t="shared" si="0"/>
        <v>8593776915622.9697</v>
      </c>
      <c r="G11" s="9">
        <f t="shared" si="0"/>
        <v>8623447630565.292</v>
      </c>
      <c r="H11" s="9">
        <f t="shared" si="0"/>
        <v>8682134527124.3359</v>
      </c>
      <c r="I11" s="9">
        <f>SUM(I2:I10)</f>
        <v>8800545133504.7148</v>
      </c>
      <c r="J11" s="9">
        <f>SUM(J2:J10)</f>
        <v>8888585830539.0957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307</v>
      </c>
      <c r="B13" s="42" t="s">
        <v>308</v>
      </c>
      <c r="C13" s="13">
        <f>(B11+C11)/2</f>
        <v>8353223800814.0996</v>
      </c>
      <c r="D13" s="14">
        <f t="shared" ref="D13:J13" si="1">(C11+D11)/2</f>
        <v>8390462770847.3906</v>
      </c>
      <c r="E13" s="14">
        <f t="shared" si="1"/>
        <v>8429672455313.5449</v>
      </c>
      <c r="F13" s="14">
        <f t="shared" si="1"/>
        <v>8517166841645.8965</v>
      </c>
      <c r="G13" s="14">
        <f t="shared" si="1"/>
        <v>8608612273094.1309</v>
      </c>
      <c r="H13" s="14">
        <f t="shared" si="1"/>
        <v>8652791078844.8145</v>
      </c>
      <c r="I13" s="14">
        <f t="shared" si="1"/>
        <v>8741339830314.5254</v>
      </c>
      <c r="J13" s="14">
        <f t="shared" si="1"/>
        <v>8844565482021.9063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46087</v>
      </c>
      <c r="C16" s="2">
        <v>46094</v>
      </c>
      <c r="D16" s="2">
        <v>46099</v>
      </c>
      <c r="E16" s="2">
        <v>46108</v>
      </c>
      <c r="F16" s="2">
        <v>46114</v>
      </c>
      <c r="G16" s="2">
        <v>46122</v>
      </c>
      <c r="H16" s="2">
        <v>46129</v>
      </c>
      <c r="I16" s="2">
        <v>46136</v>
      </c>
      <c r="J16" s="2">
        <v>46142</v>
      </c>
      <c r="K16" s="15"/>
    </row>
    <row r="17" spans="1:11">
      <c r="A17" s="16" t="s">
        <v>309</v>
      </c>
      <c r="B17" s="17">
        <v>23933072983.509998</v>
      </c>
      <c r="C17" s="17">
        <v>24024073678.48</v>
      </c>
      <c r="D17" s="17">
        <v>24066111842.459999</v>
      </c>
      <c r="E17" s="17">
        <v>24226803601.379997</v>
      </c>
      <c r="F17" s="17">
        <v>24882508960.419998</v>
      </c>
      <c r="G17" s="17">
        <v>25247393537.559998</v>
      </c>
      <c r="H17" s="17">
        <v>27644948093.23</v>
      </c>
      <c r="I17" s="17">
        <v>28905229299.34</v>
      </c>
      <c r="J17" s="17">
        <v>30630921333.499996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aGCTU/tdJYEv5KmShUIC7IXpmArFnD3/Jk/VH9RUQbEPp3EgoFiAf8bYV04njDvG0GWE5SLD9smyDYienzLiAQ==" saltValue="sMBujjn8RBo2caBZlpOoM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2026-05-25T10:39:27Z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