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3016" windowHeight="904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7" i="1" l="1"/>
  <c r="R135" i="1" l="1"/>
  <c r="T135" i="1"/>
  <c r="O135" i="1"/>
  <c r="T246" i="1" l="1"/>
  <c r="R246" i="1"/>
  <c r="O246" i="1"/>
  <c r="O159" i="1"/>
  <c r="T154" i="1"/>
  <c r="R154" i="1"/>
  <c r="O154" i="1"/>
  <c r="O132" i="1" l="1"/>
  <c r="T148" i="1" l="1"/>
  <c r="R148" i="1"/>
  <c r="O148" i="1"/>
  <c r="T126" i="1" l="1"/>
  <c r="R126" i="1"/>
  <c r="O126" i="1"/>
  <c r="T141" i="1" l="1"/>
  <c r="R141" i="1"/>
  <c r="O141" i="1"/>
  <c r="O133" i="1"/>
  <c r="T160" i="1"/>
  <c r="R160" i="1"/>
  <c r="O160" i="1"/>
  <c r="T156" i="1"/>
  <c r="R156" i="1"/>
  <c r="O156" i="1"/>
  <c r="R153" i="1"/>
  <c r="T153" i="1"/>
  <c r="O153" i="1"/>
  <c r="T144" i="1" l="1"/>
  <c r="R144" i="1"/>
  <c r="O144" i="1"/>
  <c r="T142" i="1"/>
  <c r="R142" i="1"/>
  <c r="O142" i="1"/>
  <c r="T137" i="1" l="1"/>
  <c r="R137" i="1"/>
  <c r="O137" i="1"/>
  <c r="O150" i="1" l="1"/>
  <c r="T121" i="1"/>
  <c r="R121" i="1"/>
  <c r="O121" i="1"/>
  <c r="T127" i="1"/>
  <c r="R127" i="1"/>
  <c r="O127" i="1"/>
  <c r="T122" i="1"/>
  <c r="R122" i="1"/>
  <c r="O122" i="1"/>
  <c r="T146" i="1"/>
  <c r="R146" i="1"/>
  <c r="O146" i="1"/>
  <c r="T125" i="1" l="1"/>
  <c r="R125" i="1"/>
  <c r="O125" i="1"/>
  <c r="R128" i="1" l="1"/>
  <c r="O128" i="1"/>
  <c r="O134" i="1"/>
  <c r="T136" i="1" l="1"/>
  <c r="R136" i="1"/>
  <c r="O136" i="1"/>
  <c r="T151" i="1"/>
  <c r="R151" i="1"/>
  <c r="O151" i="1"/>
  <c r="T143" i="1" l="1"/>
  <c r="R143" i="1"/>
  <c r="O143" i="1"/>
  <c r="T152" i="1" l="1"/>
  <c r="R152" i="1"/>
  <c r="T241" i="1" l="1"/>
  <c r="R241" i="1"/>
  <c r="O241" i="1"/>
  <c r="T124" i="1" l="1"/>
  <c r="R124" i="1"/>
  <c r="O124" i="1"/>
  <c r="T123" i="1"/>
  <c r="R123" i="1"/>
  <c r="O123" i="1"/>
  <c r="T155" i="1"/>
  <c r="R155" i="1"/>
  <c r="O155" i="1"/>
  <c r="X157" i="1" l="1"/>
  <c r="X158" i="1"/>
  <c r="T157" i="1"/>
  <c r="R157" i="1"/>
  <c r="O157" i="1"/>
  <c r="T138" i="1"/>
  <c r="R138" i="1"/>
  <c r="O138" i="1"/>
  <c r="R243" i="1" l="1"/>
  <c r="T243" i="1"/>
  <c r="T159" i="1" l="1"/>
  <c r="R159" i="1"/>
  <c r="N152" i="1"/>
  <c r="T150" i="1"/>
  <c r="R150" i="1"/>
  <c r="T149" i="1"/>
  <c r="R149" i="1"/>
  <c r="N149" i="1"/>
  <c r="S147" i="1"/>
  <c r="Q147" i="1"/>
  <c r="N147" i="1"/>
  <c r="T134" i="1"/>
  <c r="R134" i="1"/>
  <c r="T133" i="1"/>
  <c r="R133" i="1"/>
  <c r="T132" i="1"/>
  <c r="R132" i="1"/>
  <c r="T128" i="1"/>
  <c r="E246" i="1"/>
  <c r="E243" i="1"/>
  <c r="E241" i="1"/>
  <c r="D161" i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2" i="1"/>
  <c r="AA192" i="1"/>
  <c r="Z192" i="1"/>
  <c r="Y192" i="1"/>
  <c r="X192" i="1"/>
  <c r="AB59" i="1" l="1"/>
  <c r="AA59" i="1"/>
  <c r="Z59" i="1"/>
  <c r="Y59" i="1"/>
  <c r="X59" i="1"/>
  <c r="O203" i="1" l="1"/>
  <c r="P176" i="1" s="1"/>
  <c r="P192" i="1" l="1"/>
  <c r="P190" i="1"/>
  <c r="B5" i="3"/>
  <c r="X261" i="1" l="1"/>
  <c r="X180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142" i="1"/>
  <c r="X33" i="1" l="1"/>
  <c r="Y33" i="1"/>
  <c r="Z33" i="1"/>
  <c r="AA33" i="1"/>
  <c r="AB33" i="1"/>
  <c r="O161" i="1" l="1"/>
  <c r="P135" i="1" s="1"/>
  <c r="P131" i="1" l="1"/>
  <c r="P142" i="1"/>
  <c r="P132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8" i="1" l="1"/>
  <c r="Y85" i="1" l="1"/>
  <c r="I11" i="4" l="1"/>
  <c r="P233" i="1" l="1"/>
  <c r="X233" i="1"/>
  <c r="J11" i="4" l="1"/>
  <c r="P173" i="1"/>
  <c r="P183" i="1" l="1"/>
  <c r="P191" i="1"/>
  <c r="Y220" i="1"/>
  <c r="Y168" i="1"/>
  <c r="X37" i="1" l="1"/>
  <c r="AB24" i="1"/>
  <c r="AA24" i="1"/>
  <c r="Z24" i="1"/>
  <c r="Y24" i="1"/>
  <c r="X24" i="1"/>
  <c r="P207" i="1" l="1"/>
  <c r="P234" i="1" l="1"/>
  <c r="AB196" i="1" l="1"/>
  <c r="AA196" i="1"/>
  <c r="Z196" i="1"/>
  <c r="Y196" i="1"/>
  <c r="X196" i="1"/>
  <c r="X148" i="1" l="1"/>
  <c r="Y136" i="1"/>
  <c r="Y131" i="1"/>
  <c r="Y130" i="1"/>
  <c r="Y243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4" i="1"/>
  <c r="AA244" i="1"/>
  <c r="Z244" i="1"/>
  <c r="Y244" i="1"/>
  <c r="X244" i="1"/>
  <c r="AB243" i="1"/>
  <c r="AA243" i="1"/>
  <c r="Z243" i="1"/>
  <c r="X243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AB202" i="1"/>
  <c r="AA202" i="1"/>
  <c r="Z202" i="1"/>
  <c r="Y202" i="1"/>
  <c r="X202" i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4" i="1"/>
  <c r="AA134" i="1"/>
  <c r="Z134" i="1"/>
  <c r="Y134" i="1"/>
  <c r="X134" i="1"/>
  <c r="AB133" i="1"/>
  <c r="AA133" i="1"/>
  <c r="Z133" i="1"/>
  <c r="Y133" i="1"/>
  <c r="X133" i="1"/>
  <c r="AB132" i="1"/>
  <c r="AA132" i="1"/>
  <c r="Z132" i="1"/>
  <c r="Y132" i="1"/>
  <c r="AB131" i="1"/>
  <c r="AA131" i="1"/>
  <c r="Z131" i="1"/>
  <c r="AB130" i="1"/>
  <c r="AA130" i="1"/>
  <c r="Z130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5" i="1"/>
  <c r="AA95" i="1"/>
  <c r="Z95" i="1"/>
  <c r="Y95" i="1"/>
  <c r="X95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3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2" i="1"/>
  <c r="AA12" i="1"/>
  <c r="Z12" i="1"/>
  <c r="Y12" i="1"/>
  <c r="X12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2" i="1"/>
  <c r="P103" i="1"/>
  <c r="P115" i="1"/>
  <c r="B4" i="3"/>
  <c r="P228" i="1"/>
  <c r="P266" i="1"/>
  <c r="P261" i="1"/>
  <c r="P166" i="1"/>
  <c r="B8" i="3"/>
  <c r="P86" i="1"/>
  <c r="B7" i="3"/>
  <c r="F59" i="1"/>
  <c r="P59" i="1"/>
  <c r="P48" i="1"/>
  <c r="P74" i="1"/>
  <c r="P88" i="1"/>
  <c r="P99" i="1"/>
  <c r="P72" i="1"/>
  <c r="P223" i="1"/>
  <c r="P41" i="1"/>
  <c r="P73" i="1"/>
  <c r="P49" i="1"/>
  <c r="F31" i="1"/>
  <c r="P31" i="1"/>
  <c r="B16" i="2"/>
  <c r="B6" i="2" s="1"/>
  <c r="F142" i="1"/>
  <c r="P33" i="1"/>
  <c r="P98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2" i="1"/>
  <c r="P24" i="1"/>
  <c r="F7" i="1"/>
  <c r="F11" i="1"/>
  <c r="F15" i="1"/>
  <c r="P30" i="1"/>
  <c r="F103" i="1"/>
  <c r="P220" i="1"/>
  <c r="F115" i="1"/>
  <c r="F21" i="1"/>
  <c r="F19" i="1"/>
  <c r="Z203" i="1"/>
  <c r="F17" i="1"/>
  <c r="F102" i="1"/>
  <c r="F181" i="1"/>
  <c r="F179" i="1"/>
  <c r="F177" i="1"/>
  <c r="F175" i="1"/>
  <c r="P168" i="1"/>
  <c r="P196" i="1"/>
  <c r="P185" i="1"/>
  <c r="P47" i="1"/>
  <c r="F250" i="1"/>
  <c r="F98" i="1"/>
  <c r="F100" i="1"/>
  <c r="F96" i="1"/>
  <c r="F80" i="1"/>
  <c r="F94" i="1"/>
  <c r="F92" i="1"/>
  <c r="F104" i="1"/>
  <c r="B18" i="2"/>
  <c r="B8" i="2" s="1"/>
  <c r="F196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3" i="1"/>
  <c r="Z209" i="1"/>
  <c r="F233" i="1"/>
  <c r="F208" i="1"/>
  <c r="F183" i="1"/>
  <c r="F168" i="1"/>
  <c r="F23" i="1"/>
  <c r="D13" i="4"/>
  <c r="Z237" i="1"/>
  <c r="P89" i="1"/>
  <c r="F54" i="1"/>
  <c r="P55" i="1"/>
  <c r="F56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1" i="1"/>
  <c r="F199" i="1"/>
  <c r="F197" i="1"/>
  <c r="F194" i="1"/>
  <c r="F191" i="1"/>
  <c r="F174" i="1"/>
  <c r="F176" i="1"/>
  <c r="F189" i="1"/>
  <c r="F187" i="1"/>
  <c r="F185" i="1"/>
  <c r="Z170" i="1"/>
  <c r="Z161" i="1"/>
  <c r="F133" i="1"/>
  <c r="F150" i="1"/>
  <c r="F152" i="1"/>
  <c r="F121" i="1"/>
  <c r="F123" i="1"/>
  <c r="F131" i="1"/>
  <c r="F129" i="1"/>
  <c r="F138" i="1"/>
  <c r="F156" i="1"/>
  <c r="F125" i="1"/>
  <c r="F143" i="1"/>
  <c r="F145" i="1"/>
  <c r="F147" i="1"/>
  <c r="F158" i="1"/>
  <c r="F149" i="1"/>
  <c r="F132" i="1"/>
  <c r="F151" i="1"/>
  <c r="F160" i="1"/>
  <c r="F122" i="1"/>
  <c r="F134" i="1"/>
  <c r="F153" i="1"/>
  <c r="F124" i="1"/>
  <c r="F128" i="1"/>
  <c r="F130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5" i="1"/>
  <c r="F97" i="1"/>
  <c r="F99" i="1"/>
  <c r="F101" i="1"/>
  <c r="Z76" i="1"/>
  <c r="F6" i="1"/>
  <c r="F8" i="1"/>
  <c r="F10" i="1"/>
  <c r="F12" i="1"/>
  <c r="F14" i="1"/>
  <c r="F16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7" i="1"/>
  <c r="P108" i="1"/>
  <c r="P79" i="1"/>
  <c r="P85" i="1"/>
  <c r="P93" i="1"/>
  <c r="P101" i="1"/>
  <c r="P105" i="1"/>
  <c r="P112" i="1"/>
  <c r="P83" i="1"/>
  <c r="P87" i="1"/>
  <c r="P91" i="1"/>
  <c r="P95" i="1"/>
  <c r="P110" i="1"/>
  <c r="P114" i="1"/>
  <c r="P179" i="1"/>
  <c r="P180" i="1"/>
  <c r="P184" i="1"/>
  <c r="P187" i="1"/>
  <c r="P188" i="1"/>
  <c r="P193" i="1"/>
  <c r="P197" i="1"/>
  <c r="P198" i="1"/>
  <c r="P201" i="1"/>
  <c r="P202" i="1"/>
  <c r="P174" i="1"/>
  <c r="P258" i="1"/>
  <c r="P262" i="1"/>
  <c r="P256" i="1"/>
  <c r="P260" i="1"/>
  <c r="P264" i="1"/>
  <c r="P255" i="1"/>
  <c r="P257" i="1"/>
  <c r="P259" i="1"/>
  <c r="P263" i="1"/>
  <c r="P265" i="1"/>
  <c r="P53" i="1"/>
  <c r="P175" i="1"/>
  <c r="P177" i="1"/>
  <c r="P178" i="1"/>
  <c r="P181" i="1"/>
  <c r="P182" i="1"/>
  <c r="P186" i="1"/>
  <c r="P189" i="1"/>
  <c r="P194" i="1"/>
  <c r="P195" i="1"/>
  <c r="P199" i="1"/>
  <c r="P200" i="1"/>
  <c r="F29" i="1"/>
  <c r="F32" i="1"/>
  <c r="F35" i="1"/>
  <c r="P36" i="1"/>
  <c r="P6" i="1"/>
  <c r="P14" i="1"/>
  <c r="P8" i="1"/>
  <c r="P16" i="1"/>
  <c r="P7" i="1"/>
  <c r="P9" i="1"/>
  <c r="P11" i="1"/>
  <c r="P13" i="1"/>
  <c r="P15" i="1"/>
  <c r="P19" i="1"/>
  <c r="P17" i="1"/>
  <c r="P21" i="1"/>
  <c r="P80" i="1"/>
  <c r="F83" i="1"/>
  <c r="P84" i="1"/>
  <c r="P90" i="1"/>
  <c r="P92" i="1"/>
  <c r="P94" i="1"/>
  <c r="P96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8" i="1"/>
  <c r="F50" i="1"/>
  <c r="P51" i="1"/>
  <c r="F52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7" i="1"/>
  <c r="F49" i="1"/>
  <c r="P50" i="1"/>
  <c r="F51" i="1"/>
  <c r="P52" i="1"/>
  <c r="P54" i="1"/>
  <c r="F55" i="1"/>
  <c r="P56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2" i="1"/>
  <c r="X123" i="1"/>
  <c r="X130" i="1"/>
  <c r="X131" i="1"/>
  <c r="X132" i="1"/>
  <c r="C17" i="2"/>
  <c r="C7" i="2" s="1"/>
  <c r="X170" i="1"/>
  <c r="P169" i="1"/>
  <c r="P167" i="1"/>
  <c r="P165" i="1"/>
  <c r="P164" i="1"/>
  <c r="P244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8" i="1"/>
  <c r="F180" i="1"/>
  <c r="F182" i="1"/>
  <c r="F184" i="1"/>
  <c r="F186" i="1"/>
  <c r="F188" i="1"/>
  <c r="F190" i="1"/>
  <c r="F193" i="1"/>
  <c r="F195" i="1"/>
  <c r="F198" i="1"/>
  <c r="F200" i="1"/>
  <c r="F202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3" i="1"/>
  <c r="F244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4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0" i="1"/>
  <c r="P147" i="1"/>
  <c r="P124" i="1"/>
  <c r="P126" i="1"/>
  <c r="P133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<sst xmlns="http://schemas.openxmlformats.org/spreadsheetml/2006/main" count="1675" uniqueCount="348">
  <si>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</si>
  <si>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</si>
  <si>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</si>
  <si>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</si>
  <si>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</si>
  <si>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</si>
  <si>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</si>
  <si>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</si>
  <si>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</si>
  <si>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</si>
  <si>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</si>
  <si>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</si>
  <si>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</si>
  <si>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</si>
  <si>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</si>
  <si>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</si>
  <si>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</si>
  <si>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</si>
  <si>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</si>
  <si>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</si>
  <si>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</si>
  <si>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</si>
  <si>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</si>
  <si>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</si>
  <si>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</si>
  <si>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</si>
  <si>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</si>
  <si>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</si>
  <si>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</si>
  <si>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</si>
  <si>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</si>
  <si>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</si>
  <si>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</si>
  <si>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</si>
  <si>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</si>
  <si>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</si>
  <si>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</si>
  <si>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</si>
  <si>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</si>
  <si>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</si>
  <si>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</si>
  <si>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</si>
  <si>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</si>
  <si>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</si>
  <si>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</si>
  <si>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</si>
  <si>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</si>
  <si>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</si>
  <si>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</si>
  <si>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</si>
  <si>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</si>
  <si>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</si>
  <si>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</si>
  <si>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</si>
  <si>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</si>
  <si>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</si>
  <si>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</si>
  <si>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</si>
  <si>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</si>
  <si>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</si>
  <si>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</si>
  <si>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</si>
  <si>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</si>
  <si>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</si>
  <si>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</si>
  <si>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</si>
  <si>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</si>
  <si>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</si>
  <si>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</si>
  <si>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</si>
  <si>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</si>
  <si>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</si>
  <si>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</si>
  <si>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</si>
  <si>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</si>
  <si>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</si>
  <si>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</si>
  <si>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</si>
  <si>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</si>
  <si>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</si>
  <si>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</si>
  <si>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</si>
  <si>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</si>
  <si>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</si>
  <si>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</si>
  <si>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</si>
  <si>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</si>
  <si>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</si>
  <si>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</si>
  <si>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</si>
  <si>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</si>
  <si>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</si>
  <si>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</si>
  <si>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</si>
  <si>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</si>
  <si>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</si>
  <si>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</si>
  <si>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</si>
  <si>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</si>
  <si>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</si>
  <si>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</si>
  <si>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</si>
  <si>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</si>
  <si>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</si>
  <si>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</si>
  <si>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</si>
  <si>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</si>
  <si>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</si>
  <si>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</si>
  <si>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</si>
  <si>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</si>
  <si>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</si>
  <si>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</si>
  <si>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</si>
  <si>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</si>
  <si>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</si>
  <si>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</si>
  <si>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</si>
  <si>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</si>
  <si>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</si>
  <si>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</si>
  <si>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</si>
  <si>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</si>
  <si>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</si>
  <si>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</si>
  <si>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</si>
  <si>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</si>
  <si>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</si>
  <si>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</si>
  <si>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</si>
  <si>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</si>
  <si>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</si>
  <si>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</si>
  <si>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</si>
  <si>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</si>
  <si>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</si>
  <si>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</si>
  <si>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</si>
  <si>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</si>
  <si>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</si>
  <si>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</si>
  <si>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</si>
  <si>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</si>
  <si>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</si>
  <si>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</si>
  <si>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</si>
  <si>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</si>
  <si>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</si>
  <si>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</si>
  <si>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</si>
  <si>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</si>
  <si>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</si>
  <si>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</si>
  <si>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</si>
  <si>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</si>
  <si>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</si>
  <si>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</si>
  <si>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</si>
  <si>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</si>
  <si>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</si>
  <si>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</si>
  <si>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</si>
  <si>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</si>
  <si>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</si>
  <si>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</si>
  <si>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</si>
  <si>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</si>
  <si>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</si>
  <si>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</si>
  <si>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</si>
  <si>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</si>
  <si>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</si>
  <si>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</si>
  <si>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</si>
  <si>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</si>
  <si>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</si>
  <si>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</si>
  <si>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</si>
  <si>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</si>
  <si>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</si>
  <si>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</si>
  <si>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</si>
  <si>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</si>
  <si>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</si>
  <si>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</si>
  <si>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</si>
  <si>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</si>
  <si>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</si>
  <si>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</si>
  <si>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</si>
  <si>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</si>
  <si>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</si>
  <si>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</si>
  <si>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</si>
  <si>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</si>
  <si>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</si>
  <si>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</si>
  <si>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</si>
  <si>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</si>
  <si>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</si>
  <si>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</si>
  <si>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</si>
  <si>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</si>
  <si>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</si>
  <si>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</si>
  <si>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</si>
  <si>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</si>
  <si>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</si>
  <si>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</si>
  <si>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</si>
  <si>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</si>
  <si>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</si>
  <si>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</si>
  <si>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</si>
  <si>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</si>
  <si>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</si>
  <si>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</si>
  <si>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</si>
  <si>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</si>
  <si>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</si>
  <si>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</si>
  <si>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</si>
  <si>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</si>
  <si>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</si>
  <si>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</si>
  <si>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</si>
  <si>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</si>
  <si>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</si>
  <si>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</si>
  <si>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</si>
  <si>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</si>
  <si>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</si>
  <si>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</si>
  <si>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</si>
  <si>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</si>
  <si>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</si>
  <si>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</si>
  <si>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</si>
  <si>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</si>
  <si>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</si>
  <si>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</si>
  <si>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</si>
  <si>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</si>
  <si>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</si>
  <si>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</si>
  <si>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</si>
  <si>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</si>
  <si>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</si>
  <si>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</si>
  <si>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</si>
  <si>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</si>
  <si>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</si>
  <si>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</si>
  <si>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</si>
  <si>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</si>
  <si>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</si>
  <si>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</si>
  <si>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</si>
  <si>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</si>
  <si>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</si>
  <si>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</si>
  <si>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</si>
  <si>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</si>
  <si>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</si>
  <si>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</si>
  <si>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</si>
  <si>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</si>
  <si>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</si>
  <si>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</si>
  <si>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</si>
  <si>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</si>
  <si>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</si>
  <si>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</si>
  <si>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</si>
  <si>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</si>
  <si>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</si>
  <si>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</si>
  <si>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</si>
  <si>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</si>
  <si>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</si>
  <si>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</si>
  <si>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</si>
  <si>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</si>
  <si>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</si>
  <si>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</si>
  <si>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</si>
  <si>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</si>
  <si>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</si>
  <si>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</si>
  <si>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</si>
  <si>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</si>
  <si>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</si>
  <si>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</si>
  <si>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</si>
  <si>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</si>
  <si>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</si>
  <si>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</si>
  <si>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</si>
  <si>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</si>
  <si>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</si>
  <si>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</si>
  <si>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</si>
  <si>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</si>
  <si>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</si>
  <si>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</si>
  <si>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</si>
  <si>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</si>
  <si>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</si>
  <si>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</si>
  <si>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</si>
  <si>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</si>
  <si>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</si>
  <si>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</si>
  <si>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</si>
  <si>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</si>
  <si>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</si>
  <si>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NAV, Unit Price and Yield as at Week Ended April 30, 2026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</si>
  <si>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</si>
  <si>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</si>
  <si>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</si>
  <si>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</si>
  <si>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</si>
  <si>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</si>
  <si>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</si>
  <si>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</si>
  <si>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</si>
  <si>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</si>
  <si>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</si>
  <si>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</si>
  <si>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</si>
  <si>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t>Week Ended April 30, 2026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</si>
  <si>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</si>
  <si>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</si>
  <si>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</si>
  <si>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</si>
  <si>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WEEKLY VALUATION REPORT OF COLLECTIVE INVESTMENT SCHEMES AS AT WEEK ENDED FRIDAY, MAY 8, 2026</t>
  </si>
  <si>
    <t>NAV, Unit Price and Yield as at Week Ended May 8, 2026</t>
  </si>
  <si>
    <t>NFEM RATE NG₦/US$ as at 8th May, 2026 = N1361.3950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</si>
  <si>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</si>
  <si>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</si>
  <si>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</si>
  <si>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</si>
  <si>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</si>
  <si>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</si>
  <si>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</si>
  <si>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>Week Ended May 8, 2026</t>
  </si>
  <si>
    <t>BOND/FIXED INCOME FUNDS</t>
  </si>
  <si>
    <t>INFRASTRUCTURE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</si>
</sst>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9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1">
    <xf numFmtId="0" fontId="0" fillId="0" borderId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6" fillId="21" borderId="0" applyNumberFormat="0" applyBorder="0" applyAlignment="0" applyProtection="0"/>
    <xf numFmtId="0" fontId="37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5" fillId="2" borderId="0" xfId="0" applyFont="1" applyFill="1" applyAlignment="1">
      <alignment wrapText="1"/>
    </xf>
    <xf numFmtId="10" fontId="22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19" fillId="0" borderId="0" xfId="1" applyFont="1"/>
    <xf numFmtId="2" fontId="0" fillId="0" borderId="0" xfId="0" applyNumberFormat="1"/>
    <xf numFmtId="165" fontId="0" fillId="0" borderId="0" xfId="0" applyNumberFormat="1"/>
    <xf numFmtId="4" fontId="24" fillId="10" borderId="0" xfId="0" applyNumberFormat="1" applyFont="1" applyFill="1" applyAlignment="1">
      <alignment horizontal="right" vertical="center" wrapText="1"/>
    </xf>
    <xf numFmtId="166" fontId="11" fillId="0" borderId="0" xfId="1" applyNumberFormat="1" applyFont="1"/>
    <xf numFmtId="4" fontId="27" fillId="0" borderId="0" xfId="0" applyNumberFormat="1" applyFont="1"/>
    <xf numFmtId="164" fontId="0" fillId="0" borderId="0" xfId="1" applyFont="1"/>
    <xf numFmtId="0" fontId="30" fillId="0" borderId="0" xfId="0" applyFont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0" fillId="2" borderId="0" xfId="0" applyFont="1" applyFill="1" applyAlignment="1">
      <alignment wrapText="1"/>
    </xf>
    <xf numFmtId="43" fontId="32" fillId="0" borderId="0" xfId="16" applyFont="1" applyBorder="1"/>
    <xf numFmtId="2" fontId="32" fillId="0" borderId="0" xfId="0" applyNumberFormat="1" applyFont="1"/>
    <xf numFmtId="10" fontId="32" fillId="0" borderId="0" xfId="2" applyNumberFormat="1" applyFont="1" applyBorder="1"/>
    <xf numFmtId="10" fontId="33" fillId="0" borderId="0" xfId="2" applyNumberFormat="1" applyFont="1" applyBorder="1"/>
    <xf numFmtId="10" fontId="0" fillId="0" borderId="0" xfId="2" applyNumberFormat="1" applyFont="1"/>
    <xf numFmtId="43" fontId="2" fillId="4" borderId="1" xfId="0" quotePrefix="1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1" fillId="0" borderId="0" xfId="0" applyFont="1"/>
    <xf numFmtId="0" fontId="42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10" fontId="22" fillId="10" borderId="0" xfId="2" applyNumberFormat="1" applyFont="1" applyFill="1" applyAlignment="1">
      <alignment horizontal="right" vertical="center" wrapText="1"/>
    </xf>
    <xf numFmtId="164" fontId="43" fillId="2" borderId="2" xfId="1" applyFont="1" applyFill="1" applyBorder="1"/>
    <xf numFmtId="10" fontId="43" fillId="2" borderId="2" xfId="2" applyNumberFormat="1" applyFont="1" applyFill="1" applyBorder="1"/>
    <xf numFmtId="164" fontId="43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9" fillId="2" borderId="0" xfId="0" applyFont="1" applyFill="1"/>
    <xf numFmtId="0" fontId="45" fillId="2" borderId="0" xfId="0" applyFont="1" applyFill="1" applyAlignment="1">
      <alignment horizontal="right"/>
    </xf>
    <xf numFmtId="16" fontId="45" fillId="2" borderId="0" xfId="0" applyNumberFormat="1" applyFont="1" applyFill="1" applyAlignment="1">
      <alignment horizontal="center" wrapText="1"/>
    </xf>
    <xf numFmtId="0" fontId="46" fillId="2" borderId="0" xfId="0" applyFont="1" applyFill="1"/>
    <xf numFmtId="0" fontId="45" fillId="2" borderId="0" xfId="0" applyFont="1" applyFill="1" applyAlignment="1">
      <alignment horizontal="right" wrapText="1"/>
    </xf>
    <xf numFmtId="4" fontId="47" fillId="2" borderId="0" xfId="0" applyNumberFormat="1" applyFont="1" applyFill="1"/>
    <xf numFmtId="4" fontId="47" fillId="2" borderId="0" xfId="0" applyNumberFormat="1" applyFont="1" applyFill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0" fontId="48" fillId="2" borderId="0" xfId="0" applyFont="1" applyFill="1" applyAlignment="1">
      <alignment horizontal="right" wrapText="1"/>
    </xf>
    <xf numFmtId="164" fontId="11" fillId="2" borderId="0" xfId="1" applyFont="1" applyFill="1" applyBorder="1"/>
    <xf numFmtId="4" fontId="11" fillId="2" borderId="0" xfId="0" applyNumberFormat="1" applyFont="1" applyFill="1"/>
    <xf numFmtId="0" fontId="48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/>
    </xf>
    <xf numFmtId="4" fontId="50" fillId="2" borderId="0" xfId="0" applyNumberFormat="1" applyFont="1" applyFill="1"/>
    <xf numFmtId="0" fontId="49" fillId="0" borderId="0" xfId="0" applyFont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2" borderId="0" xfId="0" applyFont="1" applyFill="1" applyAlignment="1">
      <alignment horizontal="right"/>
    </xf>
    <xf numFmtId="16" fontId="49" fillId="2" borderId="0" xfId="0" applyNumberFormat="1" applyFont="1" applyFill="1"/>
    <xf numFmtId="4" fontId="50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4" fillId="0" borderId="0" xfId="0" applyFont="1"/>
    <xf numFmtId="16" fontId="52" fillId="2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  <xf numFmtId="0" fontId="5" fillId="6" borderId="3" xfId="0" applyFont="1" applyFill="1" applyBorder="1"/>
    <xf numFmtId="0" fontId="13" fillId="7" borderId="3" xfId="0" applyFont="1" applyFill="1" applyBorder="1"/>
    <xf numFmtId="0" fontId="14" fillId="7" borderId="3" xfId="0" applyFont="1" applyFill="1" applyBorder="1"/>
    <xf numFmtId="4" fontId="18" fillId="2" borderId="3" xfId="0" applyNumberFormat="1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4" fontId="16" fillId="2" borderId="3" xfId="0" applyNumberFormat="1" applyFont="1" applyFill="1" applyBorder="1"/>
    <xf numFmtId="10" fontId="16" fillId="7" borderId="3" xfId="2" applyNumberFormat="1" applyFont="1" applyFill="1" applyBorder="1" applyAlignment="1">
      <alignment horizontal="center"/>
    </xf>
    <xf numFmtId="164" fontId="16" fillId="9" borderId="3" xfId="1" applyFont="1" applyFill="1" applyBorder="1" applyAlignment="1">
      <alignment horizontal="center"/>
    </xf>
    <xf numFmtId="10" fontId="16" fillId="9" borderId="3" xfId="2" applyNumberFormat="1" applyFont="1" applyFill="1" applyBorder="1" applyAlignment="1">
      <alignment horizontal="center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2" fontId="19" fillId="0" borderId="3" xfId="0" applyNumberFormat="1" applyFont="1" applyBorder="1"/>
    <xf numFmtId="164" fontId="18" fillId="2" borderId="3" xfId="1" applyFont="1" applyFill="1" applyBorder="1"/>
    <xf numFmtId="164" fontId="18" fillId="2" borderId="3" xfId="10" applyFont="1" applyFill="1" applyBorder="1"/>
    <xf numFmtId="4" fontId="16" fillId="0" borderId="3" xfId="0" applyNumberFormat="1" applyFont="1" applyBorder="1"/>
    <xf numFmtId="4" fontId="18" fillId="2" borderId="3" xfId="0" applyNumberFormat="1" applyFont="1" applyFill="1" applyBorder="1" applyAlignment="1">
      <alignment horizontal="right"/>
    </xf>
    <xf numFmtId="0" fontId="16" fillId="2" borderId="3" xfId="0" applyFont="1" applyFill="1" applyBorder="1"/>
    <xf numFmtId="0" fontId="15" fillId="2" borderId="3" xfId="0" applyFont="1" applyFill="1" applyBorder="1" applyAlignment="1">
      <alignment horizontal="right"/>
    </xf>
    <xf numFmtId="164" fontId="15" fillId="2" borderId="3" xfId="1" applyFont="1" applyFill="1" applyBorder="1" applyAlignment="1">
      <alignment horizontal="right" vertical="top" wrapText="1"/>
    </xf>
    <xf numFmtId="10" fontId="21" fillId="7" borderId="3" xfId="2" applyNumberFormat="1" applyFont="1" applyFill="1" applyBorder="1" applyAlignment="1">
      <alignment horizontal="center" vertical="top" wrapText="1"/>
    </xf>
    <xf numFmtId="10" fontId="18" fillId="2" borderId="3" xfId="2" applyNumberFormat="1" applyFont="1" applyFill="1" applyBorder="1" applyAlignment="1">
      <alignment horizontal="center" vertical="top" wrapText="1"/>
    </xf>
    <xf numFmtId="4" fontId="18" fillId="2" borderId="3" xfId="1" applyNumberFormat="1" applyFont="1" applyFill="1" applyBorder="1" applyAlignment="1">
      <alignment vertical="top" wrapText="1"/>
    </xf>
    <xf numFmtId="164" fontId="15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 vertical="top" wrapText="1"/>
    </xf>
    <xf numFmtId="164" fontId="18" fillId="2" borderId="3" xfId="10" applyFont="1" applyFill="1" applyBorder="1" applyAlignment="1">
      <alignment horizontal="right"/>
    </xf>
    <xf numFmtId="4" fontId="18" fillId="2" borderId="3" xfId="1" applyNumberFormat="1" applyFont="1" applyFill="1" applyBorder="1" applyAlignment="1">
      <alignment horizontal="right"/>
    </xf>
    <xf numFmtId="164" fontId="18" fillId="2" borderId="3" xfId="10" applyFont="1" applyFill="1" applyBorder="1" applyAlignment="1">
      <alignment horizontal="right" wrapText="1"/>
    </xf>
    <xf numFmtId="164" fontId="18" fillId="9" borderId="3" xfId="1" applyFont="1" applyFill="1" applyBorder="1" applyAlignment="1">
      <alignment horizontal="center" wrapText="1"/>
    </xf>
    <xf numFmtId="10" fontId="18" fillId="9" borderId="3" xfId="2" applyNumberFormat="1" applyFont="1" applyFill="1" applyBorder="1" applyAlignment="1">
      <alignment horizontal="center" wrapText="1"/>
    </xf>
    <xf numFmtId="164" fontId="18" fillId="2" borderId="3" xfId="1" applyFont="1" applyFill="1" applyBorder="1" applyAlignment="1">
      <alignment horizontal="right"/>
    </xf>
    <xf numFmtId="10" fontId="18" fillId="7" borderId="3" xfId="2" applyNumberFormat="1" applyFont="1" applyFill="1" applyBorder="1" applyAlignment="1">
      <alignment horizontal="center" wrapText="1"/>
    </xf>
    <xf numFmtId="164" fontId="15" fillId="2" borderId="3" xfId="1" applyFont="1" applyFill="1" applyBorder="1" applyAlignment="1">
      <alignment horizontal="right"/>
    </xf>
    <xf numFmtId="10" fontId="18" fillId="9" borderId="3" xfId="1" applyNumberFormat="1" applyFont="1" applyFill="1" applyBorder="1" applyAlignment="1">
      <alignment horizontal="center"/>
    </xf>
    <xf numFmtId="2" fontId="18" fillId="2" borderId="3" xfId="0" applyNumberFormat="1" applyFont="1" applyFill="1" applyBorder="1"/>
    <xf numFmtId="164" fontId="18" fillId="2" borderId="3" xfId="10" applyFont="1" applyFill="1" applyBorder="1" applyAlignment="1">
      <alignment wrapText="1"/>
    </xf>
    <xf numFmtId="0" fontId="18" fillId="2" borderId="3" xfId="0" applyFont="1" applyFill="1" applyBorder="1" applyAlignment="1">
      <alignment horizontal="left" wrapText="1"/>
    </xf>
    <xf numFmtId="2" fontId="16" fillId="2" borderId="3" xfId="0" applyNumberFormat="1" applyFont="1" applyFill="1" applyBorder="1"/>
    <xf numFmtId="164" fontId="18" fillId="11" borderId="3" xfId="1" applyFont="1" applyFill="1" applyBorder="1" applyAlignment="1">
      <alignment horizontal="center"/>
    </xf>
    <xf numFmtId="10" fontId="18" fillId="11" borderId="3" xfId="2" applyNumberFormat="1" applyFont="1" applyFill="1" applyBorder="1" applyAlignment="1">
      <alignment horizontal="center"/>
    </xf>
    <xf numFmtId="164" fontId="19" fillId="0" borderId="3" xfId="1" applyFont="1" applyBorder="1"/>
    <xf numFmtId="0" fontId="15" fillId="0" borderId="3" xfId="0" applyFont="1" applyBorder="1" applyAlignment="1">
      <alignment horizontal="right"/>
    </xf>
    <xf numFmtId="4" fontId="18" fillId="9" borderId="3" xfId="1" applyNumberFormat="1" applyFont="1" applyFill="1" applyBorder="1" applyAlignment="1">
      <alignment horizontal="center"/>
    </xf>
    <xf numFmtId="4" fontId="26" fillId="0" borderId="3" xfId="0" applyNumberFormat="1" applyFont="1" applyBorder="1"/>
    <xf numFmtId="0" fontId="20" fillId="2" borderId="3" xfId="0" applyFont="1" applyFill="1" applyBorder="1"/>
    <xf numFmtId="4" fontId="18" fillId="2" borderId="3" xfId="1" applyNumberFormat="1" applyFont="1" applyFill="1" applyBorder="1" applyAlignment="1">
      <alignment horizontal="right" vertical="top" wrapText="1"/>
    </xf>
    <xf numFmtId="4" fontId="18" fillId="9" borderId="3" xfId="1" applyNumberFormat="1" applyFont="1" applyFill="1" applyBorder="1" applyAlignment="1">
      <alignment horizontal="center" vertical="top" wrapText="1"/>
    </xf>
    <xf numFmtId="164" fontId="15" fillId="2" borderId="3" xfId="1" applyFont="1" applyFill="1" applyBorder="1"/>
    <xf numFmtId="43" fontId="18" fillId="2" borderId="3" xfId="0" applyNumberFormat="1" applyFont="1" applyFill="1" applyBorder="1"/>
    <xf numFmtId="43" fontId="18" fillId="9" borderId="3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>
      <alignment horizontal="right" wrapText="1"/>
    </xf>
    <xf numFmtId="4" fontId="18" fillId="2" borderId="3" xfId="10" applyNumberFormat="1" applyFont="1" applyFill="1" applyBorder="1" applyAlignment="1">
      <alignment horizontal="right"/>
    </xf>
    <xf numFmtId="4" fontId="18" fillId="2" borderId="3" xfId="10" applyNumberFormat="1" applyFont="1" applyFill="1" applyBorder="1" applyAlignment="1">
      <alignment horizontal="right" wrapText="1"/>
    </xf>
    <xf numFmtId="4" fontId="15" fillId="9" borderId="3" xfId="1" applyNumberFormat="1" applyFont="1" applyFill="1" applyBorder="1" applyAlignment="1">
      <alignment horizontal="right" vertical="top" wrapText="1"/>
    </xf>
    <xf numFmtId="0" fontId="18" fillId="14" borderId="3" xfId="0" applyFont="1" applyFill="1" applyBorder="1" applyAlignment="1">
      <alignment horizontal="right" vertical="center"/>
    </xf>
    <xf numFmtId="0" fontId="15" fillId="14" borderId="3" xfId="0" applyFont="1" applyFill="1" applyBorder="1" applyAlignment="1">
      <alignment horizontal="right" vertical="center"/>
    </xf>
    <xf numFmtId="164" fontId="15" fillId="14" borderId="3" xfId="1" applyFont="1" applyFill="1" applyBorder="1" applyAlignment="1">
      <alignment horizontal="right" vertical="center" wrapText="1"/>
    </xf>
    <xf numFmtId="10" fontId="18" fillId="14" borderId="3" xfId="1" applyNumberFormat="1" applyFont="1" applyFill="1" applyBorder="1" applyAlignment="1">
      <alignment horizontal="right" vertical="center" wrapText="1"/>
    </xf>
    <xf numFmtId="4" fontId="18" fillId="14" borderId="3" xfId="1" applyNumberFormat="1" applyFont="1" applyFill="1" applyBorder="1" applyAlignment="1">
      <alignment horizontal="right" vertical="center" wrapText="1"/>
    </xf>
    <xf numFmtId="9" fontId="18" fillId="14" borderId="3" xfId="2" applyFont="1" applyFill="1" applyBorder="1" applyAlignment="1">
      <alignment horizontal="center" vertical="center" wrapText="1"/>
    </xf>
    <xf numFmtId="4" fontId="18" fillId="14" borderId="3" xfId="1" applyNumberFormat="1" applyFont="1" applyFill="1" applyBorder="1" applyAlignment="1">
      <alignment horizontal="center" vertical="center" wrapText="1"/>
    </xf>
    <xf numFmtId="10" fontId="16" fillId="14" borderId="3" xfId="2" applyNumberFormat="1" applyFont="1" applyFill="1" applyBorder="1" applyAlignment="1">
      <alignment horizontal="center" vertical="top" wrapText="1"/>
    </xf>
    <xf numFmtId="164" fontId="15" fillId="14" borderId="3" xfId="1" applyFont="1" applyFill="1" applyBorder="1" applyAlignment="1">
      <alignment horizontal="right" vertical="top" wrapText="1"/>
    </xf>
    <xf numFmtId="0" fontId="18" fillId="2" borderId="3" xfId="0" applyFont="1" applyFill="1" applyBorder="1" applyAlignment="1">
      <alignment horizontal="center" wrapText="1"/>
    </xf>
    <xf numFmtId="4" fontId="18" fillId="2" borderId="3" xfId="10" applyNumberFormat="1" applyFont="1" applyFill="1" applyBorder="1" applyAlignment="1">
      <alignment horizontal="right" vertical="top" wrapText="1"/>
    </xf>
    <xf numFmtId="164" fontId="28" fillId="14" borderId="3" xfId="1" applyFont="1" applyFill="1" applyBorder="1" applyAlignment="1">
      <alignment horizontal="right" vertical="top" wrapText="1"/>
    </xf>
    <xf numFmtId="4" fontId="18" fillId="14" borderId="3" xfId="1" applyNumberFormat="1" applyFont="1" applyFill="1" applyBorder="1" applyAlignment="1">
      <alignment horizontal="right" vertical="top" wrapText="1"/>
    </xf>
    <xf numFmtId="4" fontId="18" fillId="14" borderId="3" xfId="1" applyNumberFormat="1" applyFont="1" applyFill="1" applyBorder="1" applyAlignment="1">
      <alignment horizontal="center" vertical="top" wrapText="1"/>
    </xf>
    <xf numFmtId="167" fontId="16" fillId="14" borderId="3" xfId="2" applyNumberFormat="1" applyFont="1" applyFill="1" applyBorder="1" applyAlignment="1">
      <alignment horizontal="center" vertical="top" wrapText="1"/>
    </xf>
    <xf numFmtId="10" fontId="16" fillId="14" borderId="3" xfId="1" applyNumberFormat="1" applyFont="1" applyFill="1" applyBorder="1" applyAlignment="1">
      <alignment horizontal="center" vertical="top" wrapText="1"/>
    </xf>
    <xf numFmtId="164" fontId="18" fillId="2" borderId="3" xfId="10" applyFont="1" applyFill="1" applyBorder="1" applyAlignment="1">
      <alignment horizontal="right" vertical="top" wrapText="1"/>
    </xf>
    <xf numFmtId="10" fontId="18" fillId="7" borderId="3" xfId="2" applyNumberFormat="1" applyFont="1" applyFill="1" applyBorder="1" applyAlignment="1">
      <alignment horizontal="center" vertical="top" wrapText="1"/>
    </xf>
    <xf numFmtId="164" fontId="18" fillId="9" borderId="3" xfId="1" applyFont="1" applyFill="1" applyBorder="1" applyAlignment="1">
      <alignment horizontal="center" vertical="top" wrapText="1"/>
    </xf>
    <xf numFmtId="164" fontId="18" fillId="2" borderId="3" xfId="1" applyFont="1" applyFill="1" applyBorder="1" applyAlignment="1">
      <alignment horizontal="right" vertical="top" wrapText="1"/>
    </xf>
    <xf numFmtId="0" fontId="18" fillId="14" borderId="3" xfId="0" applyFont="1" applyFill="1" applyBorder="1" applyAlignment="1">
      <alignment horizontal="right"/>
    </xf>
    <xf numFmtId="0" fontId="15" fillId="14" borderId="3" xfId="0" applyFont="1" applyFill="1" applyBorder="1" applyAlignment="1">
      <alignment horizontal="right"/>
    </xf>
    <xf numFmtId="0" fontId="18" fillId="15" borderId="3" xfId="0" applyFont="1" applyFill="1" applyBorder="1" applyAlignment="1">
      <alignment horizontal="right" vertical="top" wrapText="1"/>
    </xf>
    <xf numFmtId="0" fontId="25" fillId="15" borderId="3" xfId="0" applyFont="1" applyFill="1" applyBorder="1" applyAlignment="1">
      <alignment horizontal="right" vertical="top" wrapText="1"/>
    </xf>
    <xf numFmtId="164" fontId="25" fillId="15" borderId="3" xfId="1" applyFont="1" applyFill="1" applyBorder="1" applyAlignment="1">
      <alignment horizontal="right" vertical="top" wrapText="1"/>
    </xf>
    <xf numFmtId="164" fontId="10" fillId="15" borderId="3" xfId="1" applyFont="1" applyFill="1" applyBorder="1" applyAlignment="1">
      <alignment horizontal="right" vertical="top" wrapText="1"/>
    </xf>
    <xf numFmtId="4" fontId="10" fillId="15" borderId="3" xfId="0" applyNumberFormat="1" applyFont="1" applyFill="1" applyBorder="1" applyAlignment="1">
      <alignment horizontal="right"/>
    </xf>
    <xf numFmtId="9" fontId="10" fillId="15" borderId="3" xfId="2" applyFont="1" applyFill="1" applyBorder="1" applyAlignment="1">
      <alignment horizontal="center"/>
    </xf>
    <xf numFmtId="4" fontId="10" fillId="15" borderId="3" xfId="0" applyNumberFormat="1" applyFont="1" applyFill="1" applyBorder="1" applyAlignment="1">
      <alignment horizontal="center"/>
    </xf>
    <xf numFmtId="10" fontId="10" fillId="15" borderId="3" xfId="2" applyNumberFormat="1" applyFont="1" applyFill="1" applyBorder="1" applyAlignment="1">
      <alignment horizontal="center" vertical="top" wrapText="1"/>
    </xf>
    <xf numFmtId="167" fontId="10" fillId="15" borderId="3" xfId="2" applyNumberFormat="1" applyFont="1" applyFill="1" applyBorder="1" applyAlignment="1">
      <alignment horizontal="center" vertical="top" wrapText="1"/>
    </xf>
    <xf numFmtId="167" fontId="18" fillId="15" borderId="3" xfId="2" applyNumberFormat="1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left" vertical="center"/>
    </xf>
    <xf numFmtId="0" fontId="9" fillId="5" borderId="3" xfId="0" applyFont="1" applyFill="1" applyBorder="1"/>
    <xf numFmtId="0" fontId="54" fillId="0" borderId="0" xfId="0" applyFont="1"/>
    <xf numFmtId="0" fontId="18" fillId="2" borderId="3" xfId="0" applyFont="1" applyFill="1" applyBorder="1" applyAlignment="1">
      <alignment horizontal="center" wrapText="1"/>
    </xf>
    <xf numFmtId="10" fontId="16" fillId="2" borderId="3" xfId="2" applyNumberFormat="1" applyFont="1" applyFill="1" applyBorder="1" applyAlignment="1">
      <alignment horizontal="center"/>
    </xf>
    <xf numFmtId="10" fontId="18" fillId="2" borderId="3" xfId="2" applyNumberFormat="1" applyFont="1" applyFill="1" applyBorder="1" applyAlignment="1">
      <alignment horizontal="center"/>
    </xf>
    <xf numFmtId="10" fontId="21" fillId="2" borderId="3" xfId="2" applyNumberFormat="1" applyFont="1" applyFill="1" applyBorder="1" applyAlignment="1">
      <alignment horizontal="center" vertical="top" wrapText="1"/>
    </xf>
    <xf numFmtId="164" fontId="18" fillId="2" borderId="3" xfId="1" applyFont="1" applyFill="1" applyBorder="1" applyAlignment="1">
      <alignment horizontal="center"/>
    </xf>
    <xf numFmtId="164" fontId="18" fillId="2" borderId="3" xfId="1" applyFont="1" applyFill="1" applyBorder="1" applyAlignment="1">
      <alignment horizontal="center" wrapText="1"/>
    </xf>
    <xf numFmtId="0" fontId="56" fillId="5" borderId="3" xfId="0" applyFont="1" applyFill="1" applyBorder="1"/>
    <xf numFmtId="0" fontId="15" fillId="15" borderId="3" xfId="0" applyFont="1" applyFill="1" applyBorder="1" applyAlignment="1">
      <alignment horizontal="center" vertical="top" wrapText="1"/>
    </xf>
    <xf numFmtId="164" fontId="18" fillId="14" borderId="3" xfId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center" vertical="top" wrapText="1"/>
    </xf>
    <xf numFmtId="0" fontId="15" fillId="22" borderId="3" xfId="0" applyFont="1" applyFill="1" applyBorder="1" applyAlignment="1">
      <alignment vertical="top" wrapText="1"/>
    </xf>
    <xf numFmtId="0" fontId="13" fillId="22" borderId="3" xfId="0" applyFont="1" applyFill="1" applyBorder="1" applyAlignment="1">
      <alignment vertical="top" wrapText="1"/>
    </xf>
    <xf numFmtId="0" fontId="13" fillId="22" borderId="3" xfId="0" applyFont="1" applyFill="1" applyBorder="1" applyAlignment="1">
      <alignment horizontal="center" vertical="top"/>
    </xf>
    <xf numFmtId="0" fontId="13" fillId="22" borderId="3" xfId="0" applyFont="1" applyFill="1" applyBorder="1" applyAlignment="1">
      <alignment horizontal="center" vertical="top" wrapText="1"/>
    </xf>
    <xf numFmtId="164" fontId="13" fillId="22" borderId="3" xfId="1" applyFont="1" applyFill="1" applyBorder="1" applyAlignment="1">
      <alignment horizontal="center" vertical="top"/>
    </xf>
    <xf numFmtId="10" fontId="16" fillId="22" borderId="3" xfId="2" applyNumberFormat="1" applyFont="1" applyFill="1" applyBorder="1" applyAlignment="1">
      <alignment horizontal="center" vertical="top" wrapText="1"/>
    </xf>
    <xf numFmtId="10" fontId="16" fillId="22" borderId="3" xfId="1" applyNumberFormat="1" applyFont="1" applyFill="1" applyBorder="1" applyAlignment="1">
      <alignment horizontal="center" vertical="top" wrapText="1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wrapText="1"/>
    </xf>
    <xf numFmtId="164" fontId="18" fillId="2" borderId="3" xfId="1" applyFont="1" applyFill="1" applyBorder="1" applyAlignment="1">
      <alignment wrapText="1"/>
    </xf>
    <xf numFmtId="2" fontId="18" fillId="2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0" fillId="8" borderId="0" xfId="0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9" fontId="18" fillId="2" borderId="3" xfId="0" applyNumberFormat="1" applyFont="1" applyFill="1" applyBorder="1" applyAlignment="1">
      <alignment wrapText="1"/>
    </xf>
    <xf numFmtId="164" fontId="16" fillId="2" borderId="3" xfId="1" applyFont="1" applyFill="1" applyBorder="1" applyAlignment="1">
      <alignment horizontal="center"/>
    </xf>
    <xf numFmtId="4" fontId="18" fillId="0" borderId="3" xfId="0" applyNumberFormat="1" applyFont="1" applyBorder="1" applyAlignment="1">
      <alignment wrapText="1"/>
    </xf>
    <xf numFmtId="4" fontId="18" fillId="2" borderId="3" xfId="44" applyNumberFormat="1" applyFont="1" applyFill="1" applyBorder="1" applyAlignment="1">
      <alignment wrapText="1"/>
    </xf>
    <xf numFmtId="164" fontId="30" fillId="0" borderId="0" xfId="1" applyFont="1"/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4" fontId="18" fillId="2" borderId="0" xfId="10" applyNumberFormat="1" applyFont="1" applyFill="1" applyBorder="1" applyAlignment="1">
      <alignment horizontal="right" vertical="top" wrapText="1"/>
    </xf>
    <xf numFmtId="10" fontId="18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0" borderId="0" xfId="0" applyBorder="1"/>
    <xf numFmtId="0" fontId="0" fillId="23" borderId="0" xfId="0" applyFill="1"/>
    <xf numFmtId="0" fontId="0" fillId="14" borderId="0" xfId="0" applyFill="1"/>
    <xf numFmtId="0" fontId="7" fillId="2" borderId="0" xfId="0" applyFont="1" applyFill="1"/>
    <xf numFmtId="4" fontId="4" fillId="2" borderId="0" xfId="0" applyNumberFormat="1" applyFont="1" applyFill="1"/>
    <xf numFmtId="4" fontId="0" fillId="0" borderId="0" xfId="0" applyNumberFormat="1" applyBorder="1"/>
    <xf numFmtId="0" fontId="16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wrapText="1"/>
    </xf>
    <xf numFmtId="0" fontId="25" fillId="8" borderId="3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 vertical="top" wrapText="1"/>
    </xf>
    <xf numFmtId="0" fontId="13" fillId="7" borderId="5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57" fillId="13" borderId="3" xfId="0" applyFont="1" applyFill="1" applyBorder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30,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234.65650655800678</c:v>
                </c:pt>
                <c:pt idx="1">
                  <c:v>5710.6440913866309</c:v>
                </c:pt>
                <c:pt idx="2">
                  <c:v>235.77329133045038</c:v>
                </c:pt>
                <c:pt idx="3">
                  <c:v>1871.0027534872156</c:v>
                </c:pt>
                <c:pt idx="4">
                  <c:v>506.71167330949521</c:v>
                </c:pt>
                <c:pt idx="5" formatCode="_-* #,##0.00_-;\-* #,##0.00_-;_-* &quot;-&quot;??_-;_-@_-">
                  <c:v>144.44978399667878</c:v>
                </c:pt>
                <c:pt idx="6">
                  <c:v>19.513541737859999</c:v>
                </c:pt>
                <c:pt idx="7">
                  <c:v>133.93446740073963</c:v>
                </c:pt>
                <c:pt idx="8">
                  <c:v>31.362993923692645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8,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246.41309322244683</c:v>
                </c:pt>
                <c:pt idx="1">
                  <c:v>5722.0014617762681</c:v>
                </c:pt>
                <c:pt idx="2">
                  <c:v>234.90360018606745</c:v>
                </c:pt>
                <c:pt idx="3">
                  <c:v>1849.8559300856921</c:v>
                </c:pt>
                <c:pt idx="4">
                  <c:v>507.43341480949522</c:v>
                </c:pt>
                <c:pt idx="5" formatCode="_-* #,##0.00_-;\-* #,##0.00_-;_-* &quot;-&quot;??_-;_-@_-">
                  <c:v>147.59661937413927</c:v>
                </c:pt>
                <c:pt idx="6">
                  <c:v>19.560945940800003</c:v>
                </c:pt>
                <c:pt idx="7">
                  <c:v>136.61960519911767</c:v>
                </c:pt>
                <c:pt idx="8">
                  <c:v>32.017546923681479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8TH MAY,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8-May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19560945940.800003</c:v>
                </c:pt>
                <c:pt idx="1">
                  <c:v>32017546923.681477</c:v>
                </c:pt>
                <c:pt idx="2">
                  <c:v>136619605199.11766</c:v>
                </c:pt>
                <c:pt idx="3" formatCode="_-* #,##0.00_-;\-* #,##0.00_-;_-* &quot;-&quot;??_-;_-@_-">
                  <c:v>147596619374.13925</c:v>
                </c:pt>
                <c:pt idx="4">
                  <c:v>246413093222.44684</c:v>
                </c:pt>
                <c:pt idx="5">
                  <c:v>234903600186.06744</c:v>
                </c:pt>
                <c:pt idx="6">
                  <c:v>507433414809.49524</c:v>
                </c:pt>
                <c:pt idx="7">
                  <c:v>1849855930085.6921</c:v>
                </c:pt>
                <c:pt idx="8">
                  <c:v>5722001461776.2686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46099</c:v>
                </c:pt>
                <c:pt idx="1">
                  <c:v>46108</c:v>
                </c:pt>
                <c:pt idx="2">
                  <c:v>46114</c:v>
                </c:pt>
                <c:pt idx="3">
                  <c:v>46122</c:v>
                </c:pt>
                <c:pt idx="4">
                  <c:v>46129</c:v>
                </c:pt>
                <c:pt idx="5">
                  <c:v>46136</c:v>
                </c:pt>
                <c:pt idx="6">
                  <c:v>46142</c:v>
                </c:pt>
                <c:pt idx="7">
                  <c:v>46150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8418.7881429582667</c:v>
                </c:pt>
                <c:pt idx="1">
                  <c:v>8440.5567676688224</c:v>
                </c:pt>
                <c:pt idx="2">
                  <c:v>8593.7769156229697</c:v>
                </c:pt>
                <c:pt idx="3">
                  <c:v>8623.4476305652915</c:v>
                </c:pt>
                <c:pt idx="4">
                  <c:v>8682.1345271243354</c:v>
                </c:pt>
                <c:pt idx="5">
                  <c:v>8768.912163579158</c:v>
                </c:pt>
                <c:pt idx="6">
                  <c:v>8888.5858305390957</c:v>
                </c:pt>
                <c:pt idx="7">
                  <c:v>8896.4022175177088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46099</c:v>
                </c:pt>
                <c:pt idx="1">
                  <c:v>46108</c:v>
                </c:pt>
                <c:pt idx="2">
                  <c:v>46114</c:v>
                </c:pt>
                <c:pt idx="3">
                  <c:v>46122</c:v>
                </c:pt>
                <c:pt idx="4">
                  <c:v>46129</c:v>
                </c:pt>
                <c:pt idx="5">
                  <c:v>46136</c:v>
                </c:pt>
                <c:pt idx="6">
                  <c:v>46142</c:v>
                </c:pt>
                <c:pt idx="7">
                  <c:v>46150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24.06611184246</c:v>
                </c:pt>
                <c:pt idx="1">
                  <c:v>24.226803601379999</c:v>
                </c:pt>
                <c:pt idx="2">
                  <c:v>24.882508960419997</c:v>
                </c:pt>
                <c:pt idx="3">
                  <c:v>25.247393537559997</c:v>
                </c:pt>
                <c:pt idx="4">
                  <c:v>27.644948093229999</c:v>
                </c:pt>
                <c:pt idx="5">
                  <c:v>28.90522929934</c:v>
                </c:pt>
                <c:pt idx="6">
                  <c:v>30.630921333499995</c:v>
                </c:pt>
                <c:pt idx="7">
                  <c:v>30.807819494499999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H276"/>
  <sheetViews>
    <sheetView tabSelected="1" zoomScale="110" zoomScaleNormal="110" workbookViewId="0">
      <pane xSplit="3" ySplit="13" topLeftCell="D14" activePane="bottomRight" state="frozen"/>
      <selection pane="topRight" activeCell="C1" sqref="C1"/>
      <selection pane="bottomLeft" activeCell="A12" sqref="A12"/>
      <selection pane="bottomRight" activeCell="D14" sqref="D14"/>
    </sheetView>
  </sheetViews>
  <sheetFormatPr defaultColWidth="9" defaultRowHeight="14.4"/>
  <cols>
    <col min="1" max="1" width="4.5546875" customWidth="1"/>
    <col min="2" max="2" width="34.88671875" customWidth="1"/>
    <col min="3" max="3" width="31.1093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19" t="s">
        <v>335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</row>
    <row r="2" spans="1:32" ht="14.4" customHeight="1">
      <c r="A2" s="80"/>
      <c r="B2" s="81"/>
      <c r="C2" s="82"/>
      <c r="D2" s="220" t="s">
        <v>316</v>
      </c>
      <c r="E2" s="221"/>
      <c r="F2" s="221"/>
      <c r="G2" s="221"/>
      <c r="H2" s="221"/>
      <c r="I2" s="221"/>
      <c r="J2" s="221"/>
      <c r="K2" s="221"/>
      <c r="L2" s="221"/>
      <c r="M2" s="222"/>
      <c r="N2" s="220" t="s">
        <v>336</v>
      </c>
      <c r="O2" s="221"/>
      <c r="P2" s="221"/>
      <c r="Q2" s="221"/>
      <c r="R2" s="221"/>
      <c r="S2" s="221"/>
      <c r="T2" s="221"/>
      <c r="U2" s="221"/>
      <c r="V2" s="221"/>
      <c r="W2" s="222"/>
      <c r="X2" s="223" t="s">
        <v>0</v>
      </c>
      <c r="Y2" s="223"/>
      <c r="Z2" s="223"/>
      <c r="AA2" s="223" t="s">
        <v>1</v>
      </c>
      <c r="AB2" s="223"/>
    </row>
    <row r="3" spans="1:32" ht="20.399999999999999">
      <c r="A3" s="180" t="s">
        <v>2</v>
      </c>
      <c r="B3" s="180" t="s">
        <v>3</v>
      </c>
      <c r="C3" s="181" t="s">
        <v>4</v>
      </c>
      <c r="D3" s="182" t="s">
        <v>331</v>
      </c>
      <c r="E3" s="182" t="s">
        <v>5</v>
      </c>
      <c r="F3" s="183" t="s">
        <v>6</v>
      </c>
      <c r="G3" s="183" t="s">
        <v>333</v>
      </c>
      <c r="H3" s="183" t="s">
        <v>11</v>
      </c>
      <c r="I3" s="183" t="s">
        <v>334</v>
      </c>
      <c r="J3" s="183" t="s">
        <v>7</v>
      </c>
      <c r="K3" s="183" t="s">
        <v>8</v>
      </c>
      <c r="L3" s="183" t="s">
        <v>9</v>
      </c>
      <c r="M3" s="183" t="s">
        <v>10</v>
      </c>
      <c r="N3" s="182" t="s">
        <v>331</v>
      </c>
      <c r="O3" s="184" t="s">
        <v>5</v>
      </c>
      <c r="P3" s="183" t="s">
        <v>6</v>
      </c>
      <c r="Q3" s="183" t="s">
        <v>333</v>
      </c>
      <c r="R3" s="183" t="s">
        <v>11</v>
      </c>
      <c r="S3" s="183" t="s">
        <v>334</v>
      </c>
      <c r="T3" s="183" t="s">
        <v>7</v>
      </c>
      <c r="U3" s="183" t="s">
        <v>8</v>
      </c>
      <c r="V3" s="183" t="s">
        <v>9</v>
      </c>
      <c r="W3" s="183" t="s">
        <v>10</v>
      </c>
      <c r="X3" s="182" t="s">
        <v>12</v>
      </c>
      <c r="Y3" s="183" t="s">
        <v>13</v>
      </c>
      <c r="Z3" s="183" t="s">
        <v>14</v>
      </c>
      <c r="AA3" s="183" t="s">
        <v>15</v>
      </c>
      <c r="AB3" s="183" t="s">
        <v>16</v>
      </c>
      <c r="AD3" s="51"/>
      <c r="AF3" s="49"/>
    </row>
    <row r="4" spans="1:32" ht="5.25" customHeight="1"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</row>
    <row r="5" spans="1:32" ht="15" customHeight="1">
      <c r="A5" s="193"/>
      <c r="B5" s="217" t="s">
        <v>17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32">
      <c r="A6" s="196">
        <v>1</v>
      </c>
      <c r="B6" s="83" t="s">
        <v>18</v>
      </c>
      <c r="C6" s="84" t="s">
        <v>19</v>
      </c>
      <c r="D6" s="171" t="s">
        <v>332</v>
      </c>
      <c r="E6" s="85">
        <v>13510518722.9</v>
      </c>
      <c r="F6" s="86">
        <f t="shared" ref="F6:F24" si="0">(E6/$E$26)</f>
        <v>5.7575725988063396E-2</v>
      </c>
      <c r="G6" s="171" t="s">
        <v>332</v>
      </c>
      <c r="H6" s="85">
        <v>921.16920000000005</v>
      </c>
      <c r="I6" s="171" t="s">
        <v>332</v>
      </c>
      <c r="J6" s="85">
        <v>925.18700000000001</v>
      </c>
      <c r="K6" s="87">
        <v>1705</v>
      </c>
      <c r="L6" s="88">
        <v>4.4200000000000003E-2</v>
      </c>
      <c r="M6" s="88">
        <v>0.48830000000000001</v>
      </c>
      <c r="N6" s="171" t="s">
        <v>332</v>
      </c>
      <c r="O6" s="85">
        <v>14193868557.91</v>
      </c>
      <c r="P6" s="86">
        <f t="shared" ref="P6:P25" si="1">(O6/$O$26)</f>
        <v>5.760192517487954E-2</v>
      </c>
      <c r="Q6" s="171" t="s">
        <v>332</v>
      </c>
      <c r="R6" s="85">
        <v>912.8125</v>
      </c>
      <c r="S6" s="171" t="s">
        <v>332</v>
      </c>
      <c r="T6" s="85">
        <v>917.30139999999994</v>
      </c>
      <c r="U6" s="87">
        <v>1705</v>
      </c>
      <c r="V6" s="88">
        <v>-9.1000000000000004E-3</v>
      </c>
      <c r="W6" s="88">
        <v>0.4748</v>
      </c>
      <c r="X6" s="185">
        <f>((O6-E6)/E6)</f>
        <v>5.0579096852272513E-2</v>
      </c>
      <c r="Y6" s="185">
        <f>((T6-J6)/J6)</f>
        <v>-8.5232498943457573E-3</v>
      </c>
      <c r="Z6" s="185">
        <f>((U6-K6)/K6)</f>
        <v>0</v>
      </c>
      <c r="AA6" s="185">
        <f>V6-L6</f>
        <v>-5.33E-2</v>
      </c>
      <c r="AB6" s="186">
        <f>W6-M6</f>
        <v>-1.3500000000000012E-2</v>
      </c>
      <c r="AC6" s="44"/>
    </row>
    <row r="7" spans="1:32" ht="13.2" customHeight="1">
      <c r="A7" s="196">
        <v>2</v>
      </c>
      <c r="B7" s="83" t="s">
        <v>20</v>
      </c>
      <c r="C7" s="84" t="s">
        <v>21</v>
      </c>
      <c r="D7" s="171" t="s">
        <v>332</v>
      </c>
      <c r="E7" s="89">
        <v>2339887779.3299999</v>
      </c>
      <c r="F7" s="90">
        <f t="shared" si="0"/>
        <v>9.9715444231740606E-3</v>
      </c>
      <c r="G7" s="171" t="s">
        <v>332</v>
      </c>
      <c r="H7" s="89">
        <v>618.41880000000003</v>
      </c>
      <c r="I7" s="171" t="s">
        <v>332</v>
      </c>
      <c r="J7" s="89">
        <v>626.62829999999997</v>
      </c>
      <c r="K7" s="91">
        <v>770</v>
      </c>
      <c r="L7" s="92">
        <v>1.0925000000000001E-2</v>
      </c>
      <c r="M7" s="92">
        <v>0.50960000000000005</v>
      </c>
      <c r="N7" s="171" t="s">
        <v>332</v>
      </c>
      <c r="O7" s="89">
        <v>2420010463.7199998</v>
      </c>
      <c r="P7" s="90">
        <f t="shared" si="1"/>
        <v>9.8209491714604663E-3</v>
      </c>
      <c r="Q7" s="171" t="s">
        <v>332</v>
      </c>
      <c r="R7" s="89">
        <v>628.7097</v>
      </c>
      <c r="S7" s="171" t="s">
        <v>332</v>
      </c>
      <c r="T7" s="89">
        <v>637.04409999999996</v>
      </c>
      <c r="U7" s="91">
        <v>781</v>
      </c>
      <c r="V7" s="92">
        <v>1.5257E-2</v>
      </c>
      <c r="W7" s="92">
        <v>0.53469999999999995</v>
      </c>
      <c r="X7" s="187">
        <f t="shared" ref="X7:X26" si="2">((O7-E7)/E7)</f>
        <v>3.4242105582064315E-2</v>
      </c>
      <c r="Y7" s="187">
        <f t="shared" ref="Y7:Y26" si="3">((T7-J7)/J7)</f>
        <v>1.6621975100709608E-2</v>
      </c>
      <c r="Z7" s="187">
        <f t="shared" ref="Z7:Z26" si="4">((U7-K7)/K7)</f>
        <v>1.4285714285714285E-2</v>
      </c>
      <c r="AA7" s="185">
        <f t="shared" ref="AA7:AA26" si="5">V7-L7</f>
        <v>4.331999999999999E-3</v>
      </c>
      <c r="AB7" s="186">
        <f t="shared" ref="AB7:AB26" si="6">W7-M7</f>
        <v>2.50999999999999E-2</v>
      </c>
      <c r="AC7" s="52"/>
      <c r="AD7" s="49"/>
      <c r="AE7" s="49"/>
    </row>
    <row r="8" spans="1:32">
      <c r="A8" s="202">
        <v>3</v>
      </c>
      <c r="B8" s="83" t="s">
        <v>22</v>
      </c>
      <c r="C8" s="84" t="s">
        <v>23</v>
      </c>
      <c r="D8" s="171" t="s">
        <v>332</v>
      </c>
      <c r="E8" s="89">
        <v>18254490020.029999</v>
      </c>
      <c r="F8" s="90">
        <f t="shared" si="0"/>
        <v>7.7792388064541113E-2</v>
      </c>
      <c r="G8" s="171" t="s">
        <v>332</v>
      </c>
      <c r="H8" s="89">
        <v>77.798699999999997</v>
      </c>
      <c r="I8" s="171" t="s">
        <v>332</v>
      </c>
      <c r="J8" s="93">
        <v>80.144300000000001</v>
      </c>
      <c r="K8" s="87">
        <v>11145</v>
      </c>
      <c r="L8" s="88">
        <v>5.8562550769047927E-2</v>
      </c>
      <c r="M8" s="88">
        <v>0.46890699315438833</v>
      </c>
      <c r="N8" s="171" t="s">
        <v>332</v>
      </c>
      <c r="O8" s="89">
        <v>19528534142.970001</v>
      </c>
      <c r="P8" s="90">
        <f t="shared" si="1"/>
        <v>7.9251203284643731E-2</v>
      </c>
      <c r="Q8" s="171" t="s">
        <v>332</v>
      </c>
      <c r="R8" s="89">
        <v>77.415999999999997</v>
      </c>
      <c r="S8" s="171" t="s">
        <v>332</v>
      </c>
      <c r="T8" s="93">
        <v>79.750100000000003</v>
      </c>
      <c r="U8" s="87">
        <v>11489</v>
      </c>
      <c r="V8" s="88">
        <v>-0.25650000000000001</v>
      </c>
      <c r="W8" s="88">
        <v>0.46168198605218075</v>
      </c>
      <c r="X8" s="187">
        <f t="shared" si="2"/>
        <v>6.9793465692114073E-2</v>
      </c>
      <c r="Y8" s="187">
        <f t="shared" si="3"/>
        <v>-4.9186280247004201E-3</v>
      </c>
      <c r="Z8" s="187">
        <f t="shared" si="4"/>
        <v>3.0865859129654553E-2</v>
      </c>
      <c r="AA8" s="185">
        <f t="shared" si="5"/>
        <v>-0.31506255076904793</v>
      </c>
      <c r="AB8" s="186">
        <f t="shared" si="6"/>
        <v>-7.2250071022075812E-3</v>
      </c>
      <c r="AC8" s="40"/>
      <c r="AD8" s="48"/>
      <c r="AE8" s="22"/>
      <c r="AF8" s="50"/>
    </row>
    <row r="9" spans="1:32">
      <c r="A9" s="196">
        <v>4</v>
      </c>
      <c r="B9" s="83" t="s">
        <v>24</v>
      </c>
      <c r="C9" s="84" t="s">
        <v>25</v>
      </c>
      <c r="D9" s="171" t="s">
        <v>332</v>
      </c>
      <c r="E9" s="89">
        <v>3284814571.0100002</v>
      </c>
      <c r="F9" s="90">
        <f t="shared" si="0"/>
        <v>1.3998395438474656E-2</v>
      </c>
      <c r="G9" s="171" t="s">
        <v>332</v>
      </c>
      <c r="H9" s="89">
        <v>377.58960000000002</v>
      </c>
      <c r="I9" s="171" t="s">
        <v>332</v>
      </c>
      <c r="J9" s="89">
        <v>377.58960000000002</v>
      </c>
      <c r="K9" s="91">
        <v>2588</v>
      </c>
      <c r="L9" s="92">
        <v>6.0600000000000001E-2</v>
      </c>
      <c r="M9" s="92">
        <v>0.50880000000000003</v>
      </c>
      <c r="N9" s="171" t="s">
        <v>332</v>
      </c>
      <c r="O9" s="89">
        <v>3181653480.8600001</v>
      </c>
      <c r="P9" s="90">
        <f t="shared" si="1"/>
        <v>1.2911868599400259E-2</v>
      </c>
      <c r="Q9" s="171" t="s">
        <v>332</v>
      </c>
      <c r="R9" s="89">
        <v>373.45740000000001</v>
      </c>
      <c r="S9" s="171" t="s">
        <v>332</v>
      </c>
      <c r="T9" s="89">
        <v>373.45740000000001</v>
      </c>
      <c r="U9" s="91">
        <v>2632</v>
      </c>
      <c r="V9" s="92">
        <v>-1.0943627684660839E-2</v>
      </c>
      <c r="W9" s="92">
        <v>0.49227107209230692</v>
      </c>
      <c r="X9" s="187">
        <f t="shared" si="2"/>
        <v>-3.1405453160261824E-2</v>
      </c>
      <c r="Y9" s="187">
        <f t="shared" si="3"/>
        <v>-1.0943627684660836E-2</v>
      </c>
      <c r="Z9" s="187">
        <f t="shared" si="4"/>
        <v>1.7001545595054096E-2</v>
      </c>
      <c r="AA9" s="185">
        <f t="shared" si="5"/>
        <v>-7.154362768466084E-2</v>
      </c>
      <c r="AB9" s="186">
        <f t="shared" si="6"/>
        <v>-1.6528927907693114E-2</v>
      </c>
    </row>
    <row r="10" spans="1:32">
      <c r="A10" s="196">
        <v>5</v>
      </c>
      <c r="B10" s="83" t="s">
        <v>26</v>
      </c>
      <c r="C10" s="84" t="s">
        <v>27</v>
      </c>
      <c r="D10" s="171" t="s">
        <v>332</v>
      </c>
      <c r="E10" s="89">
        <v>11322850480.66</v>
      </c>
      <c r="F10" s="90">
        <f t="shared" si="0"/>
        <v>4.8252872450655897E-2</v>
      </c>
      <c r="G10" s="171" t="s">
        <v>332</v>
      </c>
      <c r="H10" s="89">
        <v>3.0939999999999999</v>
      </c>
      <c r="I10" s="171" t="s">
        <v>332</v>
      </c>
      <c r="J10" s="89">
        <v>3.1337999999999999</v>
      </c>
      <c r="K10" s="91">
        <v>2225</v>
      </c>
      <c r="L10" s="92">
        <v>6.8400000000000002E-2</v>
      </c>
      <c r="M10" s="92">
        <v>0.67290000000000005</v>
      </c>
      <c r="N10" s="171" t="s">
        <v>332</v>
      </c>
      <c r="O10" s="89">
        <v>11698674980.889999</v>
      </c>
      <c r="P10" s="90">
        <f>(O10/$O$26)</f>
        <v>4.7475865944871458E-2</v>
      </c>
      <c r="Q10" s="171" t="s">
        <v>332</v>
      </c>
      <c r="R10" s="89">
        <v>2.9382999999999999</v>
      </c>
      <c r="S10" s="171" t="s">
        <v>332</v>
      </c>
      <c r="T10" s="89">
        <v>2.9727000000000001</v>
      </c>
      <c r="U10" s="91">
        <v>2370</v>
      </c>
      <c r="V10" s="92">
        <v>-5.0900000000000001E-2</v>
      </c>
      <c r="W10" s="92">
        <v>0.58779999999999999</v>
      </c>
      <c r="X10" s="187">
        <f t="shared" si="2"/>
        <v>3.3191686216463491E-2</v>
      </c>
      <c r="Y10" s="187">
        <f t="shared" si="3"/>
        <v>-5.1407237219988453E-2</v>
      </c>
      <c r="Z10" s="187">
        <f t="shared" si="4"/>
        <v>6.5168539325842698E-2</v>
      </c>
      <c r="AA10" s="185">
        <f t="shared" si="5"/>
        <v>-0.1193</v>
      </c>
      <c r="AB10" s="186">
        <f t="shared" si="6"/>
        <v>-8.5100000000000064E-2</v>
      </c>
    </row>
    <row r="11" spans="1:32" ht="12.6" customHeight="1">
      <c r="A11" s="196">
        <v>6</v>
      </c>
      <c r="B11" s="83" t="s">
        <v>28</v>
      </c>
      <c r="C11" s="84" t="s">
        <v>29</v>
      </c>
      <c r="D11" s="171" t="s">
        <v>332</v>
      </c>
      <c r="E11" s="94">
        <v>785587730.88999999</v>
      </c>
      <c r="F11" s="90">
        <f t="shared" si="0"/>
        <v>3.3478199365241284E-3</v>
      </c>
      <c r="G11" s="171" t="s">
        <v>332</v>
      </c>
      <c r="H11" s="89">
        <v>342.26</v>
      </c>
      <c r="I11" s="171" t="s">
        <v>332</v>
      </c>
      <c r="J11" s="89">
        <v>344.971</v>
      </c>
      <c r="K11" s="87">
        <v>208</v>
      </c>
      <c r="L11" s="88">
        <v>1.3579000000000001E-2</v>
      </c>
      <c r="M11" s="88">
        <v>0.59850000000000003</v>
      </c>
      <c r="N11" s="171" t="s">
        <v>332</v>
      </c>
      <c r="O11" s="94">
        <v>791377879.53999996</v>
      </c>
      <c r="P11" s="90">
        <f t="shared" si="1"/>
        <v>3.2115902170246767E-3</v>
      </c>
      <c r="Q11" s="171" t="s">
        <v>332</v>
      </c>
      <c r="R11" s="89">
        <v>342.32589999999999</v>
      </c>
      <c r="S11" s="171" t="s">
        <v>332</v>
      </c>
      <c r="T11" s="89">
        <v>345.0111</v>
      </c>
      <c r="U11" s="87">
        <v>215</v>
      </c>
      <c r="V11" s="88">
        <v>5.8999999999999998E-5</v>
      </c>
      <c r="W11" s="88">
        <v>0.5988</v>
      </c>
      <c r="X11" s="187">
        <f t="shared" si="2"/>
        <v>7.3704672595131552E-3</v>
      </c>
      <c r="Y11" s="187">
        <f t="shared" si="3"/>
        <v>1.1624165509563227E-4</v>
      </c>
      <c r="Z11" s="187">
        <f t="shared" si="4"/>
        <v>3.3653846153846152E-2</v>
      </c>
      <c r="AA11" s="185">
        <f t="shared" si="5"/>
        <v>-1.3520000000000001E-2</v>
      </c>
      <c r="AB11" s="186">
        <f t="shared" si="6"/>
        <v>2.9999999999996696E-4</v>
      </c>
    </row>
    <row r="12" spans="1:32">
      <c r="A12" s="196">
        <v>7</v>
      </c>
      <c r="B12" s="83" t="s">
        <v>322</v>
      </c>
      <c r="C12" s="84" t="s">
        <v>79</v>
      </c>
      <c r="D12" s="171" t="s">
        <v>332</v>
      </c>
      <c r="E12" s="89">
        <v>6285564620.3100004</v>
      </c>
      <c r="F12" s="90">
        <f t="shared" si="0"/>
        <v>2.678623624167957E-2</v>
      </c>
      <c r="G12" s="171" t="s">
        <v>332</v>
      </c>
      <c r="H12" s="89">
        <v>628.86</v>
      </c>
      <c r="I12" s="171" t="s">
        <v>332</v>
      </c>
      <c r="J12" s="89">
        <v>638.37</v>
      </c>
      <c r="K12" s="87">
        <v>2079</v>
      </c>
      <c r="L12" s="88">
        <v>3.2000000000000002E-3</v>
      </c>
      <c r="M12" s="88">
        <v>0.38719999999999999</v>
      </c>
      <c r="N12" s="171" t="s">
        <v>332</v>
      </c>
      <c r="O12" s="94">
        <v>6443254025.6199999</v>
      </c>
      <c r="P12" s="90">
        <f t="shared" si="1"/>
        <v>2.6148180445117093E-2</v>
      </c>
      <c r="Q12" s="171" t="s">
        <v>332</v>
      </c>
      <c r="R12" s="89">
        <v>633.95000000000005</v>
      </c>
      <c r="S12" s="171" t="s">
        <v>332</v>
      </c>
      <c r="T12" s="89">
        <v>643.29999999999995</v>
      </c>
      <c r="U12" s="87">
        <v>2093</v>
      </c>
      <c r="V12" s="88">
        <v>7.9000000000000008E-3</v>
      </c>
      <c r="W12" s="88">
        <v>0.39850000000000002</v>
      </c>
      <c r="X12" s="187">
        <f t="shared" si="2"/>
        <v>2.5087548189461191E-2</v>
      </c>
      <c r="Y12" s="187">
        <f t="shared" si="3"/>
        <v>7.7227939909456115E-3</v>
      </c>
      <c r="Z12" s="187">
        <f t="shared" si="4"/>
        <v>6.7340067340067337E-3</v>
      </c>
      <c r="AA12" s="185">
        <f t="shared" si="5"/>
        <v>4.7000000000000011E-3</v>
      </c>
      <c r="AB12" s="186">
        <f t="shared" si="6"/>
        <v>1.1300000000000032E-2</v>
      </c>
      <c r="AC12" s="40"/>
      <c r="AD12" s="40"/>
      <c r="AE12" s="204"/>
    </row>
    <row r="13" spans="1:32" ht="12.6" customHeight="1">
      <c r="A13" s="196">
        <v>8</v>
      </c>
      <c r="B13" s="83" t="s">
        <v>30</v>
      </c>
      <c r="C13" s="84" t="s">
        <v>31</v>
      </c>
      <c r="D13" s="171" t="s">
        <v>332</v>
      </c>
      <c r="E13" s="95">
        <v>648871095.46000004</v>
      </c>
      <c r="F13" s="90">
        <f t="shared" si="0"/>
        <v>2.7651954125533697E-3</v>
      </c>
      <c r="G13" s="171" t="s">
        <v>332</v>
      </c>
      <c r="H13" s="89">
        <v>324.12</v>
      </c>
      <c r="I13" s="171" t="s">
        <v>332</v>
      </c>
      <c r="J13" s="89">
        <v>339.02</v>
      </c>
      <c r="K13" s="91">
        <v>2469</v>
      </c>
      <c r="L13" s="92">
        <v>1.6879999999999999E-2</v>
      </c>
      <c r="M13" s="92">
        <v>0.28260000000000002</v>
      </c>
      <c r="N13" s="171" t="s">
        <v>332</v>
      </c>
      <c r="O13" s="95">
        <v>625590654.61000001</v>
      </c>
      <c r="P13" s="90">
        <f t="shared" si="1"/>
        <v>2.5387882049159403E-3</v>
      </c>
      <c r="Q13" s="171" t="s">
        <v>332</v>
      </c>
      <c r="R13" s="89">
        <v>312.49</v>
      </c>
      <c r="S13" s="171" t="s">
        <v>332</v>
      </c>
      <c r="T13" s="89">
        <v>326.43</v>
      </c>
      <c r="U13" s="91">
        <v>2469</v>
      </c>
      <c r="V13" s="92">
        <v>9.6600000000000002E-3</v>
      </c>
      <c r="W13" s="92">
        <v>0.22409999999999999</v>
      </c>
      <c r="X13" s="187">
        <f t="shared" si="2"/>
        <v>-3.5878375555465247E-2</v>
      </c>
      <c r="Y13" s="187">
        <f t="shared" si="3"/>
        <v>-3.7136452126718116E-2</v>
      </c>
      <c r="Z13" s="187">
        <f t="shared" si="4"/>
        <v>0</v>
      </c>
      <c r="AA13" s="185">
        <f t="shared" si="5"/>
        <v>-7.219999999999999E-3</v>
      </c>
      <c r="AB13" s="186">
        <f t="shared" si="6"/>
        <v>-5.8500000000000024E-2</v>
      </c>
      <c r="AE13" s="204"/>
    </row>
    <row r="14" spans="1:32">
      <c r="A14" s="196">
        <v>9</v>
      </c>
      <c r="B14" s="83" t="s">
        <v>32</v>
      </c>
      <c r="C14" s="84" t="s">
        <v>33</v>
      </c>
      <c r="D14" s="171" t="s">
        <v>332</v>
      </c>
      <c r="E14" s="94">
        <v>146541303.57679999</v>
      </c>
      <c r="F14" s="90">
        <f t="shared" si="0"/>
        <v>6.244928202771789E-4</v>
      </c>
      <c r="G14" s="171" t="s">
        <v>332</v>
      </c>
      <c r="H14" s="89">
        <v>506.76339999999999</v>
      </c>
      <c r="I14" s="171" t="s">
        <v>332</v>
      </c>
      <c r="J14" s="89">
        <v>524.13909999999998</v>
      </c>
      <c r="K14" s="91">
        <v>34</v>
      </c>
      <c r="L14" s="92">
        <v>5.0299999999999997E-2</v>
      </c>
      <c r="M14" s="92">
        <v>0.60089999999999999</v>
      </c>
      <c r="N14" s="171" t="s">
        <v>332</v>
      </c>
      <c r="O14" s="94">
        <v>146541303.57679999</v>
      </c>
      <c r="P14" s="90">
        <f t="shared" si="1"/>
        <v>5.9469771537063322E-4</v>
      </c>
      <c r="Q14" s="171" t="s">
        <v>332</v>
      </c>
      <c r="R14" s="89">
        <v>506.76339999999999</v>
      </c>
      <c r="S14" s="171" t="s">
        <v>332</v>
      </c>
      <c r="T14" s="89">
        <v>524.13909999999998</v>
      </c>
      <c r="U14" s="91">
        <v>34</v>
      </c>
      <c r="V14" s="92">
        <v>5.0299999999999997E-2</v>
      </c>
      <c r="W14" s="92">
        <v>0.60089999999999999</v>
      </c>
      <c r="X14" s="187">
        <f t="shared" si="2"/>
        <v>0</v>
      </c>
      <c r="Y14" s="187">
        <f t="shared" si="3"/>
        <v>0</v>
      </c>
      <c r="Z14" s="187">
        <f t="shared" si="4"/>
        <v>0</v>
      </c>
      <c r="AA14" s="185">
        <f t="shared" si="5"/>
        <v>0</v>
      </c>
      <c r="AB14" s="186">
        <f t="shared" si="6"/>
        <v>0</v>
      </c>
    </row>
    <row r="15" spans="1:32" ht="14.25" customHeight="1">
      <c r="A15" s="196">
        <v>10</v>
      </c>
      <c r="B15" s="83" t="s">
        <v>34</v>
      </c>
      <c r="C15" s="84" t="s">
        <v>35</v>
      </c>
      <c r="D15" s="171" t="s">
        <v>332</v>
      </c>
      <c r="E15" s="95">
        <v>20543400462.779999</v>
      </c>
      <c r="F15" s="90">
        <f t="shared" si="0"/>
        <v>8.7546690113626563E-2</v>
      </c>
      <c r="G15" s="171" t="s">
        <v>332</v>
      </c>
      <c r="H15" s="89">
        <v>5.9774399999999996</v>
      </c>
      <c r="I15" s="171" t="s">
        <v>332</v>
      </c>
      <c r="J15" s="89">
        <v>6.0281520000000004</v>
      </c>
      <c r="K15" s="91">
        <v>9899</v>
      </c>
      <c r="L15" s="92">
        <v>-8.0000000000000004E-4</v>
      </c>
      <c r="M15" s="92">
        <v>0.50249999999999995</v>
      </c>
      <c r="N15" s="171" t="s">
        <v>332</v>
      </c>
      <c r="O15" s="95">
        <v>21965888313.869999</v>
      </c>
      <c r="P15" s="90">
        <f t="shared" si="1"/>
        <v>8.9142537137994221E-2</v>
      </c>
      <c r="Q15" s="171" t="s">
        <v>332</v>
      </c>
      <c r="R15" s="89">
        <v>5.9513069999999999</v>
      </c>
      <c r="S15" s="171" t="s">
        <v>332</v>
      </c>
      <c r="T15" s="89">
        <v>6.0013829999999997</v>
      </c>
      <c r="U15" s="91">
        <v>10527</v>
      </c>
      <c r="V15" s="92">
        <v>-4.3719384887175305E-3</v>
      </c>
      <c r="W15" s="92">
        <v>0.49591290721997749</v>
      </c>
      <c r="X15" s="187">
        <f t="shared" si="2"/>
        <v>6.9243057091119206E-2</v>
      </c>
      <c r="Y15" s="187">
        <f t="shared" si="3"/>
        <v>-4.4406644026230109E-3</v>
      </c>
      <c r="Z15" s="187">
        <f t="shared" si="4"/>
        <v>6.3440751591069808E-2</v>
      </c>
      <c r="AA15" s="185">
        <f t="shared" si="5"/>
        <v>-3.5719384887175306E-3</v>
      </c>
      <c r="AB15" s="186">
        <f t="shared" si="6"/>
        <v>-6.5870927800224521E-3</v>
      </c>
      <c r="AD15" s="49"/>
    </row>
    <row r="16" spans="1:32" ht="14.25" customHeight="1">
      <c r="A16" s="196">
        <v>11</v>
      </c>
      <c r="B16" s="83" t="s">
        <v>36</v>
      </c>
      <c r="C16" s="84" t="s">
        <v>37</v>
      </c>
      <c r="D16" s="171" t="s">
        <v>332</v>
      </c>
      <c r="E16" s="95">
        <v>493183491.50999999</v>
      </c>
      <c r="F16" s="90">
        <f t="shared" si="0"/>
        <v>2.1017251928963057E-3</v>
      </c>
      <c r="G16" s="171" t="s">
        <v>332</v>
      </c>
      <c r="H16" s="89">
        <v>47.21</v>
      </c>
      <c r="I16" s="171" t="s">
        <v>332</v>
      </c>
      <c r="J16" s="89">
        <v>47.49</v>
      </c>
      <c r="K16" s="91">
        <v>120</v>
      </c>
      <c r="L16" s="92">
        <v>0.16</v>
      </c>
      <c r="M16" s="92">
        <v>0.8</v>
      </c>
      <c r="N16" s="171" t="s">
        <v>332</v>
      </c>
      <c r="O16" s="95">
        <v>570191827.59000003</v>
      </c>
      <c r="P16" s="90">
        <f t="shared" si="1"/>
        <v>2.3139672496025419E-3</v>
      </c>
      <c r="Q16" s="171" t="s">
        <v>332</v>
      </c>
      <c r="R16" s="89">
        <v>47</v>
      </c>
      <c r="S16" s="171" t="s">
        <v>332</v>
      </c>
      <c r="T16" s="89">
        <v>47.37</v>
      </c>
      <c r="U16" s="91">
        <v>121</v>
      </c>
      <c r="V16" s="92">
        <v>0</v>
      </c>
      <c r="W16" s="92">
        <v>0.79</v>
      </c>
      <c r="X16" s="187">
        <f t="shared" ref="X16" si="7">((O16-E16)/E16)</f>
        <v>0.15614540511934105</v>
      </c>
      <c r="Y16" s="187">
        <f t="shared" ref="Y16" si="8">((T16-J16)/J16)</f>
        <v>-2.526847757422711E-3</v>
      </c>
      <c r="Z16" s="187">
        <f t="shared" ref="Z16" si="9">((U16-K16)/K16)</f>
        <v>8.3333333333333332E-3</v>
      </c>
      <c r="AA16" s="185">
        <f t="shared" ref="AA16" si="10">V16-L16</f>
        <v>-0.16</v>
      </c>
      <c r="AB16" s="186">
        <f t="shared" ref="AB16" si="11">W16-M16</f>
        <v>-1.0000000000000009E-2</v>
      </c>
      <c r="AD16" s="40"/>
    </row>
    <row r="17" spans="1:33">
      <c r="A17" s="196">
        <v>12</v>
      </c>
      <c r="B17" s="83" t="s">
        <v>320</v>
      </c>
      <c r="C17" s="84" t="s">
        <v>38</v>
      </c>
      <c r="D17" s="171" t="s">
        <v>332</v>
      </c>
      <c r="E17" s="95">
        <v>3832339871.3600001</v>
      </c>
      <c r="F17" s="90">
        <f t="shared" si="0"/>
        <v>1.6331700865974713E-2</v>
      </c>
      <c r="G17" s="171" t="s">
        <v>332</v>
      </c>
      <c r="H17" s="89">
        <v>8.27</v>
      </c>
      <c r="I17" s="171" t="s">
        <v>332</v>
      </c>
      <c r="J17" s="89">
        <v>8.4499999999999993</v>
      </c>
      <c r="K17" s="91">
        <v>3805</v>
      </c>
      <c r="L17" s="92">
        <v>3.9300000000000002E-2</v>
      </c>
      <c r="M17" s="92">
        <v>0.49459999999999998</v>
      </c>
      <c r="N17" s="171" t="s">
        <v>332</v>
      </c>
      <c r="O17" s="95">
        <v>4149534319.1900001</v>
      </c>
      <c r="P17" s="90">
        <f t="shared" si="1"/>
        <v>1.6839747697351665E-2</v>
      </c>
      <c r="Q17" s="171" t="s">
        <v>332</v>
      </c>
      <c r="R17" s="89">
        <v>8.23</v>
      </c>
      <c r="S17" s="171" t="s">
        <v>332</v>
      </c>
      <c r="T17" s="89">
        <v>8.4</v>
      </c>
      <c r="U17" s="91">
        <v>3803</v>
      </c>
      <c r="V17" s="92">
        <v>3.3599999999999998E-2</v>
      </c>
      <c r="W17" s="92">
        <v>0.4864</v>
      </c>
      <c r="X17" s="187">
        <f t="shared" si="2"/>
        <v>8.2767828135617755E-2</v>
      </c>
      <c r="Y17" s="187">
        <f t="shared" si="3"/>
        <v>-5.9171597633134836E-3</v>
      </c>
      <c r="Z17" s="187">
        <f t="shared" si="4"/>
        <v>-5.2562417871222073E-4</v>
      </c>
      <c r="AA17" s="185">
        <f t="shared" si="5"/>
        <v>-5.7000000000000037E-3</v>
      </c>
      <c r="AB17" s="186">
        <f t="shared" si="6"/>
        <v>-8.1999999999999851E-3</v>
      </c>
      <c r="AC17" s="40"/>
    </row>
    <row r="18" spans="1:33">
      <c r="A18" s="196">
        <v>13</v>
      </c>
      <c r="B18" s="83" t="s">
        <v>39</v>
      </c>
      <c r="C18" s="84" t="s">
        <v>40</v>
      </c>
      <c r="D18" s="171" t="s">
        <v>332</v>
      </c>
      <c r="E18" s="89">
        <v>9840714609.7900009</v>
      </c>
      <c r="F18" s="90">
        <f t="shared" si="0"/>
        <v>4.1936679080992752E-2</v>
      </c>
      <c r="G18" s="171" t="s">
        <v>332</v>
      </c>
      <c r="H18" s="89">
        <v>51.01</v>
      </c>
      <c r="I18" s="171" t="s">
        <v>332</v>
      </c>
      <c r="J18" s="89">
        <v>51.26</v>
      </c>
      <c r="K18" s="91">
        <v>2035</v>
      </c>
      <c r="L18" s="92">
        <v>5.1200000000000002E-2</v>
      </c>
      <c r="M18" s="92">
        <v>0.56830000000000003</v>
      </c>
      <c r="N18" s="171" t="s">
        <v>332</v>
      </c>
      <c r="O18" s="89">
        <v>10608176339.030001</v>
      </c>
      <c r="P18" s="90">
        <f>(O18/$O$26)</f>
        <v>4.3050376099347858E-2</v>
      </c>
      <c r="Q18" s="171" t="s">
        <v>332</v>
      </c>
      <c r="R18" s="89">
        <v>50.541953999999997</v>
      </c>
      <c r="S18" s="171" t="s">
        <v>332</v>
      </c>
      <c r="T18" s="89">
        <v>50.769976999999997</v>
      </c>
      <c r="U18" s="91">
        <v>2119</v>
      </c>
      <c r="V18" s="92">
        <v>-9.2999999999999992E-3</v>
      </c>
      <c r="W18" s="92">
        <v>0.55369999999999997</v>
      </c>
      <c r="X18" s="187">
        <f t="shared" si="2"/>
        <v>7.7988414426376426E-2</v>
      </c>
      <c r="Y18" s="187">
        <f t="shared" si="3"/>
        <v>-9.5595591104174951E-3</v>
      </c>
      <c r="Z18" s="187">
        <f t="shared" si="4"/>
        <v>4.1277641277641275E-2</v>
      </c>
      <c r="AA18" s="185">
        <f t="shared" si="5"/>
        <v>-6.0499999999999998E-2</v>
      </c>
      <c r="AB18" s="186">
        <f t="shared" si="6"/>
        <v>-1.4600000000000057E-2</v>
      </c>
    </row>
    <row r="19" spans="1:33">
      <c r="A19" s="196">
        <v>14</v>
      </c>
      <c r="B19" s="83" t="s">
        <v>41</v>
      </c>
      <c r="C19" s="84" t="s">
        <v>42</v>
      </c>
      <c r="D19" s="171" t="s">
        <v>332</v>
      </c>
      <c r="E19" s="89">
        <v>342929808.66000003</v>
      </c>
      <c r="F19" s="90">
        <f t="shared" si="0"/>
        <v>1.4614118896175941E-3</v>
      </c>
      <c r="G19" s="171" t="s">
        <v>332</v>
      </c>
      <c r="H19" s="89">
        <v>3.17184</v>
      </c>
      <c r="I19" s="171" t="s">
        <v>332</v>
      </c>
      <c r="J19" s="89">
        <v>3.2383570000000002</v>
      </c>
      <c r="K19" s="91">
        <v>36</v>
      </c>
      <c r="L19" s="92">
        <v>0.1206</v>
      </c>
      <c r="M19" s="92">
        <v>0.61050000000000004</v>
      </c>
      <c r="N19" s="171" t="s">
        <v>332</v>
      </c>
      <c r="O19" s="89">
        <v>356160261.12</v>
      </c>
      <c r="P19" s="90">
        <f t="shared" si="1"/>
        <v>1.4453788005432003E-3</v>
      </c>
      <c r="Q19" s="171" t="s">
        <v>332</v>
      </c>
      <c r="R19" s="89">
        <v>3.2629280000000001</v>
      </c>
      <c r="S19" s="171" t="s">
        <v>332</v>
      </c>
      <c r="T19" s="89">
        <v>3.3300740000000002</v>
      </c>
      <c r="U19" s="91">
        <v>39</v>
      </c>
      <c r="V19" s="92">
        <v>4.5999999999999999E-2</v>
      </c>
      <c r="W19" s="92">
        <v>0.65649999999999997</v>
      </c>
      <c r="X19" s="187">
        <f t="shared" si="2"/>
        <v>3.8580642819293076E-2</v>
      </c>
      <c r="Y19" s="187">
        <f t="shared" si="3"/>
        <v>2.8322078140242117E-2</v>
      </c>
      <c r="Z19" s="187">
        <f t="shared" si="4"/>
        <v>8.3333333333333329E-2</v>
      </c>
      <c r="AA19" s="185">
        <f t="shared" si="5"/>
        <v>-7.46E-2</v>
      </c>
      <c r="AB19" s="186">
        <f t="shared" si="6"/>
        <v>4.599999999999993E-2</v>
      </c>
    </row>
    <row r="20" spans="1:33">
      <c r="A20" s="196">
        <v>15</v>
      </c>
      <c r="B20" s="83" t="s">
        <v>43</v>
      </c>
      <c r="C20" s="84" t="s">
        <v>44</v>
      </c>
      <c r="D20" s="171" t="s">
        <v>332</v>
      </c>
      <c r="E20" s="96">
        <v>23139801853.84</v>
      </c>
      <c r="F20" s="90">
        <f t="shared" si="0"/>
        <v>9.8611379642779565E-2</v>
      </c>
      <c r="G20" s="171" t="s">
        <v>332</v>
      </c>
      <c r="H20" s="89">
        <v>79.61</v>
      </c>
      <c r="I20" s="171" t="s">
        <v>332</v>
      </c>
      <c r="J20" s="89">
        <v>79.72</v>
      </c>
      <c r="K20" s="91">
        <v>18236</v>
      </c>
      <c r="L20" s="92">
        <v>7.6899999999999996E-2</v>
      </c>
      <c r="M20" s="92">
        <v>0.6774</v>
      </c>
      <c r="N20" s="171" t="s">
        <v>332</v>
      </c>
      <c r="O20" s="96">
        <v>23921766377.080002</v>
      </c>
      <c r="P20" s="90">
        <f t="shared" si="1"/>
        <v>9.7079932175052397E-2</v>
      </c>
      <c r="Q20" s="171" t="s">
        <v>332</v>
      </c>
      <c r="R20" s="89">
        <v>77.7</v>
      </c>
      <c r="S20" s="171" t="s">
        <v>332</v>
      </c>
      <c r="T20" s="89">
        <v>77.83</v>
      </c>
      <c r="U20" s="91">
        <v>18693</v>
      </c>
      <c r="V20" s="92">
        <v>-4.0399999999999998E-2</v>
      </c>
      <c r="W20" s="92">
        <v>0.63700000000000001</v>
      </c>
      <c r="X20" s="187">
        <f t="shared" si="2"/>
        <v>3.3793051823831258E-2</v>
      </c>
      <c r="Y20" s="187">
        <f t="shared" si="3"/>
        <v>-2.3707977922729561E-2</v>
      </c>
      <c r="Z20" s="187">
        <f t="shared" si="4"/>
        <v>2.506032024566791E-2</v>
      </c>
      <c r="AA20" s="185">
        <f t="shared" si="5"/>
        <v>-0.11729999999999999</v>
      </c>
      <c r="AB20" s="186">
        <f t="shared" si="6"/>
        <v>-4.0399999999999991E-2</v>
      </c>
    </row>
    <row r="21" spans="1:33" ht="12.75" customHeight="1">
      <c r="A21" s="192">
        <v>16</v>
      </c>
      <c r="B21" s="83" t="s">
        <v>45</v>
      </c>
      <c r="C21" s="84" t="s">
        <v>46</v>
      </c>
      <c r="D21" s="171" t="s">
        <v>332</v>
      </c>
      <c r="E21" s="89">
        <v>5024383761.1400003</v>
      </c>
      <c r="F21" s="90">
        <f t="shared" si="0"/>
        <v>2.141165329203424E-2</v>
      </c>
      <c r="G21" s="171" t="s">
        <v>332</v>
      </c>
      <c r="H21" s="89">
        <v>17923.509999999998</v>
      </c>
      <c r="I21" s="171" t="s">
        <v>332</v>
      </c>
      <c r="J21" s="89">
        <v>18144.439999999999</v>
      </c>
      <c r="K21" s="91">
        <v>74</v>
      </c>
      <c r="L21" s="92">
        <v>2.9899999999999999E-2</v>
      </c>
      <c r="M21" s="92">
        <v>0.4108</v>
      </c>
      <c r="N21" s="171" t="s">
        <v>332</v>
      </c>
      <c r="O21" s="89">
        <v>5100026672.0799999</v>
      </c>
      <c r="P21" s="90">
        <f t="shared" si="1"/>
        <v>2.0697060393118007E-2</v>
      </c>
      <c r="Q21" s="171" t="s">
        <v>332</v>
      </c>
      <c r="R21" s="89">
        <v>17907.04</v>
      </c>
      <c r="S21" s="171" t="s">
        <v>332</v>
      </c>
      <c r="T21" s="89">
        <v>18137.73</v>
      </c>
      <c r="U21" s="91">
        <v>77</v>
      </c>
      <c r="V21" s="92">
        <v>-3.6981025592407998E-4</v>
      </c>
      <c r="W21" s="92">
        <v>0.41025196441428302</v>
      </c>
      <c r="X21" s="187">
        <f t="shared" si="2"/>
        <v>1.5055161893691953E-2</v>
      </c>
      <c r="Y21" s="187">
        <f t="shared" si="3"/>
        <v>-3.6981025592408074E-4</v>
      </c>
      <c r="Z21" s="187">
        <f t="shared" si="4"/>
        <v>4.0540540540540543E-2</v>
      </c>
      <c r="AA21" s="185">
        <f t="shared" si="5"/>
        <v>-3.0269810255924078E-2</v>
      </c>
      <c r="AB21" s="186">
        <f t="shared" si="6"/>
        <v>-5.4803558571697719E-4</v>
      </c>
      <c r="AD21" s="40"/>
    </row>
    <row r="22" spans="1:33">
      <c r="A22" s="192">
        <v>17</v>
      </c>
      <c r="B22" s="83" t="s">
        <v>47</v>
      </c>
      <c r="C22" s="84" t="s">
        <v>46</v>
      </c>
      <c r="D22" s="171" t="s">
        <v>332</v>
      </c>
      <c r="E22" s="89">
        <v>68999453386.580002</v>
      </c>
      <c r="F22" s="90">
        <f t="shared" si="0"/>
        <v>0.29404449251665404</v>
      </c>
      <c r="G22" s="171" t="s">
        <v>332</v>
      </c>
      <c r="H22" s="89">
        <v>64639.53</v>
      </c>
      <c r="I22" s="171" t="s">
        <v>332</v>
      </c>
      <c r="J22" s="89">
        <v>65485.27</v>
      </c>
      <c r="K22" s="91">
        <v>29243</v>
      </c>
      <c r="L22" s="92">
        <v>5.6099999999999997E-2</v>
      </c>
      <c r="M22" s="92">
        <v>0.5131</v>
      </c>
      <c r="N22" s="171" t="s">
        <v>332</v>
      </c>
      <c r="O22" s="89">
        <v>71391259149.580002</v>
      </c>
      <c r="P22" s="90">
        <f t="shared" si="1"/>
        <v>0.28972185777941717</v>
      </c>
      <c r="Q22" s="171" t="s">
        <v>332</v>
      </c>
      <c r="R22" s="89">
        <v>63575.45</v>
      </c>
      <c r="S22" s="171" t="s">
        <v>332</v>
      </c>
      <c r="T22" s="89">
        <v>64363.14</v>
      </c>
      <c r="U22" s="91">
        <v>30116</v>
      </c>
      <c r="V22" s="92">
        <v>-1.71356092751851E-2</v>
      </c>
      <c r="W22" s="92">
        <v>0.48720639735587701</v>
      </c>
      <c r="X22" s="187">
        <f t="shared" si="2"/>
        <v>3.4664126244588374E-2</v>
      </c>
      <c r="Y22" s="187">
        <f t="shared" si="3"/>
        <v>-1.7135609275185051E-2</v>
      </c>
      <c r="Z22" s="187">
        <f t="shared" si="4"/>
        <v>2.985329822521629E-2</v>
      </c>
      <c r="AA22" s="185">
        <f t="shared" si="5"/>
        <v>-7.3235609275185104E-2</v>
      </c>
      <c r="AB22" s="186">
        <f t="shared" si="6"/>
        <v>-2.5893602644122993E-2</v>
      </c>
    </row>
    <row r="23" spans="1:33">
      <c r="A23" s="196">
        <v>18</v>
      </c>
      <c r="B23" s="84" t="s">
        <v>48</v>
      </c>
      <c r="C23" s="84" t="s">
        <v>49</v>
      </c>
      <c r="D23" s="171" t="s">
        <v>332</v>
      </c>
      <c r="E23" s="89">
        <v>16440268200.450001</v>
      </c>
      <c r="F23" s="90">
        <f t="shared" si="0"/>
        <v>7.0060994436504098E-2</v>
      </c>
      <c r="G23" s="171" t="s">
        <v>332</v>
      </c>
      <c r="H23" s="89">
        <v>2.7751899999999998</v>
      </c>
      <c r="I23" s="171" t="s">
        <v>332</v>
      </c>
      <c r="J23" s="97">
        <v>2.8021400000000001</v>
      </c>
      <c r="K23" s="91">
        <v>8349</v>
      </c>
      <c r="L23" s="92">
        <v>3.9E-2</v>
      </c>
      <c r="M23" s="92">
        <v>0.44369999999999998</v>
      </c>
      <c r="N23" s="171" t="s">
        <v>332</v>
      </c>
      <c r="O23" s="89">
        <v>17474552382.400002</v>
      </c>
      <c r="P23" s="90">
        <f t="shared" si="1"/>
        <v>7.0915681280884824E-2</v>
      </c>
      <c r="Q23" s="171" t="s">
        <v>332</v>
      </c>
      <c r="R23" s="89">
        <v>2.7656800000000001</v>
      </c>
      <c r="S23" s="171" t="s">
        <v>332</v>
      </c>
      <c r="T23" s="97">
        <v>2.7908900000000001</v>
      </c>
      <c r="U23" s="91">
        <v>8512</v>
      </c>
      <c r="V23" s="92">
        <v>-0.1449</v>
      </c>
      <c r="W23" s="92">
        <v>0.43869999999999998</v>
      </c>
      <c r="X23" s="187">
        <f t="shared" ref="X23:X24" si="12">((O23-E23)/E23)</f>
        <v>6.291163680174576E-2</v>
      </c>
      <c r="Y23" s="187">
        <f t="shared" ref="Y23:Y24" si="13">((T23-J23)/J23)</f>
        <v>-4.0147886972099834E-3</v>
      </c>
      <c r="Z23" s="187">
        <f t="shared" ref="Z23:Z24" si="14">((U23-K23)/K23)</f>
        <v>1.9523296203138099E-2</v>
      </c>
      <c r="AA23" s="185">
        <f t="shared" ref="AA23:AA24" si="15">V23-L23</f>
        <v>-0.18390000000000001</v>
      </c>
      <c r="AB23" s="186">
        <f t="shared" ref="AB23:AB24" si="16">W23-M23</f>
        <v>-5.0000000000000044E-3</v>
      </c>
      <c r="AD23" s="49"/>
      <c r="AE23" s="49"/>
    </row>
    <row r="24" spans="1:33">
      <c r="A24" s="202">
        <v>19</v>
      </c>
      <c r="B24" s="83" t="s">
        <v>303</v>
      </c>
      <c r="C24" s="84" t="s">
        <v>119</v>
      </c>
      <c r="D24" s="171" t="s">
        <v>332</v>
      </c>
      <c r="E24" s="89">
        <v>8692630860.5200005</v>
      </c>
      <c r="F24" s="90">
        <f t="shared" si="0"/>
        <v>3.704406491013363E-2</v>
      </c>
      <c r="G24" s="171" t="s">
        <v>332</v>
      </c>
      <c r="H24" s="89">
        <v>2.06</v>
      </c>
      <c r="I24" s="171" t="s">
        <v>332</v>
      </c>
      <c r="J24" s="97">
        <v>2.09</v>
      </c>
      <c r="K24" s="91">
        <v>2290</v>
      </c>
      <c r="L24" s="92">
        <v>0.1024</v>
      </c>
      <c r="M24" s="92">
        <v>1.0250999999999999</v>
      </c>
      <c r="N24" s="171" t="s">
        <v>332</v>
      </c>
      <c r="O24" s="89">
        <v>11234718149.98</v>
      </c>
      <c r="P24" s="90">
        <f t="shared" si="1"/>
        <v>4.5593024311569252E-2</v>
      </c>
      <c r="Q24" s="171" t="s">
        <v>332</v>
      </c>
      <c r="R24" s="89">
        <v>2.12</v>
      </c>
      <c r="S24" s="171" t="s">
        <v>332</v>
      </c>
      <c r="T24" s="97">
        <v>2.15</v>
      </c>
      <c r="U24" s="91">
        <v>3125</v>
      </c>
      <c r="V24" s="92">
        <v>3.2440999999999998E-2</v>
      </c>
      <c r="W24" s="92">
        <v>1.090581</v>
      </c>
      <c r="X24" s="187">
        <f t="shared" si="12"/>
        <v>0.29244164744250156</v>
      </c>
      <c r="Y24" s="187">
        <f t="shared" si="13"/>
        <v>2.8708133971291894E-2</v>
      </c>
      <c r="Z24" s="187">
        <f t="shared" si="14"/>
        <v>0.36462882096069871</v>
      </c>
      <c r="AA24" s="185">
        <f t="shared" si="15"/>
        <v>-6.9959000000000007E-2</v>
      </c>
      <c r="AB24" s="186">
        <f t="shared" si="16"/>
        <v>6.5481000000000122E-2</v>
      </c>
      <c r="AD24" s="40"/>
      <c r="AE24" s="40"/>
      <c r="AF24" s="40"/>
      <c r="AG24" s="40"/>
    </row>
    <row r="25" spans="1:33">
      <c r="A25" s="196">
        <v>20</v>
      </c>
      <c r="B25" s="84" t="s">
        <v>50</v>
      </c>
      <c r="C25" s="84" t="s">
        <v>51</v>
      </c>
      <c r="D25" s="171" t="s">
        <v>332</v>
      </c>
      <c r="E25" s="89">
        <v>20728273927.209999</v>
      </c>
      <c r="F25" s="90">
        <f>(E25/$E$26)</f>
        <v>8.833453728284324E-2</v>
      </c>
      <c r="G25" s="171" t="s">
        <v>332</v>
      </c>
      <c r="H25" s="89">
        <v>354.8</v>
      </c>
      <c r="I25" s="171" t="s">
        <v>332</v>
      </c>
      <c r="J25" s="97">
        <v>360.34</v>
      </c>
      <c r="K25" s="91">
        <v>143</v>
      </c>
      <c r="L25" s="92">
        <v>4.1700000000000001E-2</v>
      </c>
      <c r="M25" s="92">
        <v>0.67849999999999999</v>
      </c>
      <c r="N25" s="171" t="s">
        <v>332</v>
      </c>
      <c r="O25" s="89">
        <v>20611313940.830002</v>
      </c>
      <c r="P25" s="90">
        <f t="shared" si="1"/>
        <v>8.3645368317434965E-2</v>
      </c>
      <c r="Q25" s="171" t="s">
        <v>332</v>
      </c>
      <c r="R25" s="89">
        <v>351.89</v>
      </c>
      <c r="S25" s="171" t="s">
        <v>332</v>
      </c>
      <c r="T25" s="97">
        <v>357.36</v>
      </c>
      <c r="U25" s="91">
        <v>147</v>
      </c>
      <c r="V25" s="92">
        <v>-8.2000000000000007E-3</v>
      </c>
      <c r="W25" s="92">
        <v>0.66459999999999997</v>
      </c>
      <c r="X25" s="187">
        <f t="shared" si="2"/>
        <v>-5.6425338062743328E-3</v>
      </c>
      <c r="Y25" s="187">
        <f t="shared" si="3"/>
        <v>-8.269967253149697E-3</v>
      </c>
      <c r="Z25" s="187">
        <f t="shared" si="4"/>
        <v>2.7972027972027972E-2</v>
      </c>
      <c r="AA25" s="185">
        <f t="shared" si="5"/>
        <v>-4.99E-2</v>
      </c>
      <c r="AB25" s="186">
        <f t="shared" si="6"/>
        <v>-1.3900000000000023E-2</v>
      </c>
      <c r="AD25" s="40"/>
      <c r="AE25" s="40"/>
    </row>
    <row r="26" spans="1:33">
      <c r="B26" s="98"/>
      <c r="C26" s="99" t="s">
        <v>52</v>
      </c>
      <c r="D26" s="170" t="s">
        <v>332</v>
      </c>
      <c r="E26" s="100">
        <f>SUM(E6:E25)</f>
        <v>234656506558.00677</v>
      </c>
      <c r="F26" s="101">
        <f>(E26/$E$238)</f>
        <v>2.6494842841281986E-2</v>
      </c>
      <c r="G26" s="171"/>
      <c r="H26" s="102"/>
      <c r="I26" s="102"/>
      <c r="J26" s="103"/>
      <c r="K26" s="104">
        <f>SUM(K6:K25)</f>
        <v>97453</v>
      </c>
      <c r="L26" s="105"/>
      <c r="M26" s="91">
        <v>0</v>
      </c>
      <c r="N26" s="171" t="s">
        <v>332</v>
      </c>
      <c r="O26" s="100">
        <f>SUM(O6:O25)</f>
        <v>246413093222.44684</v>
      </c>
      <c r="P26" s="101">
        <f>(O26/$O$238)</f>
        <v>2.7798104705437383E-2</v>
      </c>
      <c r="Q26" s="173"/>
      <c r="R26" s="102"/>
      <c r="S26" s="102"/>
      <c r="T26" s="103"/>
      <c r="U26" s="104">
        <f>SUM(U6:U25)</f>
        <v>101067</v>
      </c>
      <c r="V26" s="105"/>
      <c r="W26" s="104"/>
      <c r="X26" s="187">
        <f t="shared" si="2"/>
        <v>5.0101260079629846E-2</v>
      </c>
      <c r="Y26" s="187" t="e">
        <f t="shared" si="3"/>
        <v>#DIV/0!</v>
      </c>
      <c r="Z26" s="187">
        <f t="shared" si="4"/>
        <v>3.708454331831755E-2</v>
      </c>
      <c r="AA26" s="185">
        <f t="shared" si="5"/>
        <v>0</v>
      </c>
      <c r="AB26" s="186">
        <f t="shared" si="6"/>
        <v>0</v>
      </c>
    </row>
    <row r="27" spans="1:33" ht="4.5" customHeight="1"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</row>
    <row r="28" spans="1:33" ht="15" customHeight="1">
      <c r="A28" s="193"/>
      <c r="B28" s="217" t="s">
        <v>53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</row>
    <row r="29" spans="1:33" ht="16.8" customHeight="1">
      <c r="A29" s="195">
        <v>21</v>
      </c>
      <c r="B29" s="83" t="s">
        <v>54</v>
      </c>
      <c r="C29" s="84" t="s">
        <v>19</v>
      </c>
      <c r="D29" s="171" t="s">
        <v>332</v>
      </c>
      <c r="E29" s="106">
        <v>6123948107.5799999</v>
      </c>
      <c r="F29" s="90">
        <f t="shared" ref="F29:F36" si="17">(E29/$O$76)</f>
        <v>1.0702458131981944E-3</v>
      </c>
      <c r="G29" s="171" t="s">
        <v>332</v>
      </c>
      <c r="H29" s="97">
        <v>100</v>
      </c>
      <c r="I29" s="171" t="s">
        <v>332</v>
      </c>
      <c r="J29" s="97">
        <v>100</v>
      </c>
      <c r="K29" s="91">
        <v>928</v>
      </c>
      <c r="L29" s="92">
        <v>0.14530000000000001</v>
      </c>
      <c r="M29" s="92">
        <v>0.14530000000000001</v>
      </c>
      <c r="N29" s="171" t="s">
        <v>332</v>
      </c>
      <c r="O29" s="106">
        <v>6063986673.3999996</v>
      </c>
      <c r="P29" s="90">
        <f t="shared" ref="P29:P36" si="18">(O29/$O$76)</f>
        <v>1.0597667116844058E-3</v>
      </c>
      <c r="Q29" s="171" t="s">
        <v>332</v>
      </c>
      <c r="R29" s="97">
        <v>100</v>
      </c>
      <c r="S29" s="171" t="s">
        <v>332</v>
      </c>
      <c r="T29" s="97">
        <v>100</v>
      </c>
      <c r="U29" s="91">
        <v>928</v>
      </c>
      <c r="V29" s="92">
        <v>0.13569999999999999</v>
      </c>
      <c r="W29" s="92">
        <v>0.13569999999999999</v>
      </c>
      <c r="X29" s="187">
        <f>((O29-E29)/E29)</f>
        <v>-9.7913034412852439E-3</v>
      </c>
      <c r="Y29" s="187">
        <f>((T29-J29)/J29)</f>
        <v>0</v>
      </c>
      <c r="Z29" s="187">
        <f>((U29-K29)/K29)</f>
        <v>0</v>
      </c>
      <c r="AA29" s="187">
        <f>V29-L29</f>
        <v>-9.6000000000000252E-3</v>
      </c>
      <c r="AB29" s="188">
        <f>W29-M29</f>
        <v>-9.6000000000000252E-3</v>
      </c>
    </row>
    <row r="30" spans="1:33" ht="15.6">
      <c r="A30" s="195">
        <v>22</v>
      </c>
      <c r="B30" s="83" t="s">
        <v>55</v>
      </c>
      <c r="C30" s="84" t="s">
        <v>56</v>
      </c>
      <c r="D30" s="171" t="s">
        <v>332</v>
      </c>
      <c r="E30" s="106">
        <v>41058071000.860001</v>
      </c>
      <c r="F30" s="90">
        <f t="shared" si="17"/>
        <v>7.1754737000913719E-3</v>
      </c>
      <c r="G30" s="171" t="s">
        <v>332</v>
      </c>
      <c r="H30" s="97">
        <v>100</v>
      </c>
      <c r="I30" s="171" t="s">
        <v>332</v>
      </c>
      <c r="J30" s="97">
        <v>100</v>
      </c>
      <c r="K30" s="91">
        <v>4793</v>
      </c>
      <c r="L30" s="92">
        <v>0.167129</v>
      </c>
      <c r="M30" s="92">
        <v>0.167129</v>
      </c>
      <c r="N30" s="171" t="s">
        <v>332</v>
      </c>
      <c r="O30" s="106">
        <v>40695677325.779999</v>
      </c>
      <c r="P30" s="90">
        <f t="shared" si="18"/>
        <v>7.112140323212523E-3</v>
      </c>
      <c r="Q30" s="171" t="s">
        <v>332</v>
      </c>
      <c r="R30" s="97">
        <v>100</v>
      </c>
      <c r="S30" s="171" t="s">
        <v>332</v>
      </c>
      <c r="T30" s="97">
        <v>100</v>
      </c>
      <c r="U30" s="91">
        <v>4863</v>
      </c>
      <c r="V30" s="92">
        <v>0.17488999999999999</v>
      </c>
      <c r="W30" s="92">
        <v>0.17488999999999999</v>
      </c>
      <c r="X30" s="187">
        <f t="shared" ref="X30:X76" si="19">((O30-E30)/E30)</f>
        <v>-8.8263687563989827E-3</v>
      </c>
      <c r="Y30" s="187">
        <f t="shared" ref="Y30:Y76" si="20">((T30-J30)/J30)</f>
        <v>0</v>
      </c>
      <c r="Z30" s="187">
        <f t="shared" ref="Z30:Z76" si="21">((U30-K30)/K30)</f>
        <v>1.4604631754642187E-2</v>
      </c>
      <c r="AA30" s="185">
        <f t="shared" ref="AA30:AA76" si="22">V30-L30</f>
        <v>7.7609999999999901E-3</v>
      </c>
      <c r="AB30" s="186">
        <f t="shared" ref="AB30:AB76" si="23">W30-M30</f>
        <v>7.7609999999999901E-3</v>
      </c>
      <c r="AD30" s="169"/>
    </row>
    <row r="31" spans="1:33">
      <c r="A31" s="195">
        <v>23</v>
      </c>
      <c r="B31" s="83" t="s">
        <v>312</v>
      </c>
      <c r="C31" s="84" t="s">
        <v>311</v>
      </c>
      <c r="D31" s="171" t="s">
        <v>332</v>
      </c>
      <c r="E31" s="106">
        <v>1847097254.8</v>
      </c>
      <c r="F31" s="90">
        <f t="shared" si="17"/>
        <v>3.2280614871192458E-4</v>
      </c>
      <c r="G31" s="171" t="s">
        <v>332</v>
      </c>
      <c r="H31" s="97">
        <v>1</v>
      </c>
      <c r="I31" s="171" t="s">
        <v>332</v>
      </c>
      <c r="J31" s="97">
        <v>1</v>
      </c>
      <c r="K31" s="91">
        <v>166</v>
      </c>
      <c r="L31" s="92">
        <v>0.1726</v>
      </c>
      <c r="M31" s="92">
        <v>0.1726</v>
      </c>
      <c r="N31" s="171" t="s">
        <v>332</v>
      </c>
      <c r="O31" s="106">
        <v>1901440026.8900001</v>
      </c>
      <c r="P31" s="90">
        <f t="shared" si="18"/>
        <v>3.323033102301481E-4</v>
      </c>
      <c r="Q31" s="171" t="s">
        <v>332</v>
      </c>
      <c r="R31" s="97">
        <v>1</v>
      </c>
      <c r="S31" s="171" t="s">
        <v>332</v>
      </c>
      <c r="T31" s="97">
        <v>1</v>
      </c>
      <c r="U31" s="91">
        <v>179</v>
      </c>
      <c r="V31" s="92">
        <v>0.1709</v>
      </c>
      <c r="W31" s="92">
        <v>0.1709</v>
      </c>
      <c r="X31" s="187">
        <f t="shared" ref="X31" si="24">((O31-E31)/E31)</f>
        <v>2.9420633888541121E-2</v>
      </c>
      <c r="Y31" s="187">
        <f t="shared" ref="Y31" si="25">((T31-J31)/J31)</f>
        <v>0</v>
      </c>
      <c r="Z31" s="187">
        <f t="shared" ref="Z31" si="26">((U31-K31)/K31)</f>
        <v>7.8313253012048195E-2</v>
      </c>
      <c r="AA31" s="185">
        <f t="shared" ref="AA31" si="27">V31-L31</f>
        <v>-1.7000000000000071E-3</v>
      </c>
      <c r="AB31" s="186">
        <f t="shared" ref="AB31" si="28">W31-M31</f>
        <v>-1.7000000000000071E-3</v>
      </c>
    </row>
    <row r="32" spans="1:33">
      <c r="A32" s="195">
        <v>24</v>
      </c>
      <c r="B32" s="83" t="s">
        <v>57</v>
      </c>
      <c r="C32" s="84" t="s">
        <v>21</v>
      </c>
      <c r="D32" s="171" t="s">
        <v>332</v>
      </c>
      <c r="E32" s="106">
        <v>3424965647.5500002</v>
      </c>
      <c r="F32" s="90">
        <f t="shared" si="17"/>
        <v>5.9856077815240464E-4</v>
      </c>
      <c r="G32" s="171" t="s">
        <v>332</v>
      </c>
      <c r="H32" s="97">
        <v>100</v>
      </c>
      <c r="I32" s="171" t="s">
        <v>332</v>
      </c>
      <c r="J32" s="97">
        <v>100</v>
      </c>
      <c r="K32" s="91">
        <v>2525</v>
      </c>
      <c r="L32" s="92">
        <v>0.15870000000000001</v>
      </c>
      <c r="M32" s="92">
        <v>0.15870000000000001</v>
      </c>
      <c r="N32" s="171" t="s">
        <v>332</v>
      </c>
      <c r="O32" s="106">
        <v>3491046328.75</v>
      </c>
      <c r="P32" s="90">
        <f t="shared" si="18"/>
        <v>6.1010930389840932E-4</v>
      </c>
      <c r="Q32" s="171" t="s">
        <v>332</v>
      </c>
      <c r="R32" s="97">
        <v>100</v>
      </c>
      <c r="S32" s="171" t="s">
        <v>332</v>
      </c>
      <c r="T32" s="97">
        <v>100</v>
      </c>
      <c r="U32" s="91">
        <v>2545</v>
      </c>
      <c r="V32" s="92">
        <v>0.16109999999999999</v>
      </c>
      <c r="W32" s="92">
        <v>0.16109999999999999</v>
      </c>
      <c r="X32" s="187">
        <f t="shared" si="19"/>
        <v>1.9293823062800548E-2</v>
      </c>
      <c r="Y32" s="187">
        <f t="shared" si="20"/>
        <v>0</v>
      </c>
      <c r="Z32" s="187">
        <f t="shared" si="21"/>
        <v>7.9207920792079209E-3</v>
      </c>
      <c r="AA32" s="185">
        <f t="shared" si="22"/>
        <v>2.3999999999999855E-3</v>
      </c>
      <c r="AB32" s="186">
        <f t="shared" si="23"/>
        <v>2.3999999999999855E-3</v>
      </c>
    </row>
    <row r="33" spans="1:28">
      <c r="A33" s="195">
        <v>25</v>
      </c>
      <c r="B33" s="83" t="s">
        <v>308</v>
      </c>
      <c r="C33" s="84" t="s">
        <v>309</v>
      </c>
      <c r="D33" s="171" t="s">
        <v>332</v>
      </c>
      <c r="E33" s="106">
        <v>954999276.64999998</v>
      </c>
      <c r="F33" s="90">
        <v>0</v>
      </c>
      <c r="G33" s="171" t="s">
        <v>332</v>
      </c>
      <c r="H33" s="97">
        <v>100</v>
      </c>
      <c r="I33" s="171" t="s">
        <v>332</v>
      </c>
      <c r="J33" s="97">
        <v>100</v>
      </c>
      <c r="K33" s="91">
        <v>136</v>
      </c>
      <c r="L33" s="92">
        <v>0.14338200000000001</v>
      </c>
      <c r="M33" s="92">
        <v>0.14338200000000001</v>
      </c>
      <c r="N33" s="171" t="s">
        <v>332</v>
      </c>
      <c r="O33" s="106">
        <v>970644309.34000003</v>
      </c>
      <c r="P33" s="90">
        <f t="shared" si="18"/>
        <v>1.696337052382865E-4</v>
      </c>
      <c r="Q33" s="171" t="s">
        <v>332</v>
      </c>
      <c r="R33" s="97">
        <v>100</v>
      </c>
      <c r="S33" s="171" t="s">
        <v>332</v>
      </c>
      <c r="T33" s="97">
        <v>100</v>
      </c>
      <c r="U33" s="91">
        <v>149</v>
      </c>
      <c r="V33" s="92">
        <v>0.146649</v>
      </c>
      <c r="W33" s="92">
        <v>0.146649</v>
      </c>
      <c r="X33" s="187">
        <f t="shared" ref="X33" si="29">((O33-E33)/E33)</f>
        <v>1.6382245591725034E-2</v>
      </c>
      <c r="Y33" s="187">
        <f t="shared" ref="Y33" si="30">((T33-J33)/J33)</f>
        <v>0</v>
      </c>
      <c r="Z33" s="187">
        <f t="shared" ref="Z33" si="31">((U33-K33)/K33)</f>
        <v>9.5588235294117641E-2</v>
      </c>
      <c r="AA33" s="185">
        <f t="shared" ref="AA33" si="32">V33-L33</f>
        <v>3.2669999999999921E-3</v>
      </c>
      <c r="AB33" s="186">
        <f t="shared" ref="AB33" si="33">W33-M33</f>
        <v>3.2669999999999921E-3</v>
      </c>
    </row>
    <row r="34" spans="1:28">
      <c r="A34" s="195">
        <v>26</v>
      </c>
      <c r="B34" s="83" t="s">
        <v>58</v>
      </c>
      <c r="C34" s="84" t="s">
        <v>23</v>
      </c>
      <c r="D34" s="171" t="s">
        <v>332</v>
      </c>
      <c r="E34" s="106">
        <v>405313077838.06</v>
      </c>
      <c r="F34" s="90">
        <f t="shared" si="17"/>
        <v>7.0834144406569155E-2</v>
      </c>
      <c r="G34" s="171" t="s">
        <v>332</v>
      </c>
      <c r="H34" s="97">
        <v>1</v>
      </c>
      <c r="I34" s="171" t="s">
        <v>332</v>
      </c>
      <c r="J34" s="97">
        <v>1</v>
      </c>
      <c r="K34" s="91">
        <v>84170</v>
      </c>
      <c r="L34" s="92">
        <v>0.1729</v>
      </c>
      <c r="M34" s="92">
        <v>0.1729</v>
      </c>
      <c r="N34" s="171" t="s">
        <v>332</v>
      </c>
      <c r="O34" s="106">
        <v>407314493321.71997</v>
      </c>
      <c r="P34" s="90">
        <f t="shared" si="18"/>
        <v>7.118391982991179E-2</v>
      </c>
      <c r="Q34" s="171" t="s">
        <v>332</v>
      </c>
      <c r="R34" s="97">
        <v>1</v>
      </c>
      <c r="S34" s="171" t="s">
        <v>332</v>
      </c>
      <c r="T34" s="97">
        <v>1</v>
      </c>
      <c r="U34" s="91">
        <v>84549</v>
      </c>
      <c r="V34" s="92">
        <v>0.1736</v>
      </c>
      <c r="W34" s="92">
        <v>0.1736</v>
      </c>
      <c r="X34" s="187">
        <f t="shared" si="19"/>
        <v>4.9379494348801263E-3</v>
      </c>
      <c r="Y34" s="187">
        <f t="shared" si="20"/>
        <v>0</v>
      </c>
      <c r="Z34" s="187">
        <f t="shared" si="21"/>
        <v>4.5027919686349057E-3</v>
      </c>
      <c r="AA34" s="185">
        <f t="shared" si="22"/>
        <v>7.0000000000000617E-4</v>
      </c>
      <c r="AB34" s="186">
        <f t="shared" si="23"/>
        <v>7.0000000000000617E-4</v>
      </c>
    </row>
    <row r="35" spans="1:28">
      <c r="A35" s="195">
        <v>27</v>
      </c>
      <c r="B35" s="83" t="s">
        <v>59</v>
      </c>
      <c r="C35" s="84" t="s">
        <v>60</v>
      </c>
      <c r="D35" s="171" t="s">
        <v>332</v>
      </c>
      <c r="E35" s="106">
        <v>2438582856.0900002</v>
      </c>
      <c r="F35" s="90">
        <f t="shared" si="17"/>
        <v>4.2617655244935856E-4</v>
      </c>
      <c r="G35" s="171" t="s">
        <v>332</v>
      </c>
      <c r="H35" s="97">
        <v>1</v>
      </c>
      <c r="I35" s="171" t="s">
        <v>332</v>
      </c>
      <c r="J35" s="97">
        <v>1</v>
      </c>
      <c r="K35" s="91">
        <v>597</v>
      </c>
      <c r="L35" s="92">
        <v>0.16900000000000001</v>
      </c>
      <c r="M35" s="92">
        <v>0.16900000000000001</v>
      </c>
      <c r="N35" s="171" t="s">
        <v>332</v>
      </c>
      <c r="O35" s="106">
        <v>2345607391.9200001</v>
      </c>
      <c r="P35" s="90">
        <f t="shared" si="18"/>
        <v>4.0992778621064144E-4</v>
      </c>
      <c r="Q35" s="171" t="s">
        <v>332</v>
      </c>
      <c r="R35" s="97">
        <v>1</v>
      </c>
      <c r="S35" s="171" t="s">
        <v>332</v>
      </c>
      <c r="T35" s="97">
        <v>1</v>
      </c>
      <c r="U35" s="91">
        <v>597</v>
      </c>
      <c r="V35" s="92">
        <v>0.16880000000000001</v>
      </c>
      <c r="W35" s="92">
        <v>0.16880000000000001</v>
      </c>
      <c r="X35" s="187">
        <f t="shared" si="19"/>
        <v>-3.8126842373966338E-2</v>
      </c>
      <c r="Y35" s="187">
        <f t="shared" si="20"/>
        <v>0</v>
      </c>
      <c r="Z35" s="187">
        <f t="shared" si="21"/>
        <v>0</v>
      </c>
      <c r="AA35" s="185">
        <f t="shared" si="22"/>
        <v>-2.0000000000000573E-4</v>
      </c>
      <c r="AB35" s="186">
        <f t="shared" si="23"/>
        <v>-2.0000000000000573E-4</v>
      </c>
    </row>
    <row r="36" spans="1:28">
      <c r="A36" s="195">
        <v>28</v>
      </c>
      <c r="B36" s="83" t="s">
        <v>61</v>
      </c>
      <c r="C36" s="84" t="s">
        <v>25</v>
      </c>
      <c r="D36" s="171" t="s">
        <v>332</v>
      </c>
      <c r="E36" s="106">
        <v>174130759775.42001</v>
      </c>
      <c r="F36" s="90">
        <f t="shared" si="17"/>
        <v>3.0431792256369852E-2</v>
      </c>
      <c r="G36" s="171" t="s">
        <v>332</v>
      </c>
      <c r="H36" s="97">
        <v>1</v>
      </c>
      <c r="I36" s="171" t="s">
        <v>332</v>
      </c>
      <c r="J36" s="97">
        <v>1</v>
      </c>
      <c r="K36" s="91">
        <v>40078</v>
      </c>
      <c r="L36" s="92">
        <v>0.15570000000000001</v>
      </c>
      <c r="M36" s="92">
        <v>0.15570000000000001</v>
      </c>
      <c r="N36" s="171" t="s">
        <v>332</v>
      </c>
      <c r="O36" s="106">
        <v>175975960859.74832</v>
      </c>
      <c r="P36" s="90">
        <f t="shared" si="18"/>
        <v>3.0754267022700215E-2</v>
      </c>
      <c r="Q36" s="171" t="s">
        <v>332</v>
      </c>
      <c r="R36" s="97">
        <v>1</v>
      </c>
      <c r="S36" s="171" t="s">
        <v>332</v>
      </c>
      <c r="T36" s="97">
        <v>1</v>
      </c>
      <c r="U36" s="91">
        <v>40157</v>
      </c>
      <c r="V36" s="92">
        <v>0.15129999999999999</v>
      </c>
      <c r="W36" s="92">
        <v>0.15129999999999999</v>
      </c>
      <c r="X36" s="187">
        <f t="shared" si="19"/>
        <v>1.0596640632063522E-2</v>
      </c>
      <c r="Y36" s="187">
        <f t="shared" si="20"/>
        <v>0</v>
      </c>
      <c r="Z36" s="187">
        <f t="shared" si="21"/>
        <v>1.9711562453216228E-3</v>
      </c>
      <c r="AA36" s="185">
        <f t="shared" si="22"/>
        <v>-4.400000000000015E-3</v>
      </c>
      <c r="AB36" s="186">
        <f t="shared" si="23"/>
        <v>-4.400000000000015E-3</v>
      </c>
    </row>
    <row r="37" spans="1:28">
      <c r="A37" s="195">
        <v>29</v>
      </c>
      <c r="B37" s="83" t="s">
        <v>62</v>
      </c>
      <c r="C37" s="84" t="s">
        <v>27</v>
      </c>
      <c r="D37" s="171" t="s">
        <v>332</v>
      </c>
      <c r="E37" s="89">
        <v>27010533722.360001</v>
      </c>
      <c r="F37" s="90">
        <f t="shared" ref="F37" si="34">(E37/$E$26)</f>
        <v>0.11510668985299596</v>
      </c>
      <c r="G37" s="171" t="s">
        <v>332</v>
      </c>
      <c r="H37" s="89">
        <v>1</v>
      </c>
      <c r="I37" s="171" t="s">
        <v>332</v>
      </c>
      <c r="J37" s="89">
        <v>1</v>
      </c>
      <c r="K37" s="91">
        <v>1849</v>
      </c>
      <c r="L37" s="92">
        <v>0.18240000000000001</v>
      </c>
      <c r="M37" s="92">
        <v>0.18240000000000001</v>
      </c>
      <c r="N37" s="171" t="s">
        <v>332</v>
      </c>
      <c r="O37" s="89">
        <v>27325522737.360001</v>
      </c>
      <c r="P37" s="90">
        <f t="shared" ref="P37" si="35">(O37/$O$26)</f>
        <v>0.11089314443487047</v>
      </c>
      <c r="Q37" s="171" t="s">
        <v>332</v>
      </c>
      <c r="R37" s="89">
        <v>1</v>
      </c>
      <c r="S37" s="171" t="s">
        <v>332</v>
      </c>
      <c r="T37" s="89">
        <v>1</v>
      </c>
      <c r="U37" s="91">
        <v>1852</v>
      </c>
      <c r="V37" s="92">
        <v>0.18110000000000001</v>
      </c>
      <c r="W37" s="92">
        <v>0.18110000000000001</v>
      </c>
      <c r="X37" s="187">
        <f t="shared" si="19"/>
        <v>1.1661710140116341E-2</v>
      </c>
      <c r="Y37" s="187">
        <f t="shared" si="20"/>
        <v>0</v>
      </c>
      <c r="Z37" s="187">
        <f t="shared" si="21"/>
        <v>1.6224986479177934E-3</v>
      </c>
      <c r="AA37" s="185">
        <f t="shared" si="22"/>
        <v>-1.2999999999999956E-3</v>
      </c>
      <c r="AB37" s="186">
        <f t="shared" si="23"/>
        <v>-1.2999999999999956E-3</v>
      </c>
    </row>
    <row r="38" spans="1:28" ht="15" customHeight="1">
      <c r="A38" s="195">
        <v>30</v>
      </c>
      <c r="B38" s="83" t="s">
        <v>63</v>
      </c>
      <c r="C38" s="84" t="s">
        <v>44</v>
      </c>
      <c r="D38" s="171" t="s">
        <v>332</v>
      </c>
      <c r="E38" s="106">
        <v>39937387840.75</v>
      </c>
      <c r="F38" s="90">
        <f>(E38/$O$76)</f>
        <v>6.9796186015570021E-3</v>
      </c>
      <c r="G38" s="171" t="s">
        <v>332</v>
      </c>
      <c r="H38" s="97">
        <v>100</v>
      </c>
      <c r="I38" s="171" t="s">
        <v>332</v>
      </c>
      <c r="J38" s="97">
        <v>100</v>
      </c>
      <c r="K38" s="91">
        <v>15188</v>
      </c>
      <c r="L38" s="92">
        <v>0.1767</v>
      </c>
      <c r="M38" s="92">
        <v>0.1767</v>
      </c>
      <c r="N38" s="171" t="s">
        <v>332</v>
      </c>
      <c r="O38" s="106">
        <v>39373832937.410004</v>
      </c>
      <c r="P38" s="90">
        <f t="shared" ref="P38:P52" si="36">(O38/$O$76)</f>
        <v>6.8811294789825643E-3</v>
      </c>
      <c r="Q38" s="171" t="s">
        <v>332</v>
      </c>
      <c r="R38" s="97">
        <v>100</v>
      </c>
      <c r="S38" s="171" t="s">
        <v>332</v>
      </c>
      <c r="T38" s="97">
        <v>100</v>
      </c>
      <c r="U38" s="91">
        <v>15508</v>
      </c>
      <c r="V38" s="92">
        <v>0.18060000000000001</v>
      </c>
      <c r="W38" s="92">
        <v>0.18060000000000001</v>
      </c>
      <c r="X38" s="187">
        <f t="shared" si="19"/>
        <v>-1.4110960526190817E-2</v>
      </c>
      <c r="Y38" s="187">
        <f t="shared" si="20"/>
        <v>0</v>
      </c>
      <c r="Z38" s="187">
        <f t="shared" si="21"/>
        <v>2.1069265209375822E-2</v>
      </c>
      <c r="AA38" s="185">
        <f t="shared" si="22"/>
        <v>3.9000000000000146E-3</v>
      </c>
      <c r="AB38" s="186">
        <f t="shared" si="23"/>
        <v>3.9000000000000146E-3</v>
      </c>
    </row>
    <row r="39" spans="1:28" ht="15" customHeight="1">
      <c r="A39" s="195">
        <v>31</v>
      </c>
      <c r="B39" s="83" t="s">
        <v>64</v>
      </c>
      <c r="C39" s="84" t="s">
        <v>65</v>
      </c>
      <c r="D39" s="171" t="s">
        <v>332</v>
      </c>
      <c r="E39" s="106">
        <v>3831535285.4200001</v>
      </c>
      <c r="F39" s="90">
        <f>(E39/$O$76)</f>
        <v>6.6961452404637879E-4</v>
      </c>
      <c r="G39" s="171" t="s">
        <v>332</v>
      </c>
      <c r="H39" s="97">
        <v>1</v>
      </c>
      <c r="I39" s="171" t="s">
        <v>332</v>
      </c>
      <c r="J39" s="97">
        <v>1</v>
      </c>
      <c r="K39" s="91">
        <v>733</v>
      </c>
      <c r="L39" s="92">
        <v>0.15329999999999999</v>
      </c>
      <c r="M39" s="92">
        <v>0.15329999999999999</v>
      </c>
      <c r="N39" s="171" t="s">
        <v>332</v>
      </c>
      <c r="O39" s="106">
        <v>3521479520.5500002</v>
      </c>
      <c r="P39" s="90">
        <f t="shared" si="36"/>
        <v>6.1542793095631875E-4</v>
      </c>
      <c r="Q39" s="171" t="s">
        <v>332</v>
      </c>
      <c r="R39" s="97">
        <v>1</v>
      </c>
      <c r="S39" s="171" t="s">
        <v>332</v>
      </c>
      <c r="T39" s="97">
        <v>1</v>
      </c>
      <c r="U39" s="91">
        <v>742</v>
      </c>
      <c r="V39" s="92">
        <v>0.15329999999999999</v>
      </c>
      <c r="W39" s="92">
        <v>0.15329999999999999</v>
      </c>
      <c r="X39" s="187">
        <f t="shared" si="19"/>
        <v>-8.0922069555210321E-2</v>
      </c>
      <c r="Y39" s="187">
        <f t="shared" si="20"/>
        <v>0</v>
      </c>
      <c r="Z39" s="187">
        <f t="shared" si="21"/>
        <v>1.227830832196453E-2</v>
      </c>
      <c r="AA39" s="185">
        <f t="shared" si="22"/>
        <v>0</v>
      </c>
      <c r="AB39" s="186">
        <f t="shared" si="23"/>
        <v>0</v>
      </c>
    </row>
    <row r="40" spans="1:28">
      <c r="A40" s="195">
        <v>32</v>
      </c>
      <c r="B40" s="83" t="s">
        <v>66</v>
      </c>
      <c r="C40" s="84" t="s">
        <v>67</v>
      </c>
      <c r="D40" s="171" t="s">
        <v>332</v>
      </c>
      <c r="E40" s="106">
        <v>97973286407.020004</v>
      </c>
      <c r="F40" s="90">
        <f>(E40/$O$76)</f>
        <v>1.7122205763401951E-2</v>
      </c>
      <c r="G40" s="171" t="s">
        <v>332</v>
      </c>
      <c r="H40" s="97">
        <v>100</v>
      </c>
      <c r="I40" s="171" t="s">
        <v>332</v>
      </c>
      <c r="J40" s="97">
        <v>100</v>
      </c>
      <c r="K40" s="91">
        <v>6159</v>
      </c>
      <c r="L40" s="92">
        <v>0.16159999999999999</v>
      </c>
      <c r="M40" s="92">
        <v>0.16159999999999999</v>
      </c>
      <c r="N40" s="171" t="s">
        <v>332</v>
      </c>
      <c r="O40" s="106">
        <v>99181767222.710007</v>
      </c>
      <c r="P40" s="90">
        <f t="shared" si="36"/>
        <v>1.7333404733511065E-2</v>
      </c>
      <c r="Q40" s="171" t="s">
        <v>332</v>
      </c>
      <c r="R40" s="97">
        <v>100</v>
      </c>
      <c r="S40" s="171" t="s">
        <v>332</v>
      </c>
      <c r="T40" s="97">
        <v>100</v>
      </c>
      <c r="U40" s="91">
        <v>6193</v>
      </c>
      <c r="V40" s="92">
        <v>0.16118455317456401</v>
      </c>
      <c r="W40" s="92">
        <v>0.16118455317456401</v>
      </c>
      <c r="X40" s="187">
        <f t="shared" si="19"/>
        <v>1.2334799209138422E-2</v>
      </c>
      <c r="Y40" s="187">
        <f t="shared" si="20"/>
        <v>0</v>
      </c>
      <c r="Z40" s="187">
        <f t="shared" si="21"/>
        <v>5.5203766845267092E-3</v>
      </c>
      <c r="AA40" s="185">
        <f t="shared" si="22"/>
        <v>-4.1544682543598332E-4</v>
      </c>
      <c r="AB40" s="186">
        <f t="shared" si="23"/>
        <v>-4.1544682543598332E-4</v>
      </c>
    </row>
    <row r="41" spans="1:28">
      <c r="A41" s="195">
        <v>33</v>
      </c>
      <c r="B41" s="83" t="s">
        <v>68</v>
      </c>
      <c r="C41" s="84" t="s">
        <v>69</v>
      </c>
      <c r="D41" s="171" t="s">
        <v>332</v>
      </c>
      <c r="E41" s="106">
        <v>42775880210.660004</v>
      </c>
      <c r="F41" s="90">
        <f>(E41/$O$76)</f>
        <v>7.4756849498219423E-3</v>
      </c>
      <c r="G41" s="171" t="s">
        <v>332</v>
      </c>
      <c r="H41" s="97">
        <v>100</v>
      </c>
      <c r="I41" s="171" t="s">
        <v>332</v>
      </c>
      <c r="J41" s="97">
        <v>100</v>
      </c>
      <c r="K41" s="91">
        <v>5885</v>
      </c>
      <c r="L41" s="92">
        <v>0.16089999999999999</v>
      </c>
      <c r="M41" s="92">
        <v>0.16089999999999999</v>
      </c>
      <c r="N41" s="171" t="s">
        <v>332</v>
      </c>
      <c r="O41" s="106">
        <v>43003294077.730003</v>
      </c>
      <c r="P41" s="90">
        <f>(O41/$O$76)</f>
        <v>7.5154287123129441E-3</v>
      </c>
      <c r="Q41" s="171" t="s">
        <v>332</v>
      </c>
      <c r="R41" s="97">
        <v>100</v>
      </c>
      <c r="S41" s="171" t="s">
        <v>332</v>
      </c>
      <c r="T41" s="97">
        <v>100</v>
      </c>
      <c r="U41" s="91">
        <v>5898</v>
      </c>
      <c r="V41" s="92">
        <v>0.15989999999999999</v>
      </c>
      <c r="W41" s="92">
        <v>0.15989999999999999</v>
      </c>
      <c r="X41" s="187">
        <f t="shared" si="19"/>
        <v>5.3164041499566108E-3</v>
      </c>
      <c r="Y41" s="187">
        <f t="shared" si="20"/>
        <v>0</v>
      </c>
      <c r="Z41" s="187">
        <f t="shared" si="21"/>
        <v>2.2090059473237043E-3</v>
      </c>
      <c r="AA41" s="185">
        <f t="shared" si="22"/>
        <v>-1.0000000000000009E-3</v>
      </c>
      <c r="AB41" s="186">
        <f t="shared" si="23"/>
        <v>-1.0000000000000009E-3</v>
      </c>
    </row>
    <row r="42" spans="1:28">
      <c r="A42" s="195">
        <v>34</v>
      </c>
      <c r="B42" s="83" t="s">
        <v>70</v>
      </c>
      <c r="C42" s="84" t="s">
        <v>71</v>
      </c>
      <c r="D42" s="171" t="s">
        <v>332</v>
      </c>
      <c r="E42" s="106">
        <v>67571133487.860001</v>
      </c>
      <c r="F42" s="90">
        <f>(E42/$O$76)</f>
        <v>1.1809003185204368E-2</v>
      </c>
      <c r="G42" s="171" t="s">
        <v>332</v>
      </c>
      <c r="H42" s="97">
        <v>1</v>
      </c>
      <c r="I42" s="171" t="s">
        <v>332</v>
      </c>
      <c r="J42" s="97">
        <v>1</v>
      </c>
      <c r="K42" s="91">
        <v>17018</v>
      </c>
      <c r="L42" s="92">
        <v>0.19969999999999999</v>
      </c>
      <c r="M42" s="92">
        <v>0.19969999999999999</v>
      </c>
      <c r="N42" s="171" t="s">
        <v>332</v>
      </c>
      <c r="O42" s="106">
        <v>70207811897.179993</v>
      </c>
      <c r="P42" s="90">
        <f t="shared" si="36"/>
        <v>1.2269799713645221E-2</v>
      </c>
      <c r="Q42" s="171" t="s">
        <v>332</v>
      </c>
      <c r="R42" s="97">
        <v>1</v>
      </c>
      <c r="S42" s="171" t="s">
        <v>332</v>
      </c>
      <c r="T42" s="97">
        <v>1</v>
      </c>
      <c r="U42" s="91">
        <v>17018</v>
      </c>
      <c r="V42" s="92">
        <v>0.19904673403028506</v>
      </c>
      <c r="W42" s="92">
        <v>0.19904673403028506</v>
      </c>
      <c r="X42" s="187">
        <f t="shared" si="19"/>
        <v>3.9020781112007012E-2</v>
      </c>
      <c r="Y42" s="187">
        <f t="shared" si="20"/>
        <v>0</v>
      </c>
      <c r="Z42" s="187">
        <f t="shared" si="21"/>
        <v>0</v>
      </c>
      <c r="AA42" s="185">
        <f t="shared" si="22"/>
        <v>-6.5326596971493345E-4</v>
      </c>
      <c r="AB42" s="186">
        <f t="shared" si="23"/>
        <v>-6.5326596971493345E-4</v>
      </c>
    </row>
    <row r="43" spans="1:28">
      <c r="A43" s="195">
        <v>35</v>
      </c>
      <c r="B43" s="83" t="s">
        <v>72</v>
      </c>
      <c r="C43" s="84" t="s">
        <v>73</v>
      </c>
      <c r="D43" s="171" t="s">
        <v>332</v>
      </c>
      <c r="E43" s="106">
        <v>1566333028.02</v>
      </c>
      <c r="F43" s="90">
        <v>0</v>
      </c>
      <c r="G43" s="171" t="s">
        <v>332</v>
      </c>
      <c r="H43" s="97">
        <v>1000</v>
      </c>
      <c r="I43" s="171" t="s">
        <v>332</v>
      </c>
      <c r="J43" s="97">
        <v>1000</v>
      </c>
      <c r="K43" s="91">
        <v>122</v>
      </c>
      <c r="L43" s="92">
        <v>0.19489999999999999</v>
      </c>
      <c r="M43" s="92">
        <v>0.19489999999999999</v>
      </c>
      <c r="N43" s="171" t="s">
        <v>332</v>
      </c>
      <c r="O43" s="106">
        <v>1628773446.8499999</v>
      </c>
      <c r="P43" s="90">
        <f t="shared" si="36"/>
        <v>2.8465100152987087E-4</v>
      </c>
      <c r="Q43" s="171" t="s">
        <v>332</v>
      </c>
      <c r="R43" s="97">
        <v>1000</v>
      </c>
      <c r="S43" s="171" t="s">
        <v>332</v>
      </c>
      <c r="T43" s="97">
        <v>1000</v>
      </c>
      <c r="U43" s="91">
        <v>133</v>
      </c>
      <c r="V43" s="92">
        <v>0.20108554000000001</v>
      </c>
      <c r="W43" s="92">
        <v>0.20108554000000001</v>
      </c>
      <c r="X43" s="187">
        <f t="shared" si="19"/>
        <v>3.9864075974271447E-2</v>
      </c>
      <c r="Y43" s="187">
        <f t="shared" si="20"/>
        <v>0</v>
      </c>
      <c r="Z43" s="187">
        <f t="shared" si="21"/>
        <v>9.0163934426229511E-2</v>
      </c>
      <c r="AA43" s="185">
        <f t="shared" si="22"/>
        <v>6.1855400000000171E-3</v>
      </c>
      <c r="AB43" s="186">
        <f t="shared" si="23"/>
        <v>6.1855400000000171E-3</v>
      </c>
    </row>
    <row r="44" spans="1:28">
      <c r="A44" s="195">
        <v>36</v>
      </c>
      <c r="B44" s="83" t="s">
        <v>74</v>
      </c>
      <c r="C44" s="84" t="s">
        <v>75</v>
      </c>
      <c r="D44" s="171" t="s">
        <v>332</v>
      </c>
      <c r="E44" s="106">
        <v>86949629604.779999</v>
      </c>
      <c r="F44" s="90">
        <f t="shared" ref="F44:F52" si="37">(E44/$O$76)</f>
        <v>1.5195667142976998E-2</v>
      </c>
      <c r="G44" s="171" t="s">
        <v>332</v>
      </c>
      <c r="H44" s="107">
        <v>100</v>
      </c>
      <c r="I44" s="171" t="s">
        <v>332</v>
      </c>
      <c r="J44" s="107">
        <v>100</v>
      </c>
      <c r="K44" s="91">
        <v>4953</v>
      </c>
      <c r="L44" s="92">
        <v>0.15379999999999999</v>
      </c>
      <c r="M44" s="92">
        <v>0.15379999999999999</v>
      </c>
      <c r="N44" s="171" t="s">
        <v>332</v>
      </c>
      <c r="O44" s="106">
        <v>87519804694.550003</v>
      </c>
      <c r="P44" s="90">
        <f t="shared" si="36"/>
        <v>1.5295313235970656E-2</v>
      </c>
      <c r="Q44" s="171" t="s">
        <v>332</v>
      </c>
      <c r="R44" s="107">
        <v>100</v>
      </c>
      <c r="S44" s="171" t="s">
        <v>332</v>
      </c>
      <c r="T44" s="107">
        <v>100</v>
      </c>
      <c r="U44" s="91">
        <v>4953</v>
      </c>
      <c r="V44" s="92">
        <v>0.15379999999999999</v>
      </c>
      <c r="W44" s="92">
        <v>0.15379999999999999</v>
      </c>
      <c r="X44" s="187">
        <f t="shared" si="19"/>
        <v>6.5575332794592985E-3</v>
      </c>
      <c r="Y44" s="187">
        <f t="shared" si="20"/>
        <v>0</v>
      </c>
      <c r="Z44" s="187">
        <f t="shared" si="21"/>
        <v>0</v>
      </c>
      <c r="AA44" s="185">
        <f t="shared" si="22"/>
        <v>0</v>
      </c>
      <c r="AB44" s="186">
        <f t="shared" si="23"/>
        <v>0</v>
      </c>
    </row>
    <row r="45" spans="1:28">
      <c r="A45" s="195">
        <v>37</v>
      </c>
      <c r="B45" s="83" t="s">
        <v>76</v>
      </c>
      <c r="C45" s="84" t="s">
        <v>75</v>
      </c>
      <c r="D45" s="171" t="s">
        <v>332</v>
      </c>
      <c r="E45" s="106">
        <v>10066368829.66</v>
      </c>
      <c r="F45" s="90">
        <f t="shared" si="37"/>
        <v>1.759239122342887E-3</v>
      </c>
      <c r="G45" s="171" t="s">
        <v>332</v>
      </c>
      <c r="H45" s="107">
        <v>1000000</v>
      </c>
      <c r="I45" s="171" t="s">
        <v>332</v>
      </c>
      <c r="J45" s="107">
        <v>1000000</v>
      </c>
      <c r="K45" s="91">
        <v>50</v>
      </c>
      <c r="L45" s="92">
        <v>0.152</v>
      </c>
      <c r="M45" s="92">
        <v>0.152</v>
      </c>
      <c r="N45" s="171" t="s">
        <v>332</v>
      </c>
      <c r="O45" s="106">
        <v>10126745159.32</v>
      </c>
      <c r="P45" s="90">
        <f t="shared" si="36"/>
        <v>1.7697907326602422E-3</v>
      </c>
      <c r="Q45" s="171" t="s">
        <v>332</v>
      </c>
      <c r="R45" s="107">
        <v>1000000</v>
      </c>
      <c r="S45" s="171" t="s">
        <v>332</v>
      </c>
      <c r="T45" s="107">
        <v>1000000</v>
      </c>
      <c r="U45" s="91">
        <v>50</v>
      </c>
      <c r="V45" s="92">
        <v>0.15459999999999999</v>
      </c>
      <c r="W45" s="92">
        <v>0.15459999999999999</v>
      </c>
      <c r="X45" s="187">
        <f t="shared" si="19"/>
        <v>5.9978260961494204E-3</v>
      </c>
      <c r="Y45" s="187">
        <f t="shared" si="20"/>
        <v>0</v>
      </c>
      <c r="Z45" s="187">
        <f t="shared" si="21"/>
        <v>0</v>
      </c>
      <c r="AA45" s="185">
        <f t="shared" si="22"/>
        <v>2.5999999999999912E-3</v>
      </c>
      <c r="AB45" s="186">
        <f t="shared" si="23"/>
        <v>2.5999999999999912E-3</v>
      </c>
    </row>
    <row r="46" spans="1:28">
      <c r="A46" s="195">
        <v>38</v>
      </c>
      <c r="B46" s="83" t="s">
        <v>77</v>
      </c>
      <c r="C46" s="84" t="s">
        <v>78</v>
      </c>
      <c r="D46" s="171" t="s">
        <v>332</v>
      </c>
      <c r="E46" s="106">
        <v>7988734305.1000004</v>
      </c>
      <c r="F46" s="90">
        <f t="shared" si="37"/>
        <v>1.3961433527177175E-3</v>
      </c>
      <c r="G46" s="171" t="s">
        <v>332</v>
      </c>
      <c r="H46" s="97">
        <v>1</v>
      </c>
      <c r="I46" s="171" t="s">
        <v>332</v>
      </c>
      <c r="J46" s="97">
        <v>1</v>
      </c>
      <c r="K46" s="91">
        <v>1237</v>
      </c>
      <c r="L46" s="92">
        <v>0.189</v>
      </c>
      <c r="M46" s="92">
        <v>0.189</v>
      </c>
      <c r="N46" s="171" t="s">
        <v>332</v>
      </c>
      <c r="O46" s="106">
        <v>7988734305.1000004</v>
      </c>
      <c r="P46" s="90">
        <f t="shared" si="36"/>
        <v>1.3961433527177175E-3</v>
      </c>
      <c r="Q46" s="171" t="s">
        <v>332</v>
      </c>
      <c r="R46" s="97">
        <v>1</v>
      </c>
      <c r="S46" s="171" t="s">
        <v>332</v>
      </c>
      <c r="T46" s="97">
        <v>1</v>
      </c>
      <c r="U46" s="91">
        <v>1243</v>
      </c>
      <c r="V46" s="92">
        <v>0.16289999999999999</v>
      </c>
      <c r="W46" s="92">
        <v>0.16289999999999999</v>
      </c>
      <c r="X46" s="187">
        <f t="shared" si="19"/>
        <v>0</v>
      </c>
      <c r="Y46" s="187">
        <f t="shared" si="20"/>
        <v>0</v>
      </c>
      <c r="Z46" s="187">
        <f t="shared" si="21"/>
        <v>4.850444624090542E-3</v>
      </c>
      <c r="AA46" s="185">
        <f t="shared" si="22"/>
        <v>-2.6100000000000012E-2</v>
      </c>
      <c r="AB46" s="186">
        <f t="shared" si="23"/>
        <v>-2.6100000000000012E-2</v>
      </c>
    </row>
    <row r="47" spans="1:28">
      <c r="A47" s="195">
        <v>39</v>
      </c>
      <c r="B47" s="83" t="s">
        <v>323</v>
      </c>
      <c r="C47" s="84" t="s">
        <v>79</v>
      </c>
      <c r="D47" s="171" t="s">
        <v>332</v>
      </c>
      <c r="E47" s="106">
        <v>726322304723.33997</v>
      </c>
      <c r="F47" s="90">
        <f t="shared" si="37"/>
        <v>0.12693500859363102</v>
      </c>
      <c r="G47" s="171" t="s">
        <v>332</v>
      </c>
      <c r="H47" s="97">
        <v>100</v>
      </c>
      <c r="I47" s="171" t="s">
        <v>332</v>
      </c>
      <c r="J47" s="97">
        <v>100</v>
      </c>
      <c r="K47" s="91">
        <v>41231</v>
      </c>
      <c r="L47" s="92">
        <v>0.15770000000000001</v>
      </c>
      <c r="M47" s="92">
        <v>0.15770000000000001</v>
      </c>
      <c r="N47" s="171" t="s">
        <v>332</v>
      </c>
      <c r="O47" s="106">
        <v>724168933295.72998</v>
      </c>
      <c r="P47" s="90">
        <f t="shared" si="36"/>
        <v>0.12655867673807406</v>
      </c>
      <c r="Q47" s="171" t="s">
        <v>332</v>
      </c>
      <c r="R47" s="97">
        <v>100</v>
      </c>
      <c r="S47" s="171" t="s">
        <v>332</v>
      </c>
      <c r="T47" s="97">
        <v>100</v>
      </c>
      <c r="U47" s="91">
        <v>41379</v>
      </c>
      <c r="V47" s="92">
        <v>0.158</v>
      </c>
      <c r="W47" s="92">
        <v>0.158</v>
      </c>
      <c r="X47" s="187">
        <f t="shared" si="19"/>
        <v>-2.9647601534558629E-3</v>
      </c>
      <c r="Y47" s="187">
        <f t="shared" si="20"/>
        <v>0</v>
      </c>
      <c r="Z47" s="187">
        <f t="shared" si="21"/>
        <v>3.589532148140962E-3</v>
      </c>
      <c r="AA47" s="185">
        <f t="shared" si="22"/>
        <v>2.9999999999999472E-4</v>
      </c>
      <c r="AB47" s="186">
        <f t="shared" si="23"/>
        <v>2.9999999999999472E-4</v>
      </c>
    </row>
    <row r="48" spans="1:28">
      <c r="A48" s="195">
        <v>40</v>
      </c>
      <c r="B48" s="83" t="s">
        <v>80</v>
      </c>
      <c r="C48" s="84" t="s">
        <v>81</v>
      </c>
      <c r="D48" s="171" t="s">
        <v>332</v>
      </c>
      <c r="E48" s="108">
        <v>6228114699.21</v>
      </c>
      <c r="F48" s="90">
        <f t="shared" si="37"/>
        <v>1.0884503859033654E-3</v>
      </c>
      <c r="G48" s="171" t="s">
        <v>332</v>
      </c>
      <c r="H48" s="97">
        <v>1</v>
      </c>
      <c r="I48" s="171" t="s">
        <v>332</v>
      </c>
      <c r="J48" s="97">
        <v>1</v>
      </c>
      <c r="K48" s="109">
        <v>2303</v>
      </c>
      <c r="L48" s="110">
        <v>0.1779</v>
      </c>
      <c r="M48" s="110">
        <v>0.1779</v>
      </c>
      <c r="N48" s="171" t="s">
        <v>332</v>
      </c>
      <c r="O48" s="108">
        <v>6684052330.8999996</v>
      </c>
      <c r="P48" s="90">
        <f t="shared" si="36"/>
        <v>1.1681318810472803E-3</v>
      </c>
      <c r="Q48" s="171" t="s">
        <v>332</v>
      </c>
      <c r="R48" s="97">
        <v>1</v>
      </c>
      <c r="S48" s="171" t="s">
        <v>332</v>
      </c>
      <c r="T48" s="97">
        <v>1</v>
      </c>
      <c r="U48" s="109">
        <v>2334</v>
      </c>
      <c r="V48" s="110">
        <v>0.18</v>
      </c>
      <c r="W48" s="110">
        <v>0.18</v>
      </c>
      <c r="X48" s="187">
        <f t="shared" si="19"/>
        <v>7.3206363997733157E-2</v>
      </c>
      <c r="Y48" s="187">
        <f t="shared" si="20"/>
        <v>0</v>
      </c>
      <c r="Z48" s="187">
        <f t="shared" si="21"/>
        <v>1.3460703430308293E-2</v>
      </c>
      <c r="AA48" s="185">
        <f t="shared" si="22"/>
        <v>2.0999999999999908E-3</v>
      </c>
      <c r="AB48" s="186">
        <f t="shared" si="23"/>
        <v>2.0999999999999908E-3</v>
      </c>
    </row>
    <row r="49" spans="1:28">
      <c r="A49" s="195">
        <v>41</v>
      </c>
      <c r="B49" s="83" t="s">
        <v>82</v>
      </c>
      <c r="C49" s="84" t="s">
        <v>83</v>
      </c>
      <c r="D49" s="171" t="s">
        <v>332</v>
      </c>
      <c r="E49" s="106">
        <v>5151968063.6899996</v>
      </c>
      <c r="F49" s="90">
        <f t="shared" si="37"/>
        <v>9.0037866961513934E-4</v>
      </c>
      <c r="G49" s="171" t="s">
        <v>332</v>
      </c>
      <c r="H49" s="97">
        <v>1</v>
      </c>
      <c r="I49" s="171" t="s">
        <v>332</v>
      </c>
      <c r="J49" s="97">
        <v>1</v>
      </c>
      <c r="K49" s="109">
        <v>818</v>
      </c>
      <c r="L49" s="110">
        <v>0.16</v>
      </c>
      <c r="M49" s="110">
        <v>0.16</v>
      </c>
      <c r="N49" s="171" t="s">
        <v>332</v>
      </c>
      <c r="O49" s="106">
        <v>5371398041.25</v>
      </c>
      <c r="P49" s="90">
        <f>(O49/$O$76)</f>
        <v>9.3872713544930985E-4</v>
      </c>
      <c r="Q49" s="171" t="s">
        <v>332</v>
      </c>
      <c r="R49" s="97">
        <v>1</v>
      </c>
      <c r="S49" s="171" t="s">
        <v>332</v>
      </c>
      <c r="T49" s="97">
        <v>1</v>
      </c>
      <c r="U49" s="109">
        <v>840</v>
      </c>
      <c r="V49" s="110">
        <v>0.14859890000000001</v>
      </c>
      <c r="W49" s="110">
        <v>0.14859890000000001</v>
      </c>
      <c r="X49" s="187">
        <f t="shared" si="19"/>
        <v>4.2591486369354135E-2</v>
      </c>
      <c r="Y49" s="187">
        <f t="shared" si="20"/>
        <v>0</v>
      </c>
      <c r="Z49" s="187">
        <f t="shared" si="21"/>
        <v>2.6894865525672371E-2</v>
      </c>
      <c r="AA49" s="185">
        <f t="shared" si="22"/>
        <v>-1.1401099999999997E-2</v>
      </c>
      <c r="AB49" s="186">
        <f t="shared" si="23"/>
        <v>-1.1401099999999997E-2</v>
      </c>
    </row>
    <row r="50" spans="1:28">
      <c r="A50" s="195">
        <v>42</v>
      </c>
      <c r="B50" s="83" t="s">
        <v>84</v>
      </c>
      <c r="C50" s="84" t="s">
        <v>85</v>
      </c>
      <c r="D50" s="171" t="s">
        <v>332</v>
      </c>
      <c r="E50" s="106">
        <v>8196760.6200000001</v>
      </c>
      <c r="F50" s="90">
        <f t="shared" si="37"/>
        <v>1.43249886857867E-6</v>
      </c>
      <c r="G50" s="171" t="s">
        <v>332</v>
      </c>
      <c r="H50" s="97">
        <v>1</v>
      </c>
      <c r="I50" s="171" t="s">
        <v>332</v>
      </c>
      <c r="J50" s="97">
        <v>1</v>
      </c>
      <c r="K50" s="109">
        <v>24</v>
      </c>
      <c r="L50" s="110">
        <v>0.105</v>
      </c>
      <c r="M50" s="110">
        <v>0.105</v>
      </c>
      <c r="N50" s="171" t="s">
        <v>332</v>
      </c>
      <c r="O50" s="106">
        <v>11416260.02</v>
      </c>
      <c r="P50" s="90">
        <f t="shared" si="36"/>
        <v>1.9951515385415638E-6</v>
      </c>
      <c r="Q50" s="171" t="s">
        <v>332</v>
      </c>
      <c r="R50" s="97">
        <v>1</v>
      </c>
      <c r="S50" s="171" t="s">
        <v>332</v>
      </c>
      <c r="T50" s="97">
        <v>1</v>
      </c>
      <c r="U50" s="109">
        <v>26</v>
      </c>
      <c r="V50" s="110">
        <v>0.105</v>
      </c>
      <c r="W50" s="110">
        <v>0.105</v>
      </c>
      <c r="X50" s="187">
        <f t="shared" si="19"/>
        <v>0.39277704318270057</v>
      </c>
      <c r="Y50" s="187">
        <f t="shared" si="20"/>
        <v>0</v>
      </c>
      <c r="Z50" s="187">
        <f t="shared" si="21"/>
        <v>8.3333333333333329E-2</v>
      </c>
      <c r="AA50" s="185">
        <f t="shared" si="22"/>
        <v>0</v>
      </c>
      <c r="AB50" s="186">
        <f t="shared" si="23"/>
        <v>0</v>
      </c>
    </row>
    <row r="51" spans="1:28">
      <c r="A51" s="195">
        <v>43</v>
      </c>
      <c r="B51" s="83" t="s">
        <v>86</v>
      </c>
      <c r="C51" s="84" t="s">
        <v>87</v>
      </c>
      <c r="D51" s="171" t="s">
        <v>332</v>
      </c>
      <c r="E51" s="106">
        <v>2007029753.1600001</v>
      </c>
      <c r="F51" s="90">
        <f t="shared" si="37"/>
        <v>3.5075659567150168E-4</v>
      </c>
      <c r="G51" s="171" t="s">
        <v>332</v>
      </c>
      <c r="H51" s="97">
        <v>10</v>
      </c>
      <c r="I51" s="171" t="s">
        <v>332</v>
      </c>
      <c r="J51" s="97">
        <v>10</v>
      </c>
      <c r="K51" s="91">
        <v>568</v>
      </c>
      <c r="L51" s="92">
        <v>0.1638</v>
      </c>
      <c r="M51" s="92">
        <v>0.1638</v>
      </c>
      <c r="N51" s="171" t="s">
        <v>332</v>
      </c>
      <c r="O51" s="106">
        <v>2026717393.49</v>
      </c>
      <c r="P51" s="90">
        <f t="shared" si="36"/>
        <v>3.5419728691590558E-4</v>
      </c>
      <c r="Q51" s="171" t="s">
        <v>332</v>
      </c>
      <c r="R51" s="97">
        <v>10</v>
      </c>
      <c r="S51" s="171" t="s">
        <v>332</v>
      </c>
      <c r="T51" s="97">
        <v>10</v>
      </c>
      <c r="U51" s="91">
        <v>567</v>
      </c>
      <c r="V51" s="92">
        <v>0.16500000000000001</v>
      </c>
      <c r="W51" s="92">
        <v>0.16500000000000001</v>
      </c>
      <c r="X51" s="187">
        <f t="shared" si="19"/>
        <v>9.8093415401552479E-3</v>
      </c>
      <c r="Y51" s="187">
        <f t="shared" si="20"/>
        <v>0</v>
      </c>
      <c r="Z51" s="187">
        <f t="shared" si="21"/>
        <v>-1.7605633802816902E-3</v>
      </c>
      <c r="AA51" s="185">
        <f t="shared" si="22"/>
        <v>1.2000000000000066E-3</v>
      </c>
      <c r="AB51" s="186">
        <f t="shared" si="23"/>
        <v>1.2000000000000066E-3</v>
      </c>
    </row>
    <row r="52" spans="1:28">
      <c r="A52" s="195">
        <v>44</v>
      </c>
      <c r="B52" s="83" t="s">
        <v>88</v>
      </c>
      <c r="C52" s="84" t="s">
        <v>89</v>
      </c>
      <c r="D52" s="171" t="s">
        <v>332</v>
      </c>
      <c r="E52" s="106">
        <v>14176722885.870001</v>
      </c>
      <c r="F52" s="90">
        <f t="shared" si="37"/>
        <v>2.4775811367005753E-3</v>
      </c>
      <c r="G52" s="171" t="s">
        <v>332</v>
      </c>
      <c r="H52" s="97">
        <v>100</v>
      </c>
      <c r="I52" s="171" t="s">
        <v>332</v>
      </c>
      <c r="J52" s="97">
        <v>100</v>
      </c>
      <c r="K52" s="91">
        <v>1083</v>
      </c>
      <c r="L52" s="92">
        <v>0.1857</v>
      </c>
      <c r="M52" s="92">
        <v>0.1857</v>
      </c>
      <c r="N52" s="171" t="s">
        <v>332</v>
      </c>
      <c r="O52" s="106">
        <v>13941523199.01</v>
      </c>
      <c r="P52" s="90">
        <f t="shared" si="36"/>
        <v>2.4364766930140146E-3</v>
      </c>
      <c r="Q52" s="171" t="s">
        <v>332</v>
      </c>
      <c r="R52" s="97">
        <v>100</v>
      </c>
      <c r="S52" s="171" t="s">
        <v>332</v>
      </c>
      <c r="T52" s="97">
        <v>100</v>
      </c>
      <c r="U52" s="91">
        <v>1082</v>
      </c>
      <c r="V52" s="92">
        <v>0.187</v>
      </c>
      <c r="W52" s="92">
        <v>0.187</v>
      </c>
      <c r="X52" s="187">
        <f t="shared" si="19"/>
        <v>-1.659055401967581E-2</v>
      </c>
      <c r="Y52" s="187">
        <f t="shared" si="20"/>
        <v>0</v>
      </c>
      <c r="Z52" s="187">
        <f t="shared" si="21"/>
        <v>-9.2336103416435823E-4</v>
      </c>
      <c r="AA52" s="185">
        <f t="shared" si="22"/>
        <v>1.2999999999999956E-3</v>
      </c>
      <c r="AB52" s="186">
        <f t="shared" si="23"/>
        <v>1.2999999999999956E-3</v>
      </c>
    </row>
    <row r="53" spans="1:28">
      <c r="A53" s="195">
        <v>45</v>
      </c>
      <c r="B53" s="83" t="s">
        <v>90</v>
      </c>
      <c r="C53" s="83" t="s">
        <v>91</v>
      </c>
      <c r="D53" s="171" t="s">
        <v>332</v>
      </c>
      <c r="E53" s="111">
        <v>126827251.15000001</v>
      </c>
      <c r="F53" s="90">
        <v>0</v>
      </c>
      <c r="G53" s="171" t="s">
        <v>332</v>
      </c>
      <c r="H53" s="89">
        <v>1</v>
      </c>
      <c r="I53" s="171" t="s">
        <v>332</v>
      </c>
      <c r="J53" s="89">
        <v>1</v>
      </c>
      <c r="K53" s="91">
        <v>154</v>
      </c>
      <c r="L53" s="92">
        <v>0.17249999999999999</v>
      </c>
      <c r="M53" s="92">
        <v>0.17249999999999999</v>
      </c>
      <c r="N53" s="171" t="s">
        <v>332</v>
      </c>
      <c r="O53" s="111">
        <v>127732362.3</v>
      </c>
      <c r="P53" s="112">
        <f>(O53/$O$203)</f>
        <v>8.6541522998039803E-4</v>
      </c>
      <c r="Q53" s="171" t="s">
        <v>332</v>
      </c>
      <c r="R53" s="89">
        <v>1</v>
      </c>
      <c r="S53" s="171" t="s">
        <v>332</v>
      </c>
      <c r="T53" s="89">
        <v>1</v>
      </c>
      <c r="U53" s="91">
        <v>173</v>
      </c>
      <c r="V53" s="92">
        <v>0.14330000000000001</v>
      </c>
      <c r="W53" s="92">
        <v>0.14330000000000001</v>
      </c>
      <c r="X53" s="185">
        <f t="shared" si="19"/>
        <v>7.1365668008487072E-3</v>
      </c>
      <c r="Y53" s="185">
        <f t="shared" si="20"/>
        <v>0</v>
      </c>
      <c r="Z53" s="185">
        <f t="shared" si="21"/>
        <v>0.12337662337662338</v>
      </c>
      <c r="AA53" s="185">
        <f t="shared" si="22"/>
        <v>-2.9199999999999976E-2</v>
      </c>
      <c r="AB53" s="186">
        <f t="shared" si="23"/>
        <v>-2.9199999999999976E-2</v>
      </c>
    </row>
    <row r="54" spans="1:28">
      <c r="A54" s="195">
        <v>46</v>
      </c>
      <c r="B54" s="83" t="s">
        <v>92</v>
      </c>
      <c r="C54" s="84" t="s">
        <v>35</v>
      </c>
      <c r="D54" s="171" t="s">
        <v>332</v>
      </c>
      <c r="E54" s="106">
        <v>2488291242.96</v>
      </c>
      <c r="F54" s="90">
        <f t="shared" ref="F54:F75" si="38">(E54/$O$76)</f>
        <v>4.3486379015841164E-4</v>
      </c>
      <c r="G54" s="171" t="s">
        <v>332</v>
      </c>
      <c r="H54" s="97">
        <v>100</v>
      </c>
      <c r="I54" s="171" t="s">
        <v>332</v>
      </c>
      <c r="J54" s="97">
        <v>100</v>
      </c>
      <c r="K54" s="91">
        <v>9581</v>
      </c>
      <c r="L54" s="92">
        <v>0.15579999999999999</v>
      </c>
      <c r="M54" s="92">
        <v>0.15579999999999999</v>
      </c>
      <c r="N54" s="171" t="s">
        <v>332</v>
      </c>
      <c r="O54" s="106">
        <v>2488291242.96</v>
      </c>
      <c r="P54" s="90">
        <f t="shared" ref="P54:P67" si="39">(O54/$O$76)</f>
        <v>4.3486379015841164E-4</v>
      </c>
      <c r="Q54" s="171" t="s">
        <v>332</v>
      </c>
      <c r="R54" s="97">
        <v>100</v>
      </c>
      <c r="S54" s="171" t="s">
        <v>332</v>
      </c>
      <c r="T54" s="97">
        <v>100</v>
      </c>
      <c r="U54" s="91">
        <v>9711</v>
      </c>
      <c r="V54" s="92">
        <v>0.15476604999999999</v>
      </c>
      <c r="W54" s="92">
        <v>0.15476604999999999</v>
      </c>
      <c r="X54" s="187">
        <f t="shared" ref="X54" si="40">((O54-E54)/E54)</f>
        <v>0</v>
      </c>
      <c r="Y54" s="187">
        <f t="shared" ref="Y54" si="41">((T54-J54)/J54)</f>
        <v>0</v>
      </c>
      <c r="Z54" s="187">
        <f t="shared" ref="Z54" si="42">((U54-K54)/K54)</f>
        <v>1.3568521031207599E-2</v>
      </c>
      <c r="AA54" s="185">
        <f t="shared" ref="AA54" si="43">V54-L54</f>
        <v>-1.0339500000000057E-3</v>
      </c>
      <c r="AB54" s="186">
        <f t="shared" ref="AB54" si="44">W54-M54</f>
        <v>-1.0339500000000057E-3</v>
      </c>
    </row>
    <row r="55" spans="1:28">
      <c r="A55" s="195">
        <v>47</v>
      </c>
      <c r="B55" s="83" t="s">
        <v>93</v>
      </c>
      <c r="C55" s="84" t="s">
        <v>35</v>
      </c>
      <c r="D55" s="171" t="s">
        <v>332</v>
      </c>
      <c r="E55" s="106">
        <v>460119829061.03003</v>
      </c>
      <c r="F55" s="90">
        <f t="shared" si="38"/>
        <v>8.0412392785058115E-2</v>
      </c>
      <c r="G55" s="171" t="s">
        <v>332</v>
      </c>
      <c r="H55" s="97">
        <v>100</v>
      </c>
      <c r="I55" s="171" t="s">
        <v>332</v>
      </c>
      <c r="J55" s="97">
        <v>100</v>
      </c>
      <c r="K55" s="91">
        <v>42172</v>
      </c>
      <c r="L55" s="92">
        <v>0.17030000000000001</v>
      </c>
      <c r="M55" s="92">
        <v>0.17030000000000001</v>
      </c>
      <c r="N55" s="171" t="s">
        <v>332</v>
      </c>
      <c r="O55" s="106">
        <v>460119829061.03003</v>
      </c>
      <c r="P55" s="90">
        <f t="shared" si="39"/>
        <v>8.0412392785058115E-2</v>
      </c>
      <c r="Q55" s="171" t="s">
        <v>332</v>
      </c>
      <c r="R55" s="97">
        <v>100</v>
      </c>
      <c r="S55" s="171" t="s">
        <v>332</v>
      </c>
      <c r="T55" s="97">
        <v>100</v>
      </c>
      <c r="U55" s="91">
        <v>43221</v>
      </c>
      <c r="V55" s="92">
        <v>0.17328518000000001</v>
      </c>
      <c r="W55" s="92">
        <v>0.17328518000000001</v>
      </c>
      <c r="X55" s="187">
        <f t="shared" si="19"/>
        <v>0</v>
      </c>
      <c r="Y55" s="187">
        <f t="shared" si="20"/>
        <v>0</v>
      </c>
      <c r="Z55" s="187">
        <f t="shared" si="21"/>
        <v>2.4874324196149104E-2</v>
      </c>
      <c r="AA55" s="185">
        <f t="shared" si="22"/>
        <v>2.9851800000000039E-3</v>
      </c>
      <c r="AB55" s="186">
        <f t="shared" si="23"/>
        <v>2.9851800000000039E-3</v>
      </c>
    </row>
    <row r="56" spans="1:28">
      <c r="A56" s="195">
        <v>48</v>
      </c>
      <c r="B56" s="83" t="s">
        <v>319</v>
      </c>
      <c r="C56" s="84" t="s">
        <v>38</v>
      </c>
      <c r="D56" s="171" t="s">
        <v>332</v>
      </c>
      <c r="E56" s="106">
        <v>67125177509.919998</v>
      </c>
      <c r="F56" s="90">
        <f t="shared" si="38"/>
        <v>1.1731066124034592E-2</v>
      </c>
      <c r="G56" s="171" t="s">
        <v>332</v>
      </c>
      <c r="H56" s="97">
        <v>1</v>
      </c>
      <c r="I56" s="171" t="s">
        <v>332</v>
      </c>
      <c r="J56" s="97">
        <v>1</v>
      </c>
      <c r="K56" s="91">
        <v>3670</v>
      </c>
      <c r="L56" s="92">
        <v>0.1542</v>
      </c>
      <c r="M56" s="92">
        <v>0.1542</v>
      </c>
      <c r="N56" s="171" t="s">
        <v>332</v>
      </c>
      <c r="O56" s="106">
        <v>69457136577.309998</v>
      </c>
      <c r="P56" s="90">
        <f t="shared" si="39"/>
        <v>1.2138608674131406E-2</v>
      </c>
      <c r="Q56" s="171" t="s">
        <v>332</v>
      </c>
      <c r="R56" s="97">
        <v>1</v>
      </c>
      <c r="S56" s="171" t="s">
        <v>332</v>
      </c>
      <c r="T56" s="97">
        <v>1</v>
      </c>
      <c r="U56" s="91">
        <v>3692</v>
      </c>
      <c r="V56" s="92">
        <v>0.16009999999999999</v>
      </c>
      <c r="W56" s="92">
        <v>0.16009999999999999</v>
      </c>
      <c r="X56" s="187">
        <f t="shared" si="19"/>
        <v>3.474045289556775E-2</v>
      </c>
      <c r="Y56" s="187">
        <f t="shared" si="20"/>
        <v>0</v>
      </c>
      <c r="Z56" s="187">
        <f t="shared" si="21"/>
        <v>5.9945504087193461E-3</v>
      </c>
      <c r="AA56" s="185">
        <f t="shared" si="22"/>
        <v>5.8999999999999886E-3</v>
      </c>
      <c r="AB56" s="186">
        <f t="shared" si="23"/>
        <v>5.8999999999999886E-3</v>
      </c>
    </row>
    <row r="57" spans="1:28">
      <c r="A57" s="195">
        <v>49</v>
      </c>
      <c r="B57" s="83" t="s">
        <v>94</v>
      </c>
      <c r="C57" s="84" t="s">
        <v>95</v>
      </c>
      <c r="D57" s="171" t="s">
        <v>332</v>
      </c>
      <c r="E57" s="106">
        <v>6417652251.4519997</v>
      </c>
      <c r="F57" s="90">
        <f t="shared" si="38"/>
        <v>1.1215747312059898E-3</v>
      </c>
      <c r="G57" s="171" t="s">
        <v>332</v>
      </c>
      <c r="H57" s="97">
        <v>100</v>
      </c>
      <c r="I57" s="171" t="s">
        <v>332</v>
      </c>
      <c r="J57" s="97">
        <v>100</v>
      </c>
      <c r="K57" s="91">
        <v>998</v>
      </c>
      <c r="L57" s="92">
        <v>0.16350000000000001</v>
      </c>
      <c r="M57" s="92">
        <v>0.16350000000000001</v>
      </c>
      <c r="N57" s="171" t="s">
        <v>332</v>
      </c>
      <c r="O57" s="106">
        <v>6549940912.7309999</v>
      </c>
      <c r="P57" s="90">
        <f t="shared" si="39"/>
        <v>1.1446940299623266E-3</v>
      </c>
      <c r="Q57" s="171" t="s">
        <v>332</v>
      </c>
      <c r="R57" s="97">
        <v>100</v>
      </c>
      <c r="S57" s="171" t="s">
        <v>332</v>
      </c>
      <c r="T57" s="97">
        <v>100</v>
      </c>
      <c r="U57" s="91">
        <v>998</v>
      </c>
      <c r="V57" s="92">
        <v>0.1653</v>
      </c>
      <c r="W57" s="92">
        <v>0.1653</v>
      </c>
      <c r="X57" s="187">
        <f t="shared" si="19"/>
        <v>2.0613248598670933E-2</v>
      </c>
      <c r="Y57" s="187">
        <f t="shared" si="20"/>
        <v>0</v>
      </c>
      <c r="Z57" s="187">
        <f t="shared" si="21"/>
        <v>0</v>
      </c>
      <c r="AA57" s="185">
        <f t="shared" si="22"/>
        <v>1.799999999999996E-3</v>
      </c>
      <c r="AB57" s="186">
        <f t="shared" si="23"/>
        <v>1.799999999999996E-3</v>
      </c>
    </row>
    <row r="58" spans="1:28">
      <c r="A58" s="195">
        <v>50</v>
      </c>
      <c r="B58" s="83" t="s">
        <v>96</v>
      </c>
      <c r="C58" s="84" t="s">
        <v>40</v>
      </c>
      <c r="D58" s="171" t="s">
        <v>332</v>
      </c>
      <c r="E58" s="108">
        <v>115103271621.84</v>
      </c>
      <c r="F58" s="90">
        <f t="shared" si="38"/>
        <v>2.0115910908227685E-2</v>
      </c>
      <c r="G58" s="171" t="s">
        <v>332</v>
      </c>
      <c r="H58" s="97">
        <v>10</v>
      </c>
      <c r="I58" s="171" t="s">
        <v>332</v>
      </c>
      <c r="J58" s="97">
        <v>10</v>
      </c>
      <c r="K58" s="91">
        <v>10867</v>
      </c>
      <c r="L58" s="92">
        <v>0.17630000000000001</v>
      </c>
      <c r="M58" s="92">
        <v>0.17630000000000001</v>
      </c>
      <c r="N58" s="171" t="s">
        <v>332</v>
      </c>
      <c r="O58" s="108">
        <v>116307255291.42</v>
      </c>
      <c r="P58" s="90">
        <f t="shared" si="39"/>
        <v>2.0326323938986725E-2</v>
      </c>
      <c r="Q58" s="171" t="s">
        <v>332</v>
      </c>
      <c r="R58" s="97">
        <v>10</v>
      </c>
      <c r="S58" s="171" t="s">
        <v>332</v>
      </c>
      <c r="T58" s="97">
        <v>10</v>
      </c>
      <c r="U58" s="91">
        <v>10988</v>
      </c>
      <c r="V58" s="92">
        <v>0.17630000000000001</v>
      </c>
      <c r="W58" s="92">
        <v>0.17630000000000001</v>
      </c>
      <c r="X58" s="187">
        <f t="shared" si="19"/>
        <v>1.0460029959318331E-2</v>
      </c>
      <c r="Y58" s="187">
        <f t="shared" si="20"/>
        <v>0</v>
      </c>
      <c r="Z58" s="187">
        <f t="shared" si="21"/>
        <v>1.1134627772154229E-2</v>
      </c>
      <c r="AA58" s="185">
        <f t="shared" si="22"/>
        <v>0</v>
      </c>
      <c r="AB58" s="186">
        <f t="shared" si="23"/>
        <v>0</v>
      </c>
    </row>
    <row r="59" spans="1:28">
      <c r="A59" s="195">
        <v>51</v>
      </c>
      <c r="B59" s="83" t="s">
        <v>344</v>
      </c>
      <c r="C59" s="84" t="s">
        <v>313</v>
      </c>
      <c r="D59" s="171" t="s">
        <v>332</v>
      </c>
      <c r="E59" s="108">
        <v>440629443.25</v>
      </c>
      <c r="F59" s="90">
        <f t="shared" si="38"/>
        <v>7.7006174534114213E-5</v>
      </c>
      <c r="G59" s="171" t="s">
        <v>332</v>
      </c>
      <c r="H59" s="97">
        <v>1</v>
      </c>
      <c r="I59" s="171" t="s">
        <v>332</v>
      </c>
      <c r="J59" s="97">
        <v>1</v>
      </c>
      <c r="K59" s="91">
        <v>236</v>
      </c>
      <c r="L59" s="92">
        <v>0.16786699999999999</v>
      </c>
      <c r="M59" s="92">
        <v>0.16786699999999999</v>
      </c>
      <c r="N59" s="171" t="s">
        <v>332</v>
      </c>
      <c r="O59" s="108">
        <v>465481553.76999998</v>
      </c>
      <c r="P59" s="90">
        <f t="shared" si="39"/>
        <v>8.1349429370034017E-5</v>
      </c>
      <c r="Q59" s="171" t="s">
        <v>332</v>
      </c>
      <c r="R59" s="97">
        <v>1</v>
      </c>
      <c r="S59" s="171" t="s">
        <v>332</v>
      </c>
      <c r="T59" s="97">
        <v>1</v>
      </c>
      <c r="U59" s="91">
        <v>292</v>
      </c>
      <c r="V59" s="92">
        <v>0.1870551</v>
      </c>
      <c r="W59" s="92">
        <v>0.1870551</v>
      </c>
      <c r="X59" s="187">
        <f t="shared" ref="X59" si="45">((O59-E59)/E59)</f>
        <v>5.6401384203233179E-2</v>
      </c>
      <c r="Y59" s="187">
        <f t="shared" ref="Y59" si="46">((T59-J59)/J59)</f>
        <v>0</v>
      </c>
      <c r="Z59" s="187">
        <f t="shared" ref="Z59" si="47">((U59-K59)/K59)</f>
        <v>0.23728813559322035</v>
      </c>
      <c r="AA59" s="185">
        <f t="shared" ref="AA59" si="48">V59-L59</f>
        <v>1.9188100000000013E-2</v>
      </c>
      <c r="AB59" s="186">
        <f t="shared" ref="AB59" si="49">W59-M59</f>
        <v>1.9188100000000013E-2</v>
      </c>
    </row>
    <row r="60" spans="1:28">
      <c r="A60" s="195">
        <v>52</v>
      </c>
      <c r="B60" s="83" t="s">
        <v>97</v>
      </c>
      <c r="C60" s="84" t="s">
        <v>98</v>
      </c>
      <c r="D60" s="171" t="s">
        <v>332</v>
      </c>
      <c r="E60" s="106">
        <v>43904364894</v>
      </c>
      <c r="F60" s="90">
        <f t="shared" si="38"/>
        <v>7.6729034739482331E-3</v>
      </c>
      <c r="G60" s="171" t="s">
        <v>332</v>
      </c>
      <c r="H60" s="97">
        <v>100</v>
      </c>
      <c r="I60" s="171" t="s">
        <v>332</v>
      </c>
      <c r="J60" s="97">
        <v>100</v>
      </c>
      <c r="K60" s="91">
        <v>6350</v>
      </c>
      <c r="L60" s="92">
        <v>0.17510000000000001</v>
      </c>
      <c r="M60" s="92">
        <v>0.17510000000000001</v>
      </c>
      <c r="N60" s="171" t="s">
        <v>332</v>
      </c>
      <c r="O60" s="106">
        <v>44395611610</v>
      </c>
      <c r="P60" s="90">
        <f t="shared" si="39"/>
        <v>7.7587557267450201E-3</v>
      </c>
      <c r="Q60" s="171" t="s">
        <v>332</v>
      </c>
      <c r="R60" s="97">
        <v>100</v>
      </c>
      <c r="S60" s="171" t="s">
        <v>332</v>
      </c>
      <c r="T60" s="97">
        <v>100</v>
      </c>
      <c r="U60" s="91">
        <v>6403</v>
      </c>
      <c r="V60" s="92">
        <v>0.17469999999999999</v>
      </c>
      <c r="W60" s="92">
        <v>0.17469999999999999</v>
      </c>
      <c r="X60" s="187">
        <f t="shared" si="19"/>
        <v>1.1189017702135901E-2</v>
      </c>
      <c r="Y60" s="187">
        <f t="shared" si="20"/>
        <v>0</v>
      </c>
      <c r="Z60" s="187">
        <f t="shared" si="21"/>
        <v>8.346456692913385E-3</v>
      </c>
      <c r="AA60" s="185">
        <f t="shared" si="22"/>
        <v>-4.0000000000001146E-4</v>
      </c>
      <c r="AB60" s="186">
        <f t="shared" si="23"/>
        <v>-4.0000000000001146E-4</v>
      </c>
    </row>
    <row r="61" spans="1:28">
      <c r="A61" s="195">
        <v>53</v>
      </c>
      <c r="B61" s="83" t="s">
        <v>99</v>
      </c>
      <c r="C61" s="84" t="s">
        <v>100</v>
      </c>
      <c r="D61" s="171" t="s">
        <v>332</v>
      </c>
      <c r="E61" s="106">
        <v>182735653.08000001</v>
      </c>
      <c r="F61" s="90">
        <f t="shared" si="38"/>
        <v>3.1935618035175017E-5</v>
      </c>
      <c r="G61" s="171" t="s">
        <v>332</v>
      </c>
      <c r="H61" s="97">
        <v>1.01</v>
      </c>
      <c r="I61" s="171" t="s">
        <v>332</v>
      </c>
      <c r="J61" s="97">
        <v>1.01</v>
      </c>
      <c r="K61" s="91">
        <v>106</v>
      </c>
      <c r="L61" s="92">
        <v>0.155</v>
      </c>
      <c r="M61" s="92">
        <v>0.155</v>
      </c>
      <c r="N61" s="171" t="s">
        <v>332</v>
      </c>
      <c r="O61" s="106">
        <v>186459945.36000001</v>
      </c>
      <c r="P61" s="90">
        <f t="shared" si="39"/>
        <v>3.258649034006322E-5</v>
      </c>
      <c r="Q61" s="171" t="s">
        <v>332</v>
      </c>
      <c r="R61" s="97">
        <v>1.01</v>
      </c>
      <c r="S61" s="171" t="s">
        <v>332</v>
      </c>
      <c r="T61" s="97">
        <v>1.01</v>
      </c>
      <c r="U61" s="91">
        <v>107</v>
      </c>
      <c r="V61" s="92">
        <v>0.15160000000000001</v>
      </c>
      <c r="W61" s="92">
        <v>0.15160000000000001</v>
      </c>
      <c r="X61" s="187">
        <f t="shared" si="19"/>
        <v>2.0380764329386448E-2</v>
      </c>
      <c r="Y61" s="187">
        <f t="shared" si="20"/>
        <v>0</v>
      </c>
      <c r="Z61" s="187">
        <f t="shared" si="21"/>
        <v>9.433962264150943E-3</v>
      </c>
      <c r="AA61" s="185">
        <f t="shared" si="22"/>
        <v>-3.3999999999999864E-3</v>
      </c>
      <c r="AB61" s="186">
        <f t="shared" si="23"/>
        <v>-3.3999999999999864E-3</v>
      </c>
    </row>
    <row r="62" spans="1:28">
      <c r="A62" s="195">
        <v>54</v>
      </c>
      <c r="B62" s="83" t="s">
        <v>101</v>
      </c>
      <c r="C62" s="84" t="s">
        <v>42</v>
      </c>
      <c r="D62" s="171" t="s">
        <v>332</v>
      </c>
      <c r="E62" s="108">
        <v>2863436758.1100001</v>
      </c>
      <c r="F62" s="90">
        <f t="shared" si="38"/>
        <v>5.0042572991952888E-4</v>
      </c>
      <c r="G62" s="171" t="s">
        <v>332</v>
      </c>
      <c r="H62" s="97">
        <v>10</v>
      </c>
      <c r="I62" s="171" t="s">
        <v>332</v>
      </c>
      <c r="J62" s="97">
        <v>10</v>
      </c>
      <c r="K62" s="91">
        <v>995</v>
      </c>
      <c r="L62" s="92">
        <v>0.1532</v>
      </c>
      <c r="M62" s="92">
        <v>0.1532</v>
      </c>
      <c r="N62" s="171" t="s">
        <v>332</v>
      </c>
      <c r="O62" s="108">
        <v>2889395811.9400001</v>
      </c>
      <c r="P62" s="90">
        <f t="shared" si="39"/>
        <v>5.0496243862249051E-4</v>
      </c>
      <c r="Q62" s="171" t="s">
        <v>332</v>
      </c>
      <c r="R62" s="97">
        <v>10</v>
      </c>
      <c r="S62" s="171" t="s">
        <v>332</v>
      </c>
      <c r="T62" s="97">
        <v>10</v>
      </c>
      <c r="U62" s="91">
        <v>993</v>
      </c>
      <c r="V62" s="92">
        <v>0.1479</v>
      </c>
      <c r="W62" s="92">
        <v>0.1479</v>
      </c>
      <c r="X62" s="187">
        <f t="shared" si="19"/>
        <v>9.0656983278841786E-3</v>
      </c>
      <c r="Y62" s="187">
        <f t="shared" si="20"/>
        <v>0</v>
      </c>
      <c r="Z62" s="187">
        <f t="shared" si="21"/>
        <v>-2.0100502512562816E-3</v>
      </c>
      <c r="AA62" s="185">
        <f t="shared" si="22"/>
        <v>-5.2999999999999992E-3</v>
      </c>
      <c r="AB62" s="186">
        <f t="shared" si="23"/>
        <v>-5.2999999999999992E-3</v>
      </c>
    </row>
    <row r="63" spans="1:28">
      <c r="A63" s="194">
        <v>55</v>
      </c>
      <c r="B63" s="83" t="s">
        <v>102</v>
      </c>
      <c r="C63" s="84" t="s">
        <v>103</v>
      </c>
      <c r="D63" s="171" t="s">
        <v>332</v>
      </c>
      <c r="E63" s="108">
        <v>1699336765</v>
      </c>
      <c r="F63" s="90">
        <f t="shared" si="38"/>
        <v>2.9698293094676677E-4</v>
      </c>
      <c r="G63" s="171" t="s">
        <v>332</v>
      </c>
      <c r="H63" s="97">
        <v>1</v>
      </c>
      <c r="I63" s="171" t="s">
        <v>332</v>
      </c>
      <c r="J63" s="97">
        <v>1</v>
      </c>
      <c r="K63" s="91">
        <v>251</v>
      </c>
      <c r="L63" s="92">
        <v>0.19409999999999999</v>
      </c>
      <c r="M63" s="92">
        <v>0.19409999999999999</v>
      </c>
      <c r="N63" s="171" t="s">
        <v>332</v>
      </c>
      <c r="O63" s="108">
        <v>1752149775</v>
      </c>
      <c r="P63" s="90">
        <f t="shared" si="39"/>
        <v>3.0621274508659143E-4</v>
      </c>
      <c r="Q63" s="171" t="s">
        <v>332</v>
      </c>
      <c r="R63" s="97">
        <v>1</v>
      </c>
      <c r="S63" s="171" t="s">
        <v>332</v>
      </c>
      <c r="T63" s="97">
        <v>1</v>
      </c>
      <c r="U63" s="91">
        <v>256</v>
      </c>
      <c r="V63" s="92">
        <v>0.1888</v>
      </c>
      <c r="W63" s="92">
        <v>0.1888</v>
      </c>
      <c r="X63" s="187">
        <f t="shared" si="19"/>
        <v>3.107860142130215E-2</v>
      </c>
      <c r="Y63" s="187">
        <f t="shared" si="20"/>
        <v>0</v>
      </c>
      <c r="Z63" s="187">
        <f t="shared" si="21"/>
        <v>1.9920318725099601E-2</v>
      </c>
      <c r="AA63" s="185">
        <f t="shared" si="22"/>
        <v>-5.2999999999999992E-3</v>
      </c>
      <c r="AB63" s="186">
        <f t="shared" si="23"/>
        <v>-5.2999999999999992E-3</v>
      </c>
    </row>
    <row r="64" spans="1:28">
      <c r="A64" s="195">
        <v>56</v>
      </c>
      <c r="B64" s="83" t="s">
        <v>104</v>
      </c>
      <c r="C64" s="84" t="s">
        <v>105</v>
      </c>
      <c r="D64" s="171" t="s">
        <v>332</v>
      </c>
      <c r="E64" s="108">
        <v>2389908593.6181798</v>
      </c>
      <c r="F64" s="90">
        <f t="shared" si="38"/>
        <v>4.1767004248130437E-4</v>
      </c>
      <c r="G64" s="171" t="s">
        <v>332</v>
      </c>
      <c r="H64" s="97">
        <v>1</v>
      </c>
      <c r="I64" s="171" t="s">
        <v>332</v>
      </c>
      <c r="J64" s="97">
        <v>1</v>
      </c>
      <c r="K64" s="91">
        <v>2831</v>
      </c>
      <c r="L64" s="92">
        <v>0.16719999999999999</v>
      </c>
      <c r="M64" s="92">
        <v>0.16719999999999999</v>
      </c>
      <c r="N64" s="171" t="s">
        <v>332</v>
      </c>
      <c r="O64" s="108">
        <v>2407418420.4809456</v>
      </c>
      <c r="P64" s="90">
        <f t="shared" si="39"/>
        <v>4.2073013028095521E-4</v>
      </c>
      <c r="Q64" s="171" t="s">
        <v>332</v>
      </c>
      <c r="R64" s="97">
        <v>1</v>
      </c>
      <c r="S64" s="171" t="s">
        <v>332</v>
      </c>
      <c r="T64" s="97">
        <v>1</v>
      </c>
      <c r="U64" s="91">
        <v>2916</v>
      </c>
      <c r="V64" s="92">
        <v>0.16400000000000001</v>
      </c>
      <c r="W64" s="92">
        <v>0.16400000000000001</v>
      </c>
      <c r="X64" s="187">
        <f t="shared" si="19"/>
        <v>7.3265675974062885E-3</v>
      </c>
      <c r="Y64" s="187">
        <f t="shared" si="20"/>
        <v>0</v>
      </c>
      <c r="Z64" s="187">
        <f t="shared" si="21"/>
        <v>3.002472624514306E-2</v>
      </c>
      <c r="AA64" s="185">
        <f t="shared" si="22"/>
        <v>-3.1999999999999806E-3</v>
      </c>
      <c r="AB64" s="186">
        <f t="shared" si="23"/>
        <v>-3.1999999999999806E-3</v>
      </c>
    </row>
    <row r="65" spans="1:28">
      <c r="A65" s="195">
        <v>57</v>
      </c>
      <c r="B65" s="83" t="s">
        <v>106</v>
      </c>
      <c r="C65" s="84" t="s">
        <v>107</v>
      </c>
      <c r="D65" s="171" t="s">
        <v>332</v>
      </c>
      <c r="E65" s="108">
        <v>15449966963.912399</v>
      </c>
      <c r="F65" s="90">
        <f t="shared" si="38"/>
        <v>2.7000983951367776E-3</v>
      </c>
      <c r="G65" s="171" t="s">
        <v>332</v>
      </c>
      <c r="H65" s="97">
        <v>100</v>
      </c>
      <c r="I65" s="171" t="s">
        <v>332</v>
      </c>
      <c r="J65" s="97">
        <v>100</v>
      </c>
      <c r="K65" s="91">
        <v>164</v>
      </c>
      <c r="L65" s="92">
        <v>0.15559999999999999</v>
      </c>
      <c r="M65" s="92">
        <v>0.15559999999999999</v>
      </c>
      <c r="N65" s="171" t="s">
        <v>332</v>
      </c>
      <c r="O65" s="108">
        <v>15465045123.289</v>
      </c>
      <c r="P65" s="90">
        <f t="shared" si="39"/>
        <v>2.7027335149418536E-3</v>
      </c>
      <c r="Q65" s="171" t="s">
        <v>332</v>
      </c>
      <c r="R65" s="97">
        <v>100</v>
      </c>
      <c r="S65" s="171" t="s">
        <v>332</v>
      </c>
      <c r="T65" s="97">
        <v>100</v>
      </c>
      <c r="U65" s="91">
        <v>164</v>
      </c>
      <c r="V65" s="92">
        <v>0.1565</v>
      </c>
      <c r="W65" s="92">
        <v>0.1565</v>
      </c>
      <c r="X65" s="187">
        <f t="shared" si="19"/>
        <v>9.7593473253498918E-4</v>
      </c>
      <c r="Y65" s="187">
        <f t="shared" si="20"/>
        <v>0</v>
      </c>
      <c r="Z65" s="187">
        <f t="shared" si="21"/>
        <v>0</v>
      </c>
      <c r="AA65" s="185">
        <f t="shared" si="22"/>
        <v>9.000000000000119E-4</v>
      </c>
      <c r="AB65" s="186">
        <f t="shared" si="23"/>
        <v>9.000000000000119E-4</v>
      </c>
    </row>
    <row r="66" spans="1:28">
      <c r="A66" s="195">
        <v>58</v>
      </c>
      <c r="B66" s="83" t="s">
        <v>305</v>
      </c>
      <c r="C66" s="84" t="s">
        <v>73</v>
      </c>
      <c r="D66" s="171" t="s">
        <v>332</v>
      </c>
      <c r="E66" s="108">
        <v>124141347.12</v>
      </c>
      <c r="F66" s="90">
        <f t="shared" si="38"/>
        <v>2.1695441350247939E-5</v>
      </c>
      <c r="G66" s="171" t="s">
        <v>332</v>
      </c>
      <c r="H66" s="97">
        <v>1000</v>
      </c>
      <c r="I66" s="171" t="s">
        <v>332</v>
      </c>
      <c r="J66" s="97">
        <v>1000</v>
      </c>
      <c r="K66" s="91">
        <v>30</v>
      </c>
      <c r="L66" s="92">
        <v>0.224</v>
      </c>
      <c r="M66" s="92">
        <v>0.224</v>
      </c>
      <c r="N66" s="171" t="s">
        <v>332</v>
      </c>
      <c r="O66" s="108">
        <v>125722941.51000001</v>
      </c>
      <c r="P66" s="90">
        <f t="shared" si="39"/>
        <v>2.1971847149960726E-5</v>
      </c>
      <c r="Q66" s="171" t="s">
        <v>332</v>
      </c>
      <c r="R66" s="97">
        <v>1000</v>
      </c>
      <c r="S66" s="171" t="s">
        <v>332</v>
      </c>
      <c r="T66" s="97">
        <v>1000</v>
      </c>
      <c r="U66" s="91">
        <v>30</v>
      </c>
      <c r="V66" s="92">
        <v>0.23131618000000001</v>
      </c>
      <c r="W66" s="92">
        <v>0.23131618000000001</v>
      </c>
      <c r="X66" s="187">
        <f t="shared" si="19"/>
        <v>1.2740270882280406E-2</v>
      </c>
      <c r="Y66" s="187">
        <f t="shared" si="20"/>
        <v>0</v>
      </c>
      <c r="Z66" s="187">
        <f t="shared" si="21"/>
        <v>0</v>
      </c>
      <c r="AA66" s="185">
        <f t="shared" si="22"/>
        <v>7.3161800000000055E-3</v>
      </c>
      <c r="AB66" s="186">
        <f t="shared" si="23"/>
        <v>7.3161800000000055E-3</v>
      </c>
    </row>
    <row r="67" spans="1:28">
      <c r="A67" s="195">
        <v>59</v>
      </c>
      <c r="B67" s="83" t="s">
        <v>307</v>
      </c>
      <c r="C67" s="84" t="s">
        <v>31</v>
      </c>
      <c r="D67" s="171" t="s">
        <v>332</v>
      </c>
      <c r="E67" s="95">
        <v>2138468968</v>
      </c>
      <c r="F67" s="90">
        <f t="shared" si="38"/>
        <v>3.7372744175010397E-4</v>
      </c>
      <c r="G67" s="171" t="s">
        <v>332</v>
      </c>
      <c r="H67" s="89">
        <v>1</v>
      </c>
      <c r="I67" s="171" t="s">
        <v>332</v>
      </c>
      <c r="J67" s="89">
        <v>1</v>
      </c>
      <c r="K67" s="91">
        <v>345</v>
      </c>
      <c r="L67" s="92">
        <v>0.1772</v>
      </c>
      <c r="M67" s="92">
        <v>0.1772</v>
      </c>
      <c r="N67" s="171" t="s">
        <v>332</v>
      </c>
      <c r="O67" s="95">
        <v>2163386968</v>
      </c>
      <c r="P67" s="90">
        <f t="shared" si="39"/>
        <v>3.7808221169667865E-4</v>
      </c>
      <c r="Q67" s="171" t="s">
        <v>332</v>
      </c>
      <c r="R67" s="89">
        <v>1</v>
      </c>
      <c r="S67" s="171" t="s">
        <v>332</v>
      </c>
      <c r="T67" s="89">
        <v>1</v>
      </c>
      <c r="U67" s="91">
        <v>345</v>
      </c>
      <c r="V67" s="92">
        <v>0.1772</v>
      </c>
      <c r="W67" s="92">
        <v>0.1772</v>
      </c>
      <c r="X67" s="187">
        <f t="shared" si="19"/>
        <v>1.1652261675466128E-2</v>
      </c>
      <c r="Y67" s="187">
        <f t="shared" si="20"/>
        <v>0</v>
      </c>
      <c r="Z67" s="187">
        <f t="shared" si="21"/>
        <v>0</v>
      </c>
      <c r="AA67" s="185">
        <f t="shared" si="22"/>
        <v>0</v>
      </c>
      <c r="AB67" s="186">
        <f t="shared" si="23"/>
        <v>0</v>
      </c>
    </row>
    <row r="68" spans="1:28">
      <c r="A68" s="194">
        <v>60</v>
      </c>
      <c r="B68" s="83" t="s">
        <v>108</v>
      </c>
      <c r="C68" s="84" t="s">
        <v>46</v>
      </c>
      <c r="D68" s="171" t="s">
        <v>332</v>
      </c>
      <c r="E68" s="106">
        <v>2780811192641.2798</v>
      </c>
      <c r="F68" s="90">
        <f t="shared" si="38"/>
        <v>0.48598575362440377</v>
      </c>
      <c r="G68" s="171" t="s">
        <v>332</v>
      </c>
      <c r="H68" s="97">
        <v>100</v>
      </c>
      <c r="I68" s="171" t="s">
        <v>332</v>
      </c>
      <c r="J68" s="97">
        <v>100</v>
      </c>
      <c r="K68" s="91">
        <v>322440</v>
      </c>
      <c r="L68" s="92">
        <v>0.1525</v>
      </c>
      <c r="M68" s="92">
        <v>0.1525</v>
      </c>
      <c r="N68" s="171" t="s">
        <v>332</v>
      </c>
      <c r="O68" s="106">
        <v>2779117717596.1201</v>
      </c>
      <c r="P68" s="90">
        <f>(O68/$O$76)</f>
        <v>0.48568979511120303</v>
      </c>
      <c r="Q68" s="171" t="s">
        <v>332</v>
      </c>
      <c r="R68" s="97">
        <v>100</v>
      </c>
      <c r="S68" s="171" t="s">
        <v>332</v>
      </c>
      <c r="T68" s="97">
        <v>100</v>
      </c>
      <c r="U68" s="91">
        <v>326282</v>
      </c>
      <c r="V68" s="92">
        <v>0.152972</v>
      </c>
      <c r="W68" s="92">
        <v>0.152972</v>
      </c>
      <c r="X68" s="187">
        <f t="shared" si="19"/>
        <v>-6.0898598568684761E-4</v>
      </c>
      <c r="Y68" s="187">
        <f t="shared" si="20"/>
        <v>0</v>
      </c>
      <c r="Z68" s="187">
        <f t="shared" si="21"/>
        <v>1.191539511226895E-2</v>
      </c>
      <c r="AA68" s="185">
        <f t="shared" si="22"/>
        <v>4.720000000000002E-4</v>
      </c>
      <c r="AB68" s="186">
        <f t="shared" si="23"/>
        <v>4.720000000000002E-4</v>
      </c>
    </row>
    <row r="69" spans="1:28">
      <c r="A69" s="195">
        <v>61</v>
      </c>
      <c r="B69" s="83" t="s">
        <v>109</v>
      </c>
      <c r="C69" s="83" t="s">
        <v>110</v>
      </c>
      <c r="D69" s="171" t="s">
        <v>332</v>
      </c>
      <c r="E69" s="106">
        <v>13600641156.65</v>
      </c>
      <c r="F69" s="90">
        <f t="shared" si="38"/>
        <v>2.3769027756291384E-3</v>
      </c>
      <c r="G69" s="171" t="s">
        <v>332</v>
      </c>
      <c r="H69" s="97">
        <v>100</v>
      </c>
      <c r="I69" s="171" t="s">
        <v>332</v>
      </c>
      <c r="J69" s="97">
        <v>100</v>
      </c>
      <c r="K69" s="91">
        <v>1540</v>
      </c>
      <c r="L69" s="92">
        <v>0.19470000000000001</v>
      </c>
      <c r="M69" s="92">
        <v>0.19470000000000001</v>
      </c>
      <c r="N69" s="171" t="s">
        <v>332</v>
      </c>
      <c r="O69" s="106">
        <v>13980321305.940001</v>
      </c>
      <c r="P69" s="90">
        <f t="shared" ref="P69:P75" si="50">(O69/$O$76)</f>
        <v>2.4432572062993005E-3</v>
      </c>
      <c r="Q69" s="171" t="s">
        <v>332</v>
      </c>
      <c r="R69" s="97">
        <v>100</v>
      </c>
      <c r="S69" s="171" t="s">
        <v>332</v>
      </c>
      <c r="T69" s="97">
        <v>100</v>
      </c>
      <c r="U69" s="91">
        <v>1566</v>
      </c>
      <c r="V69" s="92">
        <v>0.19586400000000001</v>
      </c>
      <c r="W69" s="92">
        <v>0.19586400000000001</v>
      </c>
      <c r="X69" s="187">
        <f t="shared" si="19"/>
        <v>2.7916341951596691E-2</v>
      </c>
      <c r="Y69" s="187">
        <f t="shared" si="20"/>
        <v>0</v>
      </c>
      <c r="Z69" s="187">
        <f t="shared" si="21"/>
        <v>1.6883116883116882E-2</v>
      </c>
      <c r="AA69" s="185">
        <f t="shared" si="22"/>
        <v>1.1639999999999984E-3</v>
      </c>
      <c r="AB69" s="186">
        <f t="shared" si="23"/>
        <v>1.1639999999999984E-3</v>
      </c>
    </row>
    <row r="70" spans="1:28">
      <c r="A70" s="195">
        <v>62</v>
      </c>
      <c r="B70" s="200" t="s">
        <v>111</v>
      </c>
      <c r="C70" s="84" t="s">
        <v>112</v>
      </c>
      <c r="D70" s="171" t="s">
        <v>332</v>
      </c>
      <c r="E70" s="106">
        <v>16212404655.809999</v>
      </c>
      <c r="F70" s="90">
        <f t="shared" si="38"/>
        <v>2.8333450741162896E-3</v>
      </c>
      <c r="G70" s="171" t="s">
        <v>332</v>
      </c>
      <c r="H70" s="97">
        <v>1</v>
      </c>
      <c r="I70" s="171" t="s">
        <v>332</v>
      </c>
      <c r="J70" s="97">
        <v>1</v>
      </c>
      <c r="K70" s="91">
        <v>895</v>
      </c>
      <c r="L70" s="92">
        <v>0.189915</v>
      </c>
      <c r="M70" s="92">
        <v>0.189915</v>
      </c>
      <c r="N70" s="171" t="s">
        <v>332</v>
      </c>
      <c r="O70" s="106">
        <v>16347427064.450001</v>
      </c>
      <c r="P70" s="90">
        <f t="shared" si="50"/>
        <v>2.8569421335616547E-3</v>
      </c>
      <c r="Q70" s="171" t="s">
        <v>332</v>
      </c>
      <c r="R70" s="97">
        <v>1</v>
      </c>
      <c r="S70" s="171" t="s">
        <v>332</v>
      </c>
      <c r="T70" s="97">
        <v>1</v>
      </c>
      <c r="U70" s="91">
        <v>921</v>
      </c>
      <c r="V70" s="92">
        <v>0.19059309999999999</v>
      </c>
      <c r="W70" s="92">
        <v>0.19059309999999999</v>
      </c>
      <c r="X70" s="187">
        <f t="shared" si="19"/>
        <v>8.3283394108728745E-3</v>
      </c>
      <c r="Y70" s="187">
        <f t="shared" si="20"/>
        <v>0</v>
      </c>
      <c r="Z70" s="187">
        <f t="shared" si="21"/>
        <v>2.9050279329608939E-2</v>
      </c>
      <c r="AA70" s="185">
        <f t="shared" si="22"/>
        <v>6.7809999999998705E-4</v>
      </c>
      <c r="AB70" s="186">
        <f t="shared" si="23"/>
        <v>6.7809999999998705E-4</v>
      </c>
    </row>
    <row r="71" spans="1:28">
      <c r="A71" s="195">
        <v>63</v>
      </c>
      <c r="B71" s="83" t="s">
        <v>113</v>
      </c>
      <c r="C71" s="84" t="s">
        <v>49</v>
      </c>
      <c r="D71" s="171" t="s">
        <v>332</v>
      </c>
      <c r="E71" s="106">
        <v>226018705688.22</v>
      </c>
      <c r="F71" s="90">
        <f t="shared" si="38"/>
        <v>3.9499938473985904E-2</v>
      </c>
      <c r="G71" s="171" t="s">
        <v>332</v>
      </c>
      <c r="H71" s="97">
        <v>1</v>
      </c>
      <c r="I71" s="171" t="s">
        <v>332</v>
      </c>
      <c r="J71" s="97">
        <v>1</v>
      </c>
      <c r="K71" s="91">
        <v>88320</v>
      </c>
      <c r="L71" s="92">
        <v>0.1537</v>
      </c>
      <c r="M71" s="92">
        <v>0.1537</v>
      </c>
      <c r="N71" s="171" t="s">
        <v>332</v>
      </c>
      <c r="O71" s="106">
        <v>226477592014.85001</v>
      </c>
      <c r="P71" s="90">
        <f t="shared" si="50"/>
        <v>3.9580135294922672E-2</v>
      </c>
      <c r="Q71" s="171" t="s">
        <v>332</v>
      </c>
      <c r="R71" s="97">
        <v>1</v>
      </c>
      <c r="S71" s="171" t="s">
        <v>332</v>
      </c>
      <c r="T71" s="97">
        <v>1</v>
      </c>
      <c r="U71" s="91">
        <v>89423</v>
      </c>
      <c r="V71" s="92">
        <v>0.1532</v>
      </c>
      <c r="W71" s="92">
        <v>0.1532</v>
      </c>
      <c r="X71" s="187">
        <f t="shared" si="19"/>
        <v>2.0303024266629176E-3</v>
      </c>
      <c r="Y71" s="187">
        <f t="shared" si="20"/>
        <v>0</v>
      </c>
      <c r="Z71" s="187">
        <f t="shared" si="21"/>
        <v>1.2488677536231884E-2</v>
      </c>
      <c r="AA71" s="185">
        <f t="shared" si="22"/>
        <v>-5.0000000000000044E-4</v>
      </c>
      <c r="AB71" s="186">
        <f t="shared" si="23"/>
        <v>-5.0000000000000044E-4</v>
      </c>
    </row>
    <row r="72" spans="1:28">
      <c r="A72" s="195">
        <v>64</v>
      </c>
      <c r="B72" s="83" t="s">
        <v>114</v>
      </c>
      <c r="C72" s="84" t="s">
        <v>115</v>
      </c>
      <c r="D72" s="171" t="s">
        <v>332</v>
      </c>
      <c r="E72" s="108">
        <v>2762874433.2600002</v>
      </c>
      <c r="F72" s="90">
        <f t="shared" si="38"/>
        <v>4.8285105337990023E-4</v>
      </c>
      <c r="G72" s="171" t="s">
        <v>332</v>
      </c>
      <c r="H72" s="97">
        <v>1</v>
      </c>
      <c r="I72" s="171" t="s">
        <v>332</v>
      </c>
      <c r="J72" s="97">
        <v>1</v>
      </c>
      <c r="K72" s="91">
        <v>167</v>
      </c>
      <c r="L72" s="92">
        <v>0.15049999999999999</v>
      </c>
      <c r="M72" s="92">
        <v>0.15049999999999999</v>
      </c>
      <c r="N72" s="171" t="s">
        <v>332</v>
      </c>
      <c r="O72" s="108">
        <v>3026665271.5100002</v>
      </c>
      <c r="P72" s="90">
        <f t="shared" si="50"/>
        <v>5.2895220173020357E-4</v>
      </c>
      <c r="Q72" s="171" t="s">
        <v>332</v>
      </c>
      <c r="R72" s="97">
        <v>1</v>
      </c>
      <c r="S72" s="171" t="s">
        <v>332</v>
      </c>
      <c r="T72" s="97">
        <v>1</v>
      </c>
      <c r="U72" s="91">
        <v>165</v>
      </c>
      <c r="V72" s="92">
        <v>0.155</v>
      </c>
      <c r="W72" s="92">
        <v>0.155</v>
      </c>
      <c r="X72" s="187">
        <f t="shared" si="19"/>
        <v>9.5476955114006071E-2</v>
      </c>
      <c r="Y72" s="187">
        <f t="shared" si="20"/>
        <v>0</v>
      </c>
      <c r="Z72" s="187">
        <f t="shared" si="21"/>
        <v>-1.1976047904191617E-2</v>
      </c>
      <c r="AA72" s="185">
        <f t="shared" si="22"/>
        <v>4.500000000000004E-3</v>
      </c>
      <c r="AB72" s="186">
        <f t="shared" si="23"/>
        <v>4.500000000000004E-3</v>
      </c>
    </row>
    <row r="73" spans="1:28">
      <c r="A73" s="195">
        <v>65</v>
      </c>
      <c r="B73" s="83" t="s">
        <v>116</v>
      </c>
      <c r="C73" s="84" t="s">
        <v>117</v>
      </c>
      <c r="D73" s="171" t="s">
        <v>332</v>
      </c>
      <c r="E73" s="106">
        <v>10331283881.049999</v>
      </c>
      <c r="F73" s="90">
        <f t="shared" si="38"/>
        <v>1.8055367427052143E-3</v>
      </c>
      <c r="G73" s="171" t="s">
        <v>332</v>
      </c>
      <c r="H73" s="97">
        <v>1</v>
      </c>
      <c r="I73" s="171" t="s">
        <v>332</v>
      </c>
      <c r="J73" s="97">
        <v>1</v>
      </c>
      <c r="K73" s="91">
        <v>669</v>
      </c>
      <c r="L73" s="92">
        <v>0.1613</v>
      </c>
      <c r="M73" s="92">
        <v>0.1613</v>
      </c>
      <c r="N73" s="171" t="s">
        <v>332</v>
      </c>
      <c r="O73" s="106">
        <v>10539121056.68</v>
      </c>
      <c r="P73" s="90">
        <f>(O73/$O$76)</f>
        <v>1.8418592038262716E-3</v>
      </c>
      <c r="Q73" s="171" t="s">
        <v>332</v>
      </c>
      <c r="R73" s="97">
        <v>1</v>
      </c>
      <c r="S73" s="171" t="s">
        <v>332</v>
      </c>
      <c r="T73" s="97">
        <v>1</v>
      </c>
      <c r="U73" s="91">
        <v>669</v>
      </c>
      <c r="V73" s="92">
        <v>0.16139999999999999</v>
      </c>
      <c r="W73" s="92">
        <v>0.16370000000000001</v>
      </c>
      <c r="X73" s="187">
        <f t="shared" si="19"/>
        <v>2.0117265000453938E-2</v>
      </c>
      <c r="Y73" s="187">
        <f t="shared" si="20"/>
        <v>0</v>
      </c>
      <c r="Z73" s="187">
        <f t="shared" si="21"/>
        <v>0</v>
      </c>
      <c r="AA73" s="185">
        <f t="shared" si="22"/>
        <v>9.9999999999988987E-5</v>
      </c>
      <c r="AB73" s="186">
        <f t="shared" si="23"/>
        <v>2.4000000000000132E-3</v>
      </c>
    </row>
    <row r="74" spans="1:28">
      <c r="A74" s="195">
        <v>66</v>
      </c>
      <c r="B74" s="83" t="s">
        <v>118</v>
      </c>
      <c r="C74" s="84" t="s">
        <v>119</v>
      </c>
      <c r="D74" s="171" t="s">
        <v>332</v>
      </c>
      <c r="E74" s="106">
        <v>15483221600.379999</v>
      </c>
      <c r="F74" s="90">
        <f t="shared" si="38"/>
        <v>2.7059101092178988E-3</v>
      </c>
      <c r="G74" s="171" t="s">
        <v>332</v>
      </c>
      <c r="H74" s="97">
        <v>1</v>
      </c>
      <c r="I74" s="171" t="s">
        <v>332</v>
      </c>
      <c r="J74" s="97">
        <v>1</v>
      </c>
      <c r="K74" s="91">
        <v>7298</v>
      </c>
      <c r="L74" s="92">
        <v>0.1772</v>
      </c>
      <c r="M74" s="92">
        <v>0.1772</v>
      </c>
      <c r="N74" s="171" t="s">
        <v>332</v>
      </c>
      <c r="O74" s="106">
        <v>16209183755.370001</v>
      </c>
      <c r="P74" s="90">
        <f t="shared" si="50"/>
        <v>2.832782176594939E-3</v>
      </c>
      <c r="Q74" s="171" t="s">
        <v>332</v>
      </c>
      <c r="R74" s="97">
        <v>1</v>
      </c>
      <c r="S74" s="171" t="s">
        <v>332</v>
      </c>
      <c r="T74" s="97">
        <v>1</v>
      </c>
      <c r="U74" s="91">
        <v>7505</v>
      </c>
      <c r="V74" s="92">
        <v>0.17699999999999999</v>
      </c>
      <c r="W74" s="92">
        <v>0.17699999999999999</v>
      </c>
      <c r="X74" s="187">
        <f t="shared" si="19"/>
        <v>4.6887022205519852E-2</v>
      </c>
      <c r="Y74" s="187">
        <f t="shared" si="20"/>
        <v>0</v>
      </c>
      <c r="Z74" s="187">
        <f t="shared" si="21"/>
        <v>2.8363935324746507E-2</v>
      </c>
      <c r="AA74" s="185">
        <f t="shared" si="22"/>
        <v>-2.0000000000000573E-4</v>
      </c>
      <c r="AB74" s="186">
        <f t="shared" si="23"/>
        <v>-2.0000000000000573E-4</v>
      </c>
    </row>
    <row r="75" spans="1:28">
      <c r="A75" s="195">
        <v>67</v>
      </c>
      <c r="B75" s="83" t="s">
        <v>120</v>
      </c>
      <c r="C75" s="84" t="s">
        <v>121</v>
      </c>
      <c r="D75" s="171" t="s">
        <v>332</v>
      </c>
      <c r="E75" s="106">
        <v>149993067641.01001</v>
      </c>
      <c r="F75" s="90">
        <f t="shared" si="38"/>
        <v>2.621339205223621E-2</v>
      </c>
      <c r="G75" s="171" t="s">
        <v>332</v>
      </c>
      <c r="H75" s="97">
        <v>1</v>
      </c>
      <c r="I75" s="171" t="s">
        <v>332</v>
      </c>
      <c r="J75" s="97">
        <v>1</v>
      </c>
      <c r="K75" s="91">
        <v>8405</v>
      </c>
      <c r="L75" s="92">
        <v>0.1605</v>
      </c>
      <c r="M75" s="92">
        <v>0.1605</v>
      </c>
      <c r="N75" s="171" t="s">
        <v>332</v>
      </c>
      <c r="O75" s="106">
        <v>150561913357.54001</v>
      </c>
      <c r="P75" s="90">
        <f t="shared" si="50"/>
        <v>2.6312805818613231E-2</v>
      </c>
      <c r="Q75" s="171" t="s">
        <v>332</v>
      </c>
      <c r="R75" s="97">
        <v>1</v>
      </c>
      <c r="S75" s="171" t="s">
        <v>332</v>
      </c>
      <c r="T75" s="97">
        <v>1</v>
      </c>
      <c r="U75" s="91">
        <v>8448</v>
      </c>
      <c r="V75" s="92">
        <v>0.15609999999999999</v>
      </c>
      <c r="W75" s="92">
        <v>0.15609999999999999</v>
      </c>
      <c r="X75" s="187">
        <f t="shared" si="19"/>
        <v>3.792480049087743E-3</v>
      </c>
      <c r="Y75" s="187">
        <f t="shared" si="20"/>
        <v>0</v>
      </c>
      <c r="Z75" s="187">
        <f t="shared" si="21"/>
        <v>5.1160023795359909E-3</v>
      </c>
      <c r="AA75" s="185">
        <f t="shared" si="22"/>
        <v>-4.400000000000015E-3</v>
      </c>
      <c r="AB75" s="186">
        <f t="shared" si="23"/>
        <v>-4.400000000000015E-3</v>
      </c>
    </row>
    <row r="76" spans="1:28">
      <c r="B76" s="98"/>
      <c r="C76" s="99" t="s">
        <v>52</v>
      </c>
      <c r="D76" s="170" t="s">
        <v>332</v>
      </c>
      <c r="E76" s="113">
        <f>SUM(E29:E75)</f>
        <v>5710644091386.6309</v>
      </c>
      <c r="F76" s="101">
        <f>(E76/$E$238)</f>
        <v>0.64478338974326521</v>
      </c>
      <c r="G76" s="171" t="s">
        <v>332</v>
      </c>
      <c r="H76" s="102"/>
      <c r="I76" s="171"/>
      <c r="J76" s="107"/>
      <c r="K76" s="104">
        <f>SUM(K29:K75)</f>
        <v>741098</v>
      </c>
      <c r="L76" s="114"/>
      <c r="M76" s="114"/>
      <c r="N76" s="171"/>
      <c r="O76" s="113">
        <f>SUM(O29:O75)</f>
        <v>5722001461776.2686</v>
      </c>
      <c r="P76" s="101">
        <f>(O76/$O$238)</f>
        <v>0.64550464295146848</v>
      </c>
      <c r="Q76" s="171"/>
      <c r="R76" s="102"/>
      <c r="S76" s="102"/>
      <c r="T76" s="107"/>
      <c r="U76" s="104">
        <f>SUM(U29:U75)</f>
        <v>749053</v>
      </c>
      <c r="V76" s="114"/>
      <c r="W76" s="114"/>
      <c r="X76" s="187">
        <f t="shared" si="19"/>
        <v>1.9888072532427692E-3</v>
      </c>
      <c r="Y76" s="187" t="e">
        <f t="shared" si="20"/>
        <v>#DIV/0!</v>
      </c>
      <c r="Z76" s="187">
        <f t="shared" si="21"/>
        <v>1.0734072956613026E-2</v>
      </c>
      <c r="AA76" s="185">
        <f t="shared" si="22"/>
        <v>0</v>
      </c>
      <c r="AB76" s="186">
        <f t="shared" si="23"/>
        <v>0</v>
      </c>
    </row>
    <row r="77" spans="1:28" ht="3" customHeight="1"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</row>
    <row r="78" spans="1:28" ht="15" customHeight="1">
      <c r="A78" s="193"/>
      <c r="B78" s="217" t="s">
        <v>346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</row>
    <row r="79" spans="1:28">
      <c r="A79" s="195">
        <v>68</v>
      </c>
      <c r="B79" s="83" t="s">
        <v>122</v>
      </c>
      <c r="C79" s="84" t="s">
        <v>21</v>
      </c>
      <c r="D79" s="171" t="s">
        <v>332</v>
      </c>
      <c r="E79" s="95">
        <v>1136195044.04</v>
      </c>
      <c r="F79" s="90">
        <f>(E79/$E$117)</f>
        <v>4.8190150700638716E-3</v>
      </c>
      <c r="G79" s="171" t="s">
        <v>332</v>
      </c>
      <c r="H79" s="115">
        <v>1.7685</v>
      </c>
      <c r="I79" s="171" t="s">
        <v>332</v>
      </c>
      <c r="J79" s="115">
        <v>1.7685</v>
      </c>
      <c r="K79" s="91">
        <v>558</v>
      </c>
      <c r="L79" s="92">
        <v>-4.1110000000000001E-3</v>
      </c>
      <c r="M79" s="92">
        <v>5.9400000000000001E-2</v>
      </c>
      <c r="N79" s="171" t="s">
        <v>332</v>
      </c>
      <c r="O79" s="95">
        <v>1139983341.5899999</v>
      </c>
      <c r="P79" s="90">
        <f t="shared" ref="P79:P116" si="51">(O79/$O$117)</f>
        <v>4.8529836949583478E-3</v>
      </c>
      <c r="Q79" s="171" t="s">
        <v>332</v>
      </c>
      <c r="R79" s="115">
        <v>1.7744</v>
      </c>
      <c r="S79" s="171" t="s">
        <v>332</v>
      </c>
      <c r="T79" s="115">
        <v>1.7744</v>
      </c>
      <c r="U79" s="91">
        <v>559</v>
      </c>
      <c r="V79" s="92">
        <v>6.2E-4</v>
      </c>
      <c r="W79" s="92">
        <v>6.3E-2</v>
      </c>
      <c r="X79" s="187">
        <f>((O79-E79)/E79)</f>
        <v>3.3341965095445218E-3</v>
      </c>
      <c r="Y79" s="187">
        <f>((T79-J79)/J79)</f>
        <v>3.3361605880689944E-3</v>
      </c>
      <c r="Z79" s="187">
        <f>((U79-K79)/K79)</f>
        <v>1.7921146953405018E-3</v>
      </c>
      <c r="AA79" s="185">
        <f>V79-L79</f>
        <v>4.731E-3</v>
      </c>
      <c r="AB79" s="186">
        <f>W79-M79</f>
        <v>3.599999999999999E-3</v>
      </c>
    </row>
    <row r="80" spans="1:28">
      <c r="A80" s="195">
        <v>69</v>
      </c>
      <c r="B80" s="83" t="s">
        <v>123</v>
      </c>
      <c r="C80" s="84" t="s">
        <v>23</v>
      </c>
      <c r="D80" s="171" t="s">
        <v>332</v>
      </c>
      <c r="E80" s="95">
        <v>1207586402.4000001</v>
      </c>
      <c r="F80" s="90">
        <f>(E80/$E$117)</f>
        <v>5.1218117013410794E-3</v>
      </c>
      <c r="G80" s="171" t="s">
        <v>332</v>
      </c>
      <c r="H80" s="115">
        <v>1.3794999999999999</v>
      </c>
      <c r="I80" s="171" t="s">
        <v>332</v>
      </c>
      <c r="J80" s="115">
        <v>1.3794999999999999</v>
      </c>
      <c r="K80" s="91">
        <v>1532</v>
      </c>
      <c r="L80" s="92">
        <v>0.16300000000000001</v>
      </c>
      <c r="M80" s="92">
        <v>0.1142</v>
      </c>
      <c r="N80" s="171" t="s">
        <v>332</v>
      </c>
      <c r="O80" s="95">
        <v>1207348617.9100001</v>
      </c>
      <c r="P80" s="90">
        <f t="shared" si="51"/>
        <v>5.139762085185828E-3</v>
      </c>
      <c r="Q80" s="171" t="s">
        <v>332</v>
      </c>
      <c r="R80" s="115">
        <v>1.3828</v>
      </c>
      <c r="S80" s="171" t="s">
        <v>332</v>
      </c>
      <c r="T80" s="115">
        <v>1.3828</v>
      </c>
      <c r="U80" s="91">
        <v>1545</v>
      </c>
      <c r="V80" s="92">
        <v>0.12470000000000001</v>
      </c>
      <c r="W80" s="92">
        <v>0.115</v>
      </c>
      <c r="X80" s="187">
        <f t="shared" ref="X80:X117" si="52">((O80-E80)/E80)</f>
        <v>-1.9690888331255486E-4</v>
      </c>
      <c r="Y80" s="187">
        <f t="shared" ref="Y80:Y117" si="53">((T80-J80)/J80)</f>
        <v>2.3921710764770428E-3</v>
      </c>
      <c r="Z80" s="187">
        <f t="shared" ref="Z80:Z117" si="54">((U80-K80)/K80)</f>
        <v>8.4856396866840739E-3</v>
      </c>
      <c r="AA80" s="185">
        <f t="shared" ref="AA80:AA117" si="55">V80-L80</f>
        <v>-3.8300000000000001E-2</v>
      </c>
      <c r="AB80" s="186">
        <f t="shared" ref="AB80:AB117" si="56">W80-M80</f>
        <v>8.0000000000000904E-4</v>
      </c>
    </row>
    <row r="81" spans="1:28">
      <c r="A81" s="195">
        <v>70</v>
      </c>
      <c r="B81" s="83" t="s">
        <v>124</v>
      </c>
      <c r="C81" s="84" t="s">
        <v>23</v>
      </c>
      <c r="D81" s="171" t="s">
        <v>332</v>
      </c>
      <c r="E81" s="95">
        <v>672095673.5</v>
      </c>
      <c r="F81" s="90">
        <f>(E81/$E$117)</f>
        <v>2.8506013963982787E-3</v>
      </c>
      <c r="G81" s="171" t="s">
        <v>332</v>
      </c>
      <c r="H81" s="115">
        <v>1.238</v>
      </c>
      <c r="I81" s="171" t="s">
        <v>332</v>
      </c>
      <c r="J81" s="115">
        <v>1.238</v>
      </c>
      <c r="K81" s="91">
        <v>785</v>
      </c>
      <c r="L81" s="92">
        <v>0.38179999999999997</v>
      </c>
      <c r="M81" s="92">
        <v>0.1426</v>
      </c>
      <c r="N81" s="171" t="s">
        <v>332</v>
      </c>
      <c r="O81" s="95">
        <v>678289986.27999997</v>
      </c>
      <c r="P81" s="90">
        <f t="shared" si="51"/>
        <v>2.8875248644240686E-3</v>
      </c>
      <c r="Q81" s="171" t="s">
        <v>332</v>
      </c>
      <c r="R81" s="115">
        <v>1.2411000000000001</v>
      </c>
      <c r="S81" s="171" t="s">
        <v>332</v>
      </c>
      <c r="T81" s="115">
        <v>1.2411000000000001</v>
      </c>
      <c r="U81" s="91">
        <v>807</v>
      </c>
      <c r="V81" s="92">
        <v>0.13059999999999999</v>
      </c>
      <c r="W81" s="92">
        <v>0.14230000000000001</v>
      </c>
      <c r="X81" s="187">
        <f t="shared" si="52"/>
        <v>9.2164151983638257E-3</v>
      </c>
      <c r="Y81" s="187">
        <f t="shared" si="53"/>
        <v>2.5040387722133303E-3</v>
      </c>
      <c r="Z81" s="187">
        <f t="shared" si="54"/>
        <v>2.802547770700637E-2</v>
      </c>
      <c r="AA81" s="185">
        <f t="shared" si="55"/>
        <v>-0.25119999999999998</v>
      </c>
      <c r="AB81" s="186">
        <f t="shared" si="56"/>
        <v>-2.9999999999999472E-4</v>
      </c>
    </row>
    <row r="82" spans="1:28">
      <c r="A82" s="195">
        <v>71</v>
      </c>
      <c r="B82" s="83" t="s">
        <v>125</v>
      </c>
      <c r="C82" s="84" t="s">
        <v>60</v>
      </c>
      <c r="D82" s="171" t="s">
        <v>332</v>
      </c>
      <c r="E82" s="95">
        <v>328927486.79000002</v>
      </c>
      <c r="F82" s="90">
        <f>(E82/$E$117)</f>
        <v>1.3951007127817054E-3</v>
      </c>
      <c r="G82" s="171" t="s">
        <v>332</v>
      </c>
      <c r="H82" s="94">
        <v>1255.23</v>
      </c>
      <c r="I82" s="171" t="s">
        <v>332</v>
      </c>
      <c r="J82" s="94">
        <v>1255.23</v>
      </c>
      <c r="K82" s="91">
        <v>287</v>
      </c>
      <c r="L82" s="92">
        <v>1.4E-3</v>
      </c>
      <c r="M82" s="92">
        <v>7.1499999999999994E-2</v>
      </c>
      <c r="N82" s="171" t="s">
        <v>332</v>
      </c>
      <c r="O82" s="95">
        <v>330106204.06999999</v>
      </c>
      <c r="P82" s="90">
        <f t="shared" si="51"/>
        <v>1.4052837155689502E-3</v>
      </c>
      <c r="Q82" s="171" t="s">
        <v>332</v>
      </c>
      <c r="R82" s="94">
        <v>1259.73</v>
      </c>
      <c r="S82" s="171" t="s">
        <v>332</v>
      </c>
      <c r="T82" s="94">
        <v>1259.73</v>
      </c>
      <c r="U82" s="91">
        <v>287</v>
      </c>
      <c r="V82" s="92">
        <v>2.8E-3</v>
      </c>
      <c r="W82" s="92">
        <v>7.8100000000000003E-2</v>
      </c>
      <c r="X82" s="187">
        <f t="shared" si="52"/>
        <v>3.5835171195422472E-3</v>
      </c>
      <c r="Y82" s="187">
        <f t="shared" si="53"/>
        <v>3.5850003585000357E-3</v>
      </c>
      <c r="Z82" s="187">
        <f t="shared" si="54"/>
        <v>0</v>
      </c>
      <c r="AA82" s="185">
        <f t="shared" si="55"/>
        <v>1.4E-3</v>
      </c>
      <c r="AB82" s="186">
        <f t="shared" si="56"/>
        <v>6.6000000000000086E-3</v>
      </c>
    </row>
    <row r="83" spans="1:28" ht="15" customHeight="1">
      <c r="A83" s="195">
        <v>72</v>
      </c>
      <c r="B83" s="83" t="s">
        <v>126</v>
      </c>
      <c r="C83" s="84" t="s">
        <v>27</v>
      </c>
      <c r="D83" s="171" t="s">
        <v>332</v>
      </c>
      <c r="E83" s="95">
        <v>1777148945.98</v>
      </c>
      <c r="F83" s="90">
        <f>(E83/$O$117)</f>
        <v>7.565439374161648E-3</v>
      </c>
      <c r="G83" s="171" t="s">
        <v>332</v>
      </c>
      <c r="H83" s="94">
        <v>1.1531</v>
      </c>
      <c r="I83" s="171" t="s">
        <v>332</v>
      </c>
      <c r="J83" s="94">
        <v>1.1531</v>
      </c>
      <c r="K83" s="91">
        <v>1081</v>
      </c>
      <c r="L83" s="92">
        <v>-5.3E-3</v>
      </c>
      <c r="M83" s="92">
        <v>6.3200000000000006E-2</v>
      </c>
      <c r="N83" s="171" t="s">
        <v>332</v>
      </c>
      <c r="O83" s="95">
        <v>1908538160.27</v>
      </c>
      <c r="P83" s="90">
        <f t="shared" si="51"/>
        <v>8.1247718585762182E-3</v>
      </c>
      <c r="Q83" s="171" t="s">
        <v>332</v>
      </c>
      <c r="R83" s="94">
        <v>1.1652</v>
      </c>
      <c r="S83" s="171" t="s">
        <v>332</v>
      </c>
      <c r="T83" s="94">
        <v>1.1652</v>
      </c>
      <c r="U83" s="91">
        <v>1081</v>
      </c>
      <c r="V83" s="92">
        <v>1.0500000000000001E-2</v>
      </c>
      <c r="W83" s="92">
        <v>7.3800000000000004E-2</v>
      </c>
      <c r="X83" s="187">
        <f t="shared" si="52"/>
        <v>7.3932584315574076E-2</v>
      </c>
      <c r="Y83" s="187">
        <f t="shared" si="53"/>
        <v>1.0493452432573063E-2</v>
      </c>
      <c r="Z83" s="187">
        <f t="shared" si="54"/>
        <v>0</v>
      </c>
      <c r="AA83" s="185">
        <f t="shared" si="55"/>
        <v>1.5800000000000002E-2</v>
      </c>
      <c r="AB83" s="186">
        <f t="shared" si="56"/>
        <v>1.0599999999999998E-2</v>
      </c>
    </row>
    <row r="84" spans="1:28">
      <c r="A84" s="195">
        <v>73</v>
      </c>
      <c r="B84" s="83" t="s">
        <v>127</v>
      </c>
      <c r="C84" s="84" t="s">
        <v>128</v>
      </c>
      <c r="D84" s="171" t="s">
        <v>332</v>
      </c>
      <c r="E84" s="95">
        <v>503250362.63999999</v>
      </c>
      <c r="F84" s="90">
        <f t="shared" ref="F84:F102" si="57">(E84/$E$117)</f>
        <v>2.1344672240023342E-3</v>
      </c>
      <c r="G84" s="171" t="s">
        <v>332</v>
      </c>
      <c r="H84" s="94">
        <v>2.8658999999999999</v>
      </c>
      <c r="I84" s="171" t="s">
        <v>332</v>
      </c>
      <c r="J84" s="94">
        <v>2.8658999999999999</v>
      </c>
      <c r="K84" s="91">
        <v>1390</v>
      </c>
      <c r="L84" s="92">
        <v>0.14219999999999999</v>
      </c>
      <c r="M84" s="92">
        <v>0.13980000000000001</v>
      </c>
      <c r="N84" s="171" t="s">
        <v>332</v>
      </c>
      <c r="O84" s="95">
        <v>504819074.90954459</v>
      </c>
      <c r="P84" s="90">
        <f t="shared" si="51"/>
        <v>2.1490478413684453E-3</v>
      </c>
      <c r="Q84" s="171" t="s">
        <v>332</v>
      </c>
      <c r="R84" s="94">
        <v>2.8748</v>
      </c>
      <c r="S84" s="171" t="s">
        <v>332</v>
      </c>
      <c r="T84" s="94">
        <v>2.8748</v>
      </c>
      <c r="U84" s="91">
        <v>1390</v>
      </c>
      <c r="V84" s="92">
        <v>0.14169999999999999</v>
      </c>
      <c r="W84" s="92">
        <v>0.14030000000000001</v>
      </c>
      <c r="X84" s="187">
        <f t="shared" si="52"/>
        <v>3.1171607335070701E-3</v>
      </c>
      <c r="Y84" s="187">
        <f t="shared" si="53"/>
        <v>3.1054816985938553E-3</v>
      </c>
      <c r="Z84" s="187">
        <f t="shared" si="54"/>
        <v>0</v>
      </c>
      <c r="AA84" s="185">
        <f t="shared" si="55"/>
        <v>-5.0000000000000044E-4</v>
      </c>
      <c r="AB84" s="186">
        <f t="shared" si="56"/>
        <v>5.0000000000000044E-4</v>
      </c>
    </row>
    <row r="85" spans="1:28">
      <c r="A85" s="195">
        <v>74</v>
      </c>
      <c r="B85" s="84" t="s">
        <v>129</v>
      </c>
      <c r="C85" s="84" t="s">
        <v>130</v>
      </c>
      <c r="D85" s="171" t="s">
        <v>332</v>
      </c>
      <c r="E85" s="95">
        <v>3510262865.7800002</v>
      </c>
      <c r="F85" s="90">
        <f t="shared" si="57"/>
        <v>1.4888297338395962E-2</v>
      </c>
      <c r="G85" s="171" t="s">
        <v>332</v>
      </c>
      <c r="H85" s="94">
        <v>1197.02</v>
      </c>
      <c r="I85" s="171" t="s">
        <v>332</v>
      </c>
      <c r="J85" s="94">
        <v>1197.02</v>
      </c>
      <c r="K85" s="91">
        <v>319</v>
      </c>
      <c r="L85" s="92">
        <v>1.7899999999999999E-3</v>
      </c>
      <c r="M85" s="92">
        <v>6.9709999999999994E-2</v>
      </c>
      <c r="N85" s="171" t="s">
        <v>332</v>
      </c>
      <c r="O85" s="95">
        <v>3319514387.4699998</v>
      </c>
      <c r="P85" s="90">
        <f t="shared" si="51"/>
        <v>1.4131390003561495E-2</v>
      </c>
      <c r="Q85" s="171" t="s">
        <v>332</v>
      </c>
      <c r="R85" s="94">
        <v>1200.24</v>
      </c>
      <c r="S85" s="171" t="s">
        <v>332</v>
      </c>
      <c r="T85" s="94">
        <v>1200.24</v>
      </c>
      <c r="U85" s="91">
        <v>325</v>
      </c>
      <c r="V85" s="92">
        <v>1.91E-3</v>
      </c>
      <c r="W85" s="92">
        <v>7.2580000000000006E-2</v>
      </c>
      <c r="X85" s="187">
        <f t="shared" ref="X85" si="58">((O85-E85)/E85)</f>
        <v>-5.4340226246166051E-2</v>
      </c>
      <c r="Y85" s="187">
        <f t="shared" si="53"/>
        <v>2.690013533608484E-3</v>
      </c>
      <c r="Z85" s="187">
        <f t="shared" ref="Z85" si="59">((U85-K85)/K85)</f>
        <v>1.8808777429467086E-2</v>
      </c>
      <c r="AA85" s="185">
        <f t="shared" si="55"/>
        <v>1.200000000000001E-4</v>
      </c>
      <c r="AB85" s="186">
        <f t="shared" si="56"/>
        <v>2.8700000000000114E-3</v>
      </c>
    </row>
    <row r="86" spans="1:28">
      <c r="A86" s="195">
        <v>75</v>
      </c>
      <c r="B86" s="83" t="s">
        <v>131</v>
      </c>
      <c r="C86" s="84" t="s">
        <v>65</v>
      </c>
      <c r="D86" s="171" t="s">
        <v>332</v>
      </c>
      <c r="E86" s="95">
        <v>198569463.25999999</v>
      </c>
      <c r="F86" s="90">
        <f t="shared" si="57"/>
        <v>8.4220507818967929E-4</v>
      </c>
      <c r="G86" s="171" t="s">
        <v>332</v>
      </c>
      <c r="H86" s="94">
        <v>12.0466</v>
      </c>
      <c r="I86" s="171" t="s">
        <v>332</v>
      </c>
      <c r="J86" s="94">
        <v>12.092000000000001</v>
      </c>
      <c r="K86" s="91">
        <v>47</v>
      </c>
      <c r="L86" s="92">
        <v>-2.1099999999999999E-3</v>
      </c>
      <c r="M86" s="92">
        <v>0.1462</v>
      </c>
      <c r="N86" s="171" t="s">
        <v>332</v>
      </c>
      <c r="O86" s="95">
        <v>198797591.74000001</v>
      </c>
      <c r="P86" s="90">
        <f t="shared" si="51"/>
        <v>8.4629435897334989E-4</v>
      </c>
      <c r="Q86" s="171" t="s">
        <v>332</v>
      </c>
      <c r="R86" s="94">
        <v>12.0532</v>
      </c>
      <c r="S86" s="171" t="s">
        <v>332</v>
      </c>
      <c r="T86" s="94">
        <v>12.1127</v>
      </c>
      <c r="U86" s="91">
        <v>47</v>
      </c>
      <c r="V86" s="92">
        <v>-2.9399999999999999E-4</v>
      </c>
      <c r="W86" s="92">
        <v>0.13933999999999999</v>
      </c>
      <c r="X86" s="187">
        <f t="shared" si="52"/>
        <v>1.1488598309867793E-3</v>
      </c>
      <c r="Y86" s="187">
        <f t="shared" si="53"/>
        <v>1.7118756202447666E-3</v>
      </c>
      <c r="Z86" s="187">
        <f t="shared" si="54"/>
        <v>0</v>
      </c>
      <c r="AA86" s="185">
        <f t="shared" si="55"/>
        <v>1.8159999999999999E-3</v>
      </c>
      <c r="AB86" s="186">
        <f t="shared" si="56"/>
        <v>-6.860000000000005E-3</v>
      </c>
    </row>
    <row r="87" spans="1:28">
      <c r="A87" s="195">
        <v>76</v>
      </c>
      <c r="B87" s="83" t="s">
        <v>132</v>
      </c>
      <c r="C87" s="84" t="s">
        <v>67</v>
      </c>
      <c r="D87" s="171" t="s">
        <v>332</v>
      </c>
      <c r="E87" s="95">
        <v>2111392406.9238999</v>
      </c>
      <c r="F87" s="90">
        <f t="shared" si="57"/>
        <v>8.9551806101932762E-3</v>
      </c>
      <c r="G87" s="171" t="s">
        <v>332</v>
      </c>
      <c r="H87" s="95">
        <v>4957.3844450987899</v>
      </c>
      <c r="I87" s="171" t="s">
        <v>332</v>
      </c>
      <c r="J87" s="95">
        <v>4957.3844450987899</v>
      </c>
      <c r="K87" s="91">
        <v>1230</v>
      </c>
      <c r="L87" s="92">
        <v>0.1305</v>
      </c>
      <c r="M87" s="92">
        <v>0.12989999999999999</v>
      </c>
      <c r="N87" s="171" t="s">
        <v>332</v>
      </c>
      <c r="O87" s="95">
        <v>2108480541.6954701</v>
      </c>
      <c r="P87" s="90">
        <f t="shared" si="51"/>
        <v>8.97593966216499E-3</v>
      </c>
      <c r="Q87" s="171" t="s">
        <v>332</v>
      </c>
      <c r="R87" s="95">
        <v>4969.1446410396102</v>
      </c>
      <c r="S87" s="171" t="s">
        <v>332</v>
      </c>
      <c r="T87" s="95">
        <v>4969.1446410396102</v>
      </c>
      <c r="U87" s="91">
        <v>1231</v>
      </c>
      <c r="V87" s="92">
        <v>0.1236963208533204</v>
      </c>
      <c r="W87" s="92">
        <v>0.12988845387723916</v>
      </c>
      <c r="X87" s="187">
        <f t="shared" si="52"/>
        <v>-1.3791208204031139E-3</v>
      </c>
      <c r="Y87" s="187">
        <f t="shared" si="53"/>
        <v>2.3722582081458707E-3</v>
      </c>
      <c r="Z87" s="187">
        <f t="shared" si="54"/>
        <v>8.1300813008130081E-4</v>
      </c>
      <c r="AA87" s="185">
        <f t="shared" si="55"/>
        <v>-6.8036791466796059E-3</v>
      </c>
      <c r="AB87" s="186">
        <f t="shared" si="56"/>
        <v>-1.1546122760830446E-5</v>
      </c>
    </row>
    <row r="88" spans="1:28">
      <c r="A88" s="195">
        <v>77</v>
      </c>
      <c r="B88" s="83" t="s">
        <v>133</v>
      </c>
      <c r="C88" s="84" t="s">
        <v>69</v>
      </c>
      <c r="D88" s="171" t="s">
        <v>332</v>
      </c>
      <c r="E88" s="95">
        <v>381412295.01999998</v>
      </c>
      <c r="F88" s="90">
        <f t="shared" si="57"/>
        <v>1.6177078110405127E-3</v>
      </c>
      <c r="G88" s="171" t="s">
        <v>332</v>
      </c>
      <c r="H88" s="115">
        <v>116.53</v>
      </c>
      <c r="I88" s="171" t="s">
        <v>332</v>
      </c>
      <c r="J88" s="115">
        <v>116.53</v>
      </c>
      <c r="K88" s="91">
        <v>97</v>
      </c>
      <c r="L88" s="92">
        <v>1.8E-3</v>
      </c>
      <c r="M88" s="92">
        <v>0.1202</v>
      </c>
      <c r="N88" s="171" t="s">
        <v>332</v>
      </c>
      <c r="O88" s="95">
        <v>385679037.73000002</v>
      </c>
      <c r="P88" s="90">
        <f t="shared" si="51"/>
        <v>1.6418609055991614E-3</v>
      </c>
      <c r="Q88" s="171" t="s">
        <v>332</v>
      </c>
      <c r="R88" s="115">
        <v>116.76</v>
      </c>
      <c r="S88" s="171" t="s">
        <v>332</v>
      </c>
      <c r="T88" s="115">
        <v>116.76</v>
      </c>
      <c r="U88" s="91">
        <v>97</v>
      </c>
      <c r="V88" s="92">
        <v>2E-3</v>
      </c>
      <c r="W88" s="92">
        <v>0.1202</v>
      </c>
      <c r="X88" s="187">
        <f t="shared" si="52"/>
        <v>1.1186694203909458E-2</v>
      </c>
      <c r="Y88" s="187">
        <f t="shared" si="53"/>
        <v>1.9737406676392688E-3</v>
      </c>
      <c r="Z88" s="187">
        <f t="shared" si="54"/>
        <v>0</v>
      </c>
      <c r="AA88" s="185">
        <f t="shared" si="55"/>
        <v>2.0000000000000009E-4</v>
      </c>
      <c r="AB88" s="186">
        <f t="shared" si="56"/>
        <v>0</v>
      </c>
    </row>
    <row r="89" spans="1:28" ht="13.5" customHeight="1">
      <c r="A89" s="195">
        <v>78</v>
      </c>
      <c r="B89" s="83" t="s">
        <v>134</v>
      </c>
      <c r="C89" s="84" t="s">
        <v>71</v>
      </c>
      <c r="D89" s="171" t="s">
        <v>332</v>
      </c>
      <c r="E89" s="95">
        <v>1128818358.8199999</v>
      </c>
      <c r="F89" s="90">
        <f t="shared" si="57"/>
        <v>4.7877278738832785E-3</v>
      </c>
      <c r="G89" s="171" t="s">
        <v>332</v>
      </c>
      <c r="H89" s="115">
        <v>1.5599000000000001</v>
      </c>
      <c r="I89" s="171" t="s">
        <v>332</v>
      </c>
      <c r="J89" s="115">
        <v>1.5599000000000001</v>
      </c>
      <c r="K89" s="91">
        <v>2782</v>
      </c>
      <c r="L89" s="92">
        <v>-1E-4</v>
      </c>
      <c r="M89" s="92">
        <v>7.1199999999999999E-2</v>
      </c>
      <c r="N89" s="171" t="s">
        <v>332</v>
      </c>
      <c r="O89" s="95">
        <v>1113044646.1199999</v>
      </c>
      <c r="P89" s="90">
        <f t="shared" si="51"/>
        <v>4.7383039052545633E-3</v>
      </c>
      <c r="Q89" s="171" t="s">
        <v>332</v>
      </c>
      <c r="R89" s="115">
        <v>1.5657000000000001</v>
      </c>
      <c r="S89" s="171" t="s">
        <v>332</v>
      </c>
      <c r="T89" s="115">
        <v>1.5657000000000001</v>
      </c>
      <c r="U89" s="91">
        <v>2782</v>
      </c>
      <c r="V89" s="92">
        <v>3.7181870632732039E-3</v>
      </c>
      <c r="W89" s="92">
        <v>7.512554402410454E-2</v>
      </c>
      <c r="X89" s="187">
        <f t="shared" si="52"/>
        <v>-1.3973650035678863E-2</v>
      </c>
      <c r="Y89" s="187">
        <f t="shared" si="53"/>
        <v>3.7181870632733041E-3</v>
      </c>
      <c r="Z89" s="187">
        <f t="shared" si="54"/>
        <v>0</v>
      </c>
      <c r="AA89" s="185">
        <f t="shared" si="55"/>
        <v>3.8181870632732037E-3</v>
      </c>
      <c r="AB89" s="186">
        <f t="shared" si="56"/>
        <v>3.9255440241045408E-3</v>
      </c>
    </row>
    <row r="90" spans="1:28" ht="13.5" customHeight="1">
      <c r="A90" s="195">
        <v>79</v>
      </c>
      <c r="B90" s="83" t="s">
        <v>135</v>
      </c>
      <c r="C90" s="84" t="s">
        <v>71</v>
      </c>
      <c r="D90" s="171" t="s">
        <v>332</v>
      </c>
      <c r="E90" s="95">
        <v>172317680.30000001</v>
      </c>
      <c r="F90" s="90">
        <f t="shared" si="57"/>
        <v>7.3086174997865413E-4</v>
      </c>
      <c r="G90" s="171" t="s">
        <v>332</v>
      </c>
      <c r="H90" s="115">
        <v>1.0573999999999999</v>
      </c>
      <c r="I90" s="171" t="s">
        <v>332</v>
      </c>
      <c r="J90" s="115">
        <v>1.0573999999999999</v>
      </c>
      <c r="K90" s="91">
        <v>100</v>
      </c>
      <c r="L90" s="92">
        <v>2.9999999999999997E-4</v>
      </c>
      <c r="M90" s="92">
        <v>0.13</v>
      </c>
      <c r="N90" s="171" t="s">
        <v>332</v>
      </c>
      <c r="O90" s="95">
        <v>173134771.59999999</v>
      </c>
      <c r="P90" s="90">
        <f t="shared" si="51"/>
        <v>7.3704605405306572E-4</v>
      </c>
      <c r="Q90" s="171" t="s">
        <v>332</v>
      </c>
      <c r="R90" s="115">
        <v>1.0499000000000001</v>
      </c>
      <c r="S90" s="171" t="s">
        <v>332</v>
      </c>
      <c r="T90" s="115">
        <v>1.0499000000000001</v>
      </c>
      <c r="U90" s="91">
        <v>100</v>
      </c>
      <c r="V90" s="92">
        <v>3.6325399101424516E-3</v>
      </c>
      <c r="W90" s="92">
        <v>0.13384630960818078</v>
      </c>
      <c r="X90" s="187">
        <f t="shared" ref="X90" si="60">((O90-E90)/E90)</f>
        <v>4.7417728614814808E-3</v>
      </c>
      <c r="Y90" s="187">
        <f t="shared" ref="Y90" si="61">((T90-J90)/J90)</f>
        <v>-7.0928693020615103E-3</v>
      </c>
      <c r="Z90" s="187">
        <f t="shared" ref="Z90" si="62">((U90-K90)/K90)</f>
        <v>0</v>
      </c>
      <c r="AA90" s="185">
        <f t="shared" ref="AA90" si="63">V90-L90</f>
        <v>3.3325399101424517E-3</v>
      </c>
      <c r="AB90" s="186">
        <f t="shared" ref="AB90" si="64">W90-M90</f>
        <v>3.8463096081807757E-3</v>
      </c>
    </row>
    <row r="91" spans="1:28">
      <c r="A91" s="195">
        <v>80</v>
      </c>
      <c r="B91" s="83" t="s">
        <v>136</v>
      </c>
      <c r="C91" s="84" t="s">
        <v>29</v>
      </c>
      <c r="D91" s="171" t="s">
        <v>332</v>
      </c>
      <c r="E91" s="95">
        <v>237856003.19</v>
      </c>
      <c r="F91" s="90">
        <f t="shared" si="57"/>
        <v>1.0088335360116365E-3</v>
      </c>
      <c r="G91" s="171" t="s">
        <v>332</v>
      </c>
      <c r="H91" s="115">
        <v>146.84639999999999</v>
      </c>
      <c r="I91" s="171" t="s">
        <v>332</v>
      </c>
      <c r="J91" s="115">
        <v>146.84639999999999</v>
      </c>
      <c r="K91" s="91">
        <v>462</v>
      </c>
      <c r="L91" s="92">
        <v>4.2499999999999998E-4</v>
      </c>
      <c r="M91" s="92">
        <v>8.8300000000000003E-2</v>
      </c>
      <c r="N91" s="171" t="s">
        <v>332</v>
      </c>
      <c r="O91" s="95">
        <v>241915751.69999999</v>
      </c>
      <c r="P91" s="90">
        <f t="shared" si="51"/>
        <v>1.0298511879272103E-3</v>
      </c>
      <c r="Q91" s="171" t="s">
        <v>332</v>
      </c>
      <c r="R91" s="115">
        <v>147.3648</v>
      </c>
      <c r="S91" s="171" t="s">
        <v>332</v>
      </c>
      <c r="T91" s="115">
        <v>147.3648</v>
      </c>
      <c r="U91" s="91">
        <v>478</v>
      </c>
      <c r="V91" s="92">
        <v>6.29E-4</v>
      </c>
      <c r="W91" s="92">
        <v>8.3500000000000005E-2</v>
      </c>
      <c r="X91" s="187">
        <f t="shared" si="52"/>
        <v>1.7068093533704309E-2</v>
      </c>
      <c r="Y91" s="187">
        <f t="shared" si="53"/>
        <v>3.5302193312196552E-3</v>
      </c>
      <c r="Z91" s="187">
        <f t="shared" si="54"/>
        <v>3.4632034632034632E-2</v>
      </c>
      <c r="AA91" s="185">
        <f t="shared" si="55"/>
        <v>2.0400000000000003E-4</v>
      </c>
      <c r="AB91" s="186">
        <f t="shared" si="56"/>
        <v>-4.7999999999999987E-3</v>
      </c>
    </row>
    <row r="92" spans="1:28">
      <c r="A92" s="195">
        <v>81</v>
      </c>
      <c r="B92" s="83" t="s">
        <v>137</v>
      </c>
      <c r="C92" s="84" t="s">
        <v>73</v>
      </c>
      <c r="D92" s="171" t="s">
        <v>332</v>
      </c>
      <c r="E92" s="95">
        <v>2719228645.8200002</v>
      </c>
      <c r="F92" s="90">
        <f t="shared" si="57"/>
        <v>1.1533234449396723E-2</v>
      </c>
      <c r="G92" s="171" t="s">
        <v>332</v>
      </c>
      <c r="H92" s="94">
        <v>1360.9640179999999</v>
      </c>
      <c r="I92" s="171" t="s">
        <v>332</v>
      </c>
      <c r="J92" s="94">
        <v>1360.9640179999999</v>
      </c>
      <c r="K92" s="91">
        <v>324</v>
      </c>
      <c r="L92" s="92">
        <v>3.8999999999999998E-3</v>
      </c>
      <c r="M92" s="92">
        <v>0.21279999999999999</v>
      </c>
      <c r="N92" s="171" t="s">
        <v>332</v>
      </c>
      <c r="O92" s="95">
        <v>2733032723.8200002</v>
      </c>
      <c r="P92" s="90">
        <f t="shared" si="51"/>
        <v>1.1634699177258933E-2</v>
      </c>
      <c r="Q92" s="171" t="s">
        <v>332</v>
      </c>
      <c r="R92" s="94">
        <v>1366.6036240000001</v>
      </c>
      <c r="S92" s="171" t="s">
        <v>332</v>
      </c>
      <c r="T92" s="94">
        <v>1366.6036240000001</v>
      </c>
      <c r="U92" s="91">
        <v>327</v>
      </c>
      <c r="V92" s="92">
        <v>4.1399999999999996E-3</v>
      </c>
      <c r="W92" s="92">
        <v>0.2155</v>
      </c>
      <c r="X92" s="187">
        <f t="shared" si="52"/>
        <v>5.0764682922929769E-3</v>
      </c>
      <c r="Y92" s="187">
        <f t="shared" si="53"/>
        <v>4.1438318173083293E-3</v>
      </c>
      <c r="Z92" s="187">
        <f t="shared" si="54"/>
        <v>9.2592592592592587E-3</v>
      </c>
      <c r="AA92" s="185">
        <f t="shared" si="55"/>
        <v>2.3999999999999976E-4</v>
      </c>
      <c r="AB92" s="186">
        <f t="shared" si="56"/>
        <v>2.7000000000000079E-3</v>
      </c>
    </row>
    <row r="93" spans="1:28">
      <c r="A93" s="195">
        <v>82</v>
      </c>
      <c r="B93" s="83" t="s">
        <v>138</v>
      </c>
      <c r="C93" s="84" t="s">
        <v>75</v>
      </c>
      <c r="D93" s="171" t="s">
        <v>332</v>
      </c>
      <c r="E93" s="95">
        <v>148773429.21000001</v>
      </c>
      <c r="F93" s="90">
        <f t="shared" si="57"/>
        <v>6.3100204595051073E-4</v>
      </c>
      <c r="G93" s="171" t="s">
        <v>332</v>
      </c>
      <c r="H93" s="94">
        <v>1017.73</v>
      </c>
      <c r="I93" s="171" t="s">
        <v>332</v>
      </c>
      <c r="J93" s="94">
        <v>1031.97</v>
      </c>
      <c r="K93" s="91">
        <v>72</v>
      </c>
      <c r="L93" s="92">
        <v>2.2000000000000001E-3</v>
      </c>
      <c r="M93" s="92">
        <v>4.6300000000000001E-2</v>
      </c>
      <c r="N93" s="171" t="s">
        <v>332</v>
      </c>
      <c r="O93" s="95">
        <v>148194011.81</v>
      </c>
      <c r="P93" s="90">
        <f t="shared" si="51"/>
        <v>6.308716073002514E-4</v>
      </c>
      <c r="Q93" s="171" t="s">
        <v>332</v>
      </c>
      <c r="R93" s="94">
        <v>1016</v>
      </c>
      <c r="S93" s="171" t="s">
        <v>332</v>
      </c>
      <c r="T93" s="94">
        <v>1031.3499999999999</v>
      </c>
      <c r="U93" s="91">
        <v>72</v>
      </c>
      <c r="V93" s="92">
        <v>-1.8E-3</v>
      </c>
      <c r="W93" s="92">
        <v>4.4400000000000002E-2</v>
      </c>
      <c r="X93" s="187">
        <f t="shared" si="52"/>
        <v>-3.8946295926413966E-3</v>
      </c>
      <c r="Y93" s="187">
        <f t="shared" si="53"/>
        <v>-6.0079265870143341E-4</v>
      </c>
      <c r="Z93" s="187">
        <f t="shared" si="54"/>
        <v>0</v>
      </c>
      <c r="AA93" s="185">
        <f t="shared" si="55"/>
        <v>-4.0000000000000001E-3</v>
      </c>
      <c r="AB93" s="186">
        <f t="shared" si="56"/>
        <v>-1.8999999999999989E-3</v>
      </c>
    </row>
    <row r="94" spans="1:28">
      <c r="A94" s="195">
        <v>83</v>
      </c>
      <c r="B94" s="83" t="s">
        <v>139</v>
      </c>
      <c r="C94" s="84" t="s">
        <v>78</v>
      </c>
      <c r="D94" s="171" t="s">
        <v>332</v>
      </c>
      <c r="E94" s="95">
        <v>764613046.80999994</v>
      </c>
      <c r="F94" s="90">
        <f t="shared" si="57"/>
        <v>3.2430011155858574E-3</v>
      </c>
      <c r="G94" s="171" t="s">
        <v>332</v>
      </c>
      <c r="H94" s="116">
        <v>1.2433000000000001</v>
      </c>
      <c r="I94" s="171" t="s">
        <v>332</v>
      </c>
      <c r="J94" s="116">
        <v>1.2433000000000001</v>
      </c>
      <c r="K94" s="91">
        <v>68</v>
      </c>
      <c r="L94" s="92">
        <v>0</v>
      </c>
      <c r="M94" s="92">
        <v>0.1507</v>
      </c>
      <c r="N94" s="171" t="s">
        <v>332</v>
      </c>
      <c r="O94" s="95">
        <v>764613046.80999994</v>
      </c>
      <c r="P94" s="90">
        <f t="shared" si="51"/>
        <v>3.2550077827855723E-3</v>
      </c>
      <c r="Q94" s="171" t="s">
        <v>332</v>
      </c>
      <c r="R94" s="116">
        <v>1.2472700000000001</v>
      </c>
      <c r="S94" s="171" t="s">
        <v>332</v>
      </c>
      <c r="T94" s="116">
        <v>1.2472700000000001</v>
      </c>
      <c r="U94" s="91">
        <v>67</v>
      </c>
      <c r="V94" s="92">
        <v>0</v>
      </c>
      <c r="W94" s="92">
        <v>0.14899999999999999</v>
      </c>
      <c r="X94" s="187">
        <f t="shared" si="52"/>
        <v>0</v>
      </c>
      <c r="Y94" s="187">
        <f t="shared" si="53"/>
        <v>3.1931150969195118E-3</v>
      </c>
      <c r="Z94" s="187">
        <f t="shared" si="54"/>
        <v>-1.4705882352941176E-2</v>
      </c>
      <c r="AA94" s="185">
        <f t="shared" si="55"/>
        <v>0</v>
      </c>
      <c r="AB94" s="186">
        <f t="shared" si="56"/>
        <v>-1.7000000000000071E-3</v>
      </c>
    </row>
    <row r="95" spans="1:28">
      <c r="A95" s="195">
        <v>84</v>
      </c>
      <c r="B95" s="83" t="s">
        <v>324</v>
      </c>
      <c r="C95" s="84" t="s">
        <v>79</v>
      </c>
      <c r="D95" s="171" t="s">
        <v>332</v>
      </c>
      <c r="E95" s="116">
        <v>11477109664.450001</v>
      </c>
      <c r="F95" s="90">
        <f t="shared" si="57"/>
        <v>4.8678582716835998E-2</v>
      </c>
      <c r="G95" s="171" t="s">
        <v>332</v>
      </c>
      <c r="H95" s="116">
        <v>1720.6</v>
      </c>
      <c r="I95" s="171" t="s">
        <v>332</v>
      </c>
      <c r="J95" s="116">
        <v>1720.6</v>
      </c>
      <c r="K95" s="91">
        <v>2036</v>
      </c>
      <c r="L95" s="92">
        <v>2E-3</v>
      </c>
      <c r="M95" s="92">
        <v>3.2599999999999997E-2</v>
      </c>
      <c r="N95" s="171" t="s">
        <v>332</v>
      </c>
      <c r="O95" s="116">
        <v>11533180698.690001</v>
      </c>
      <c r="P95" s="90">
        <f t="shared" si="51"/>
        <v>4.9097505059754527E-2</v>
      </c>
      <c r="Q95" s="171" t="s">
        <v>332</v>
      </c>
      <c r="R95" s="116">
        <v>1724.21</v>
      </c>
      <c r="S95" s="171" t="s">
        <v>332</v>
      </c>
      <c r="T95" s="116">
        <v>1724.21</v>
      </c>
      <c r="U95" s="91">
        <v>2039</v>
      </c>
      <c r="V95" s="92">
        <v>1.8E-3</v>
      </c>
      <c r="W95" s="92">
        <v>3.4799999999999998E-2</v>
      </c>
      <c r="X95" s="187">
        <f t="shared" si="52"/>
        <v>4.8854664527322672E-3</v>
      </c>
      <c r="Y95" s="187">
        <f t="shared" si="53"/>
        <v>2.0981053121005041E-3</v>
      </c>
      <c r="Z95" s="187">
        <f t="shared" si="54"/>
        <v>1.4734774066797642E-3</v>
      </c>
      <c r="AA95" s="185">
        <f t="shared" si="55"/>
        <v>-2.0000000000000009E-4</v>
      </c>
      <c r="AB95" s="186">
        <f t="shared" si="56"/>
        <v>2.2000000000000006E-3</v>
      </c>
    </row>
    <row r="96" spans="1:28">
      <c r="A96" s="195">
        <v>85</v>
      </c>
      <c r="B96" s="83" t="s">
        <v>140</v>
      </c>
      <c r="C96" s="84" t="s">
        <v>87</v>
      </c>
      <c r="D96" s="171" t="s">
        <v>332</v>
      </c>
      <c r="E96" s="95">
        <v>23848867.690000001</v>
      </c>
      <c r="F96" s="90">
        <f t="shared" si="57"/>
        <v>1.0115169345697595E-4</v>
      </c>
      <c r="G96" s="171" t="s">
        <v>332</v>
      </c>
      <c r="H96" s="115">
        <v>0.72850000000000004</v>
      </c>
      <c r="I96" s="171" t="s">
        <v>332</v>
      </c>
      <c r="J96" s="115">
        <v>0.72850000000000004</v>
      </c>
      <c r="K96" s="91">
        <v>744</v>
      </c>
      <c r="L96" s="92">
        <v>1.4E-3</v>
      </c>
      <c r="M96" s="92">
        <v>2.3199999999999998E-2</v>
      </c>
      <c r="N96" s="171" t="s">
        <v>332</v>
      </c>
      <c r="O96" s="95">
        <v>23640369.300000001</v>
      </c>
      <c r="P96" s="90">
        <f t="shared" si="51"/>
        <v>1.0063859932872222E-4</v>
      </c>
      <c r="Q96" s="171" t="s">
        <v>332</v>
      </c>
      <c r="R96" s="115">
        <v>0.72219999999999995</v>
      </c>
      <c r="S96" s="171" t="s">
        <v>332</v>
      </c>
      <c r="T96" s="115">
        <v>0.72219999999999995</v>
      </c>
      <c r="U96" s="91">
        <v>744</v>
      </c>
      <c r="V96" s="92">
        <v>-8.6479066575155562E-3</v>
      </c>
      <c r="W96" s="92">
        <v>-9.8711269536606722E-3</v>
      </c>
      <c r="X96" s="187">
        <f t="shared" si="52"/>
        <v>-8.7424859205129241E-3</v>
      </c>
      <c r="Y96" s="187">
        <f t="shared" si="53"/>
        <v>-8.6479066575155562E-3</v>
      </c>
      <c r="Z96" s="187">
        <f t="shared" si="54"/>
        <v>0</v>
      </c>
      <c r="AA96" s="185">
        <f t="shared" si="55"/>
        <v>-1.0047906657515556E-2</v>
      </c>
      <c r="AB96" s="186">
        <f t="shared" si="56"/>
        <v>-3.3071126953660671E-2</v>
      </c>
    </row>
    <row r="97" spans="1:28">
      <c r="A97" s="195">
        <v>86</v>
      </c>
      <c r="B97" s="83" t="s">
        <v>141</v>
      </c>
      <c r="C97" s="84" t="s">
        <v>35</v>
      </c>
      <c r="D97" s="171" t="s">
        <v>332</v>
      </c>
      <c r="E97" s="95">
        <v>12377279284.809999</v>
      </c>
      <c r="F97" s="90">
        <f t="shared" si="57"/>
        <v>5.2496528402203549E-2</v>
      </c>
      <c r="G97" s="171" t="s">
        <v>332</v>
      </c>
      <c r="H97" s="115">
        <v>1</v>
      </c>
      <c r="I97" s="171" t="s">
        <v>332</v>
      </c>
      <c r="J97" s="115">
        <v>1</v>
      </c>
      <c r="K97" s="91">
        <v>5989</v>
      </c>
      <c r="L97" s="92">
        <v>0.06</v>
      </c>
      <c r="M97" s="92">
        <v>0.06</v>
      </c>
      <c r="N97" s="171" t="s">
        <v>332</v>
      </c>
      <c r="O97" s="95">
        <v>12565285246.91</v>
      </c>
      <c r="P97" s="90">
        <f t="shared" si="51"/>
        <v>5.3491241670868481E-2</v>
      </c>
      <c r="Q97" s="171" t="s">
        <v>332</v>
      </c>
      <c r="R97" s="115">
        <v>1</v>
      </c>
      <c r="S97" s="171" t="s">
        <v>332</v>
      </c>
      <c r="T97" s="115">
        <v>1</v>
      </c>
      <c r="U97" s="91">
        <v>6068</v>
      </c>
      <c r="V97" s="92">
        <v>0.06</v>
      </c>
      <c r="W97" s="92">
        <v>0.06</v>
      </c>
      <c r="X97" s="187">
        <f t="shared" si="52"/>
        <v>1.5189603286299798E-2</v>
      </c>
      <c r="Y97" s="187">
        <f t="shared" si="53"/>
        <v>0</v>
      </c>
      <c r="Z97" s="187">
        <f t="shared" si="54"/>
        <v>1.3190849891467691E-2</v>
      </c>
      <c r="AA97" s="185">
        <f t="shared" si="55"/>
        <v>0</v>
      </c>
      <c r="AB97" s="186">
        <f t="shared" si="56"/>
        <v>0</v>
      </c>
    </row>
    <row r="98" spans="1:28">
      <c r="A98" s="195">
        <v>87</v>
      </c>
      <c r="B98" s="83" t="s">
        <v>142</v>
      </c>
      <c r="C98" s="84" t="s">
        <v>143</v>
      </c>
      <c r="D98" s="171" t="s">
        <v>332</v>
      </c>
      <c r="E98" s="95">
        <v>1897354757.8199999</v>
      </c>
      <c r="F98" s="90">
        <f t="shared" si="57"/>
        <v>8.047369348382823E-3</v>
      </c>
      <c r="G98" s="171" t="s">
        <v>332</v>
      </c>
      <c r="H98" s="95">
        <v>282.70999999999998</v>
      </c>
      <c r="I98" s="171" t="s">
        <v>332</v>
      </c>
      <c r="J98" s="95">
        <v>282.70999999999998</v>
      </c>
      <c r="K98" s="91">
        <v>562</v>
      </c>
      <c r="L98" s="92">
        <v>3.0000000000000001E-3</v>
      </c>
      <c r="M98" s="92">
        <v>0.1699</v>
      </c>
      <c r="N98" s="171" t="s">
        <v>332</v>
      </c>
      <c r="O98" s="95">
        <v>1912734008.04</v>
      </c>
      <c r="P98" s="90">
        <f t="shared" si="51"/>
        <v>8.1426338571436146E-3</v>
      </c>
      <c r="Q98" s="171" t="s">
        <v>332</v>
      </c>
      <c r="R98" s="95">
        <v>283.58999999999997</v>
      </c>
      <c r="S98" s="171" t="s">
        <v>332</v>
      </c>
      <c r="T98" s="95">
        <v>283.58999999999997</v>
      </c>
      <c r="U98" s="91">
        <v>562</v>
      </c>
      <c r="V98" s="92">
        <v>3.0000000000000001E-3</v>
      </c>
      <c r="W98" s="92">
        <v>0.16980000000000001</v>
      </c>
      <c r="X98" s="187">
        <f t="shared" si="52"/>
        <v>8.1056271404248599E-3</v>
      </c>
      <c r="Y98" s="187">
        <f t="shared" si="53"/>
        <v>3.1127303597325725E-3</v>
      </c>
      <c r="Z98" s="187">
        <f t="shared" si="54"/>
        <v>0</v>
      </c>
      <c r="AA98" s="185">
        <f t="shared" si="55"/>
        <v>0</v>
      </c>
      <c r="AB98" s="186">
        <f t="shared" si="56"/>
        <v>-9.9999999999988987E-5</v>
      </c>
    </row>
    <row r="99" spans="1:28">
      <c r="A99" s="195">
        <v>88</v>
      </c>
      <c r="B99" s="83" t="s">
        <v>318</v>
      </c>
      <c r="C99" s="84" t="s">
        <v>38</v>
      </c>
      <c r="D99" s="171" t="s">
        <v>332</v>
      </c>
      <c r="E99" s="95">
        <v>1152371419.4100001</v>
      </c>
      <c r="F99" s="90">
        <f t="shared" si="57"/>
        <v>4.8876249421945022E-3</v>
      </c>
      <c r="G99" s="171" t="s">
        <v>332</v>
      </c>
      <c r="H99" s="115">
        <v>3.81</v>
      </c>
      <c r="I99" s="171" t="s">
        <v>332</v>
      </c>
      <c r="J99" s="115">
        <v>3.84</v>
      </c>
      <c r="K99" s="109">
        <v>810</v>
      </c>
      <c r="L99" s="110">
        <v>2.3E-3</v>
      </c>
      <c r="M99" s="110">
        <v>0.16969999999999999</v>
      </c>
      <c r="N99" s="171" t="s">
        <v>332</v>
      </c>
      <c r="O99" s="95">
        <v>1155676743.6400001</v>
      </c>
      <c r="P99" s="90">
        <f t="shared" si="51"/>
        <v>4.9197915345894532E-3</v>
      </c>
      <c r="Q99" s="171" t="s">
        <v>332</v>
      </c>
      <c r="R99" s="115">
        <v>3.82</v>
      </c>
      <c r="S99" s="171" t="s">
        <v>332</v>
      </c>
      <c r="T99" s="115">
        <v>3.85</v>
      </c>
      <c r="U99" s="109">
        <v>810</v>
      </c>
      <c r="V99" s="110">
        <v>4.7000000000000002E-3</v>
      </c>
      <c r="W99" s="110">
        <v>0.16789999999999999</v>
      </c>
      <c r="X99" s="187">
        <f t="shared" si="52"/>
        <v>2.8682802908217772E-3</v>
      </c>
      <c r="Y99" s="187">
        <f t="shared" si="53"/>
        <v>2.6041666666667268E-3</v>
      </c>
      <c r="Z99" s="187">
        <f t="shared" si="54"/>
        <v>0</v>
      </c>
      <c r="AA99" s="185">
        <f t="shared" si="55"/>
        <v>2.4000000000000002E-3</v>
      </c>
      <c r="AB99" s="186">
        <f t="shared" si="56"/>
        <v>-1.799999999999996E-3</v>
      </c>
    </row>
    <row r="100" spans="1:28">
      <c r="A100" s="195">
        <v>89</v>
      </c>
      <c r="B100" s="83" t="s">
        <v>144</v>
      </c>
      <c r="C100" s="84" t="s">
        <v>40</v>
      </c>
      <c r="D100" s="171" t="s">
        <v>332</v>
      </c>
      <c r="E100" s="95">
        <v>779828098.63</v>
      </c>
      <c r="F100" s="90">
        <f t="shared" si="57"/>
        <v>3.3075336660462707E-3</v>
      </c>
      <c r="G100" s="171" t="s">
        <v>332</v>
      </c>
      <c r="H100" s="115">
        <v>113.94289000000001</v>
      </c>
      <c r="I100" s="171" t="s">
        <v>332</v>
      </c>
      <c r="J100" s="115">
        <v>113.94289000000001</v>
      </c>
      <c r="K100" s="109">
        <v>256</v>
      </c>
      <c r="L100" s="110">
        <v>0.14729999999999999</v>
      </c>
      <c r="M100" s="110">
        <v>0.16969999999999999</v>
      </c>
      <c r="N100" s="171" t="s">
        <v>332</v>
      </c>
      <c r="O100" s="95">
        <v>785289564.64999998</v>
      </c>
      <c r="P100" s="90">
        <f t="shared" si="51"/>
        <v>3.3430290724704563E-3</v>
      </c>
      <c r="Q100" s="171" t="s">
        <v>332</v>
      </c>
      <c r="R100" s="115">
        <v>114.37</v>
      </c>
      <c r="S100" s="171" t="s">
        <v>332</v>
      </c>
      <c r="T100" s="115">
        <v>114.37</v>
      </c>
      <c r="U100" s="109">
        <v>257</v>
      </c>
      <c r="V100" s="110">
        <v>0.14660000000000001</v>
      </c>
      <c r="W100" s="110">
        <v>0.16800000000000001</v>
      </c>
      <c r="X100" s="187">
        <f t="shared" si="52"/>
        <v>7.003422971799388E-3</v>
      </c>
      <c r="Y100" s="187">
        <f t="shared" si="53"/>
        <v>3.7484567926967536E-3</v>
      </c>
      <c r="Z100" s="187">
        <f t="shared" si="54"/>
        <v>3.90625E-3</v>
      </c>
      <c r="AA100" s="185">
        <f t="shared" si="55"/>
        <v>-6.9999999999997842E-4</v>
      </c>
      <c r="AB100" s="186">
        <f t="shared" si="56"/>
        <v>-1.6999999999999793E-3</v>
      </c>
    </row>
    <row r="101" spans="1:28">
      <c r="A101" s="195">
        <v>90</v>
      </c>
      <c r="B101" s="84" t="s">
        <v>145</v>
      </c>
      <c r="C101" s="117" t="s">
        <v>44</v>
      </c>
      <c r="D101" s="171" t="s">
        <v>332</v>
      </c>
      <c r="E101" s="95">
        <v>1190299613.96</v>
      </c>
      <c r="F101" s="90">
        <f t="shared" si="57"/>
        <v>5.0484921648386539E-3</v>
      </c>
      <c r="G101" s="171" t="s">
        <v>332</v>
      </c>
      <c r="H101" s="115">
        <v>115.49</v>
      </c>
      <c r="I101" s="171" t="s">
        <v>332</v>
      </c>
      <c r="J101" s="115">
        <v>115.77</v>
      </c>
      <c r="K101" s="91">
        <v>3452</v>
      </c>
      <c r="L101" s="92">
        <v>-2.9999999999999997E-4</v>
      </c>
      <c r="M101" s="92">
        <v>4.48E-2</v>
      </c>
      <c r="N101" s="171" t="s">
        <v>332</v>
      </c>
      <c r="O101" s="95">
        <v>1199489776.1800001</v>
      </c>
      <c r="P101" s="90">
        <f t="shared" si="51"/>
        <v>5.1063064815945036E-3</v>
      </c>
      <c r="Q101" s="171" t="s">
        <v>332</v>
      </c>
      <c r="R101" s="115">
        <v>115.69</v>
      </c>
      <c r="S101" s="171" t="s">
        <v>332</v>
      </c>
      <c r="T101" s="115">
        <v>116.03</v>
      </c>
      <c r="U101" s="91">
        <v>3535</v>
      </c>
      <c r="V101" s="92">
        <v>3.5999999999999999E-3</v>
      </c>
      <c r="W101" s="92">
        <v>4.6600000000000003E-2</v>
      </c>
      <c r="X101" s="187">
        <f t="shared" si="52"/>
        <v>7.7208814589339722E-3</v>
      </c>
      <c r="Y101" s="187">
        <f t="shared" si="53"/>
        <v>2.2458322536063327E-3</v>
      </c>
      <c r="Z101" s="187">
        <f t="shared" si="54"/>
        <v>2.4044032444959444E-2</v>
      </c>
      <c r="AA101" s="185">
        <f t="shared" si="55"/>
        <v>3.8999999999999998E-3</v>
      </c>
      <c r="AB101" s="186">
        <f t="shared" si="56"/>
        <v>1.800000000000003E-3</v>
      </c>
    </row>
    <row r="102" spans="1:28">
      <c r="A102" s="195">
        <v>91</v>
      </c>
      <c r="B102" s="83" t="s">
        <v>146</v>
      </c>
      <c r="C102" s="84" t="s">
        <v>19</v>
      </c>
      <c r="D102" s="171" t="s">
        <v>332</v>
      </c>
      <c r="E102" s="96">
        <v>1722297280.8099999</v>
      </c>
      <c r="F102" s="86">
        <f t="shared" si="57"/>
        <v>7.3048871273383434E-3</v>
      </c>
      <c r="G102" s="171" t="s">
        <v>332</v>
      </c>
      <c r="H102" s="118">
        <v>404.6798</v>
      </c>
      <c r="I102" s="171" t="s">
        <v>332</v>
      </c>
      <c r="J102" s="118">
        <v>404.6798</v>
      </c>
      <c r="K102" s="87">
        <v>96</v>
      </c>
      <c r="L102" s="88">
        <v>1.8E-3</v>
      </c>
      <c r="M102" s="88">
        <v>5.2499999999999998E-2</v>
      </c>
      <c r="N102" s="171" t="s">
        <v>332</v>
      </c>
      <c r="O102" s="96">
        <v>1706619979.1700001</v>
      </c>
      <c r="P102" s="86">
        <f t="shared" si="51"/>
        <v>7.265192946460523E-3</v>
      </c>
      <c r="Q102" s="171" t="s">
        <v>332</v>
      </c>
      <c r="R102" s="118">
        <v>400.38659999999999</v>
      </c>
      <c r="S102" s="171" t="s">
        <v>332</v>
      </c>
      <c r="T102" s="118">
        <v>400.38659999999999</v>
      </c>
      <c r="U102" s="87">
        <v>96</v>
      </c>
      <c r="V102" s="88">
        <v>-1.06E-2</v>
      </c>
      <c r="W102" s="88">
        <v>4.1500000000000002E-2</v>
      </c>
      <c r="X102" s="185">
        <f t="shared" si="52"/>
        <v>-9.1025526282122442E-3</v>
      </c>
      <c r="Y102" s="185">
        <f t="shared" si="53"/>
        <v>-1.0608881392152544E-2</v>
      </c>
      <c r="Z102" s="185">
        <f t="shared" si="54"/>
        <v>0</v>
      </c>
      <c r="AA102" s="185">
        <f t="shared" si="55"/>
        <v>-1.24E-2</v>
      </c>
      <c r="AB102" s="186">
        <f t="shared" si="56"/>
        <v>-1.0999999999999996E-2</v>
      </c>
    </row>
    <row r="103" spans="1:28">
      <c r="A103" s="195">
        <v>92</v>
      </c>
      <c r="B103" s="83" t="s">
        <v>147</v>
      </c>
      <c r="C103" s="84" t="s">
        <v>98</v>
      </c>
      <c r="D103" s="171" t="s">
        <v>332</v>
      </c>
      <c r="E103" s="106">
        <v>5745395499</v>
      </c>
      <c r="F103" s="90">
        <f>(E103/$O$76)</f>
        <v>1.0040884360795793E-3</v>
      </c>
      <c r="G103" s="171" t="s">
        <v>332</v>
      </c>
      <c r="H103" s="115">
        <v>104.09</v>
      </c>
      <c r="I103" s="171" t="s">
        <v>332</v>
      </c>
      <c r="J103" s="115">
        <v>104.09</v>
      </c>
      <c r="K103" s="91">
        <v>500</v>
      </c>
      <c r="L103" s="92">
        <v>3.2000000000000002E-3</v>
      </c>
      <c r="M103" s="92">
        <v>0.14410000000000001</v>
      </c>
      <c r="N103" s="171" t="s">
        <v>332</v>
      </c>
      <c r="O103" s="106">
        <v>5704712219</v>
      </c>
      <c r="P103" s="90">
        <f t="shared" si="51"/>
        <v>2.4285333279188952E-2</v>
      </c>
      <c r="Q103" s="171" t="s">
        <v>332</v>
      </c>
      <c r="R103" s="115">
        <v>104.42</v>
      </c>
      <c r="S103" s="198" t="s">
        <v>332</v>
      </c>
      <c r="T103" s="115">
        <v>104.42</v>
      </c>
      <c r="U103" s="91">
        <v>501</v>
      </c>
      <c r="V103" s="92">
        <v>3.2000000000000002E-3</v>
      </c>
      <c r="W103" s="92">
        <v>0.1444</v>
      </c>
      <c r="X103" s="187">
        <f t="shared" si="52"/>
        <v>-7.0810234051043178E-3</v>
      </c>
      <c r="Y103" s="187">
        <f t="shared" si="53"/>
        <v>3.1703333653568862E-3</v>
      </c>
      <c r="Z103" s="187">
        <f t="shared" si="54"/>
        <v>2E-3</v>
      </c>
      <c r="AA103" s="185">
        <f t="shared" si="55"/>
        <v>0</v>
      </c>
      <c r="AB103" s="186">
        <f t="shared" si="56"/>
        <v>2.9999999999999472E-4</v>
      </c>
    </row>
    <row r="104" spans="1:28">
      <c r="A104" s="195">
        <v>93</v>
      </c>
      <c r="B104" s="83" t="s">
        <v>148</v>
      </c>
      <c r="C104" s="84" t="s">
        <v>42</v>
      </c>
      <c r="D104" s="171" t="s">
        <v>332</v>
      </c>
      <c r="E104" s="95">
        <v>60408529.029999994</v>
      </c>
      <c r="F104" s="90">
        <f t="shared" ref="F104:F116" si="65">(E104/$E$117)</f>
        <v>2.5621447064304591E-4</v>
      </c>
      <c r="G104" s="171" t="s">
        <v>332</v>
      </c>
      <c r="H104" s="95">
        <v>12.539512</v>
      </c>
      <c r="I104" s="171" t="s">
        <v>332</v>
      </c>
      <c r="J104" s="95">
        <v>13.369811</v>
      </c>
      <c r="K104" s="91">
        <v>54</v>
      </c>
      <c r="L104" s="92">
        <v>-3.0999999999999999E-3</v>
      </c>
      <c r="M104" s="92">
        <v>-5.6399999999999999E-2</v>
      </c>
      <c r="N104" s="171" t="s">
        <v>332</v>
      </c>
      <c r="O104" s="95">
        <v>60582813.75</v>
      </c>
      <c r="P104" s="90">
        <f t="shared" si="51"/>
        <v>2.5790500316730898E-4</v>
      </c>
      <c r="Q104" s="171" t="s">
        <v>332</v>
      </c>
      <c r="R104" s="95">
        <v>12.508701</v>
      </c>
      <c r="S104" s="171" t="s">
        <v>332</v>
      </c>
      <c r="T104" s="95">
        <v>13.332499</v>
      </c>
      <c r="U104" s="91">
        <v>54</v>
      </c>
      <c r="V104" s="92">
        <v>3.0999999999999999E-3</v>
      </c>
      <c r="W104" s="92">
        <v>-5.33E-2</v>
      </c>
      <c r="X104" s="187">
        <f t="shared" si="52"/>
        <v>2.8851012067096227E-3</v>
      </c>
      <c r="Y104" s="187">
        <f t="shared" si="53"/>
        <v>-2.7907649554657138E-3</v>
      </c>
      <c r="Z104" s="187">
        <f t="shared" si="54"/>
        <v>0</v>
      </c>
      <c r="AA104" s="185">
        <f t="shared" si="55"/>
        <v>6.1999999999999998E-3</v>
      </c>
      <c r="AB104" s="186">
        <f t="shared" si="56"/>
        <v>3.0999999999999986E-3</v>
      </c>
    </row>
    <row r="105" spans="1:28">
      <c r="A105" s="194">
        <v>94</v>
      </c>
      <c r="B105" s="83" t="s">
        <v>149</v>
      </c>
      <c r="C105" s="84" t="s">
        <v>150</v>
      </c>
      <c r="D105" s="171" t="s">
        <v>332</v>
      </c>
      <c r="E105" s="95">
        <v>1052992482.11</v>
      </c>
      <c r="F105" s="90">
        <f t="shared" si="65"/>
        <v>4.4661228427021792E-3</v>
      </c>
      <c r="G105" s="171" t="s">
        <v>332</v>
      </c>
      <c r="H105" s="95">
        <v>164.42</v>
      </c>
      <c r="I105" s="171" t="s">
        <v>332</v>
      </c>
      <c r="J105" s="95">
        <v>164.42</v>
      </c>
      <c r="K105" s="91">
        <v>191</v>
      </c>
      <c r="L105" s="92">
        <v>0.2278</v>
      </c>
      <c r="M105" s="92">
        <v>0.17780000000000001</v>
      </c>
      <c r="N105" s="171" t="s">
        <v>332</v>
      </c>
      <c r="O105" s="95">
        <v>1052992482.11</v>
      </c>
      <c r="P105" s="90">
        <f t="shared" si="51"/>
        <v>4.4826579127604828E-3</v>
      </c>
      <c r="Q105" s="171" t="s">
        <v>332</v>
      </c>
      <c r="R105" s="95">
        <v>164.42</v>
      </c>
      <c r="S105" s="171" t="s">
        <v>332</v>
      </c>
      <c r="T105" s="95">
        <v>164.42</v>
      </c>
      <c r="U105" s="91">
        <v>191</v>
      </c>
      <c r="V105" s="92">
        <v>0.2278</v>
      </c>
      <c r="W105" s="92">
        <v>0.17780000000000001</v>
      </c>
      <c r="X105" s="187">
        <f t="shared" si="52"/>
        <v>0</v>
      </c>
      <c r="Y105" s="187">
        <f t="shared" si="53"/>
        <v>0</v>
      </c>
      <c r="Z105" s="187">
        <f t="shared" si="54"/>
        <v>0</v>
      </c>
      <c r="AA105" s="185">
        <f t="shared" si="55"/>
        <v>0</v>
      </c>
      <c r="AB105" s="186">
        <f t="shared" si="56"/>
        <v>0</v>
      </c>
    </row>
    <row r="106" spans="1:28">
      <c r="A106" s="195">
        <v>95</v>
      </c>
      <c r="B106" s="83" t="s">
        <v>151</v>
      </c>
      <c r="C106" s="84" t="s">
        <v>152</v>
      </c>
      <c r="D106" s="171" t="s">
        <v>332</v>
      </c>
      <c r="E106" s="95">
        <v>12025200112.2265</v>
      </c>
      <c r="F106" s="90">
        <f t="shared" si="65"/>
        <v>5.1003232997127154E-2</v>
      </c>
      <c r="G106" s="171" t="s">
        <v>332</v>
      </c>
      <c r="H106" s="95">
        <v>1.0466221556475199</v>
      </c>
      <c r="I106" s="171" t="s">
        <v>332</v>
      </c>
      <c r="J106" s="95">
        <v>1.0466221556475199</v>
      </c>
      <c r="K106" s="91">
        <v>5392</v>
      </c>
      <c r="L106" s="92">
        <v>0.16020000000000001</v>
      </c>
      <c r="M106" s="92">
        <v>0.16020000000000001</v>
      </c>
      <c r="N106" s="171" t="s">
        <v>332</v>
      </c>
      <c r="O106" s="95">
        <v>12185220873.972418</v>
      </c>
      <c r="P106" s="90">
        <f t="shared" si="51"/>
        <v>5.1873282760760107E-2</v>
      </c>
      <c r="Q106" s="171" t="s">
        <v>332</v>
      </c>
      <c r="R106" s="95">
        <v>1.046622155647523</v>
      </c>
      <c r="S106" s="171" t="s">
        <v>332</v>
      </c>
      <c r="T106" s="95">
        <v>1.046622155647523</v>
      </c>
      <c r="U106" s="91">
        <v>5405</v>
      </c>
      <c r="V106" s="92">
        <v>0.16020000000000001</v>
      </c>
      <c r="W106" s="92">
        <v>0.16020000000000001</v>
      </c>
      <c r="X106" s="187">
        <f t="shared" si="52"/>
        <v>1.330711840572356E-2</v>
      </c>
      <c r="Y106" s="187">
        <f t="shared" si="53"/>
        <v>2.9701496879045212E-15</v>
      </c>
      <c r="Z106" s="187">
        <f t="shared" si="54"/>
        <v>2.4109792284866469E-3</v>
      </c>
      <c r="AA106" s="185">
        <f t="shared" si="55"/>
        <v>0</v>
      </c>
      <c r="AB106" s="186">
        <f t="shared" si="56"/>
        <v>0</v>
      </c>
    </row>
    <row r="107" spans="1:28" ht="13.5" customHeight="1">
      <c r="A107" s="194">
        <v>96</v>
      </c>
      <c r="B107" s="83" t="s">
        <v>153</v>
      </c>
      <c r="C107" s="84" t="s">
        <v>46</v>
      </c>
      <c r="D107" s="171" t="s">
        <v>332</v>
      </c>
      <c r="E107" s="95">
        <v>15535790609.719999</v>
      </c>
      <c r="F107" s="90">
        <f t="shared" si="65"/>
        <v>6.5892919940391634E-2</v>
      </c>
      <c r="G107" s="171" t="s">
        <v>332</v>
      </c>
      <c r="H107" s="115">
        <v>259.25</v>
      </c>
      <c r="I107" s="171" t="s">
        <v>332</v>
      </c>
      <c r="J107" s="115">
        <v>259.25</v>
      </c>
      <c r="K107" s="91">
        <v>5896</v>
      </c>
      <c r="L107" s="92">
        <v>0</v>
      </c>
      <c r="M107" s="92">
        <v>0</v>
      </c>
      <c r="N107" s="171" t="s">
        <v>332</v>
      </c>
      <c r="O107" s="95">
        <v>15433854184.620001</v>
      </c>
      <c r="P107" s="90">
        <f t="shared" si="51"/>
        <v>6.5702927381252677E-2</v>
      </c>
      <c r="Q107" s="171" t="s">
        <v>332</v>
      </c>
      <c r="R107" s="115">
        <v>259.25</v>
      </c>
      <c r="S107" s="171" t="s">
        <v>332</v>
      </c>
      <c r="T107" s="115">
        <v>259.25</v>
      </c>
      <c r="U107" s="91">
        <v>5890</v>
      </c>
      <c r="V107" s="92">
        <v>2.7553742559506002E-4</v>
      </c>
      <c r="W107" s="92">
        <v>2.7553742559506002E-4</v>
      </c>
      <c r="X107" s="187">
        <f t="shared" si="52"/>
        <v>-6.5613928290345095E-3</v>
      </c>
      <c r="Y107" s="187">
        <f t="shared" si="53"/>
        <v>0</v>
      </c>
      <c r="Z107" s="187">
        <f t="shared" si="54"/>
        <v>-1.0176390773405698E-3</v>
      </c>
      <c r="AA107" s="185">
        <f t="shared" si="55"/>
        <v>2.7553742559506002E-4</v>
      </c>
      <c r="AB107" s="186">
        <f t="shared" si="56"/>
        <v>2.7553742559506002E-4</v>
      </c>
    </row>
    <row r="108" spans="1:28" ht="13.5" customHeight="1">
      <c r="A108" s="194">
        <v>97</v>
      </c>
      <c r="B108" s="83" t="s">
        <v>154</v>
      </c>
      <c r="C108" s="84" t="s">
        <v>46</v>
      </c>
      <c r="D108" s="171" t="s">
        <v>332</v>
      </c>
      <c r="E108" s="95">
        <v>1261604356.54</v>
      </c>
      <c r="F108" s="90">
        <f t="shared" si="65"/>
        <v>5.3509214271933196E-3</v>
      </c>
      <c r="G108" s="171" t="s">
        <v>332</v>
      </c>
      <c r="H108" s="94">
        <v>10913.26</v>
      </c>
      <c r="I108" s="171" t="s">
        <v>332</v>
      </c>
      <c r="J108" s="94">
        <v>10953.43</v>
      </c>
      <c r="K108" s="91">
        <v>30</v>
      </c>
      <c r="L108" s="92">
        <v>1.4500000000000001E-2</v>
      </c>
      <c r="M108" s="92">
        <v>0.1623</v>
      </c>
      <c r="N108" s="171" t="s">
        <v>332</v>
      </c>
      <c r="O108" s="95">
        <v>1260631904.05</v>
      </c>
      <c r="P108" s="90">
        <f t="shared" si="51"/>
        <v>5.3665925215767313E-3</v>
      </c>
      <c r="Q108" s="171" t="s">
        <v>332</v>
      </c>
      <c r="R108" s="94">
        <v>10894.82</v>
      </c>
      <c r="S108" s="171" t="s">
        <v>332</v>
      </c>
      <c r="T108" s="94">
        <v>10944.22</v>
      </c>
      <c r="U108" s="91">
        <v>31</v>
      </c>
      <c r="V108" s="92">
        <v>-8.4083250634741302E-4</v>
      </c>
      <c r="W108" s="92">
        <v>0.161339545978847</v>
      </c>
      <c r="X108" s="187">
        <f t="shared" si="52"/>
        <v>-7.708062238045841E-4</v>
      </c>
      <c r="Y108" s="187">
        <f t="shared" si="53"/>
        <v>-8.4083250634741312E-4</v>
      </c>
      <c r="Z108" s="187">
        <f t="shared" si="54"/>
        <v>3.3333333333333333E-2</v>
      </c>
      <c r="AA108" s="185">
        <f t="shared" si="55"/>
        <v>-1.5340832506347414E-2</v>
      </c>
      <c r="AB108" s="186">
        <f t="shared" si="56"/>
        <v>-9.604540211529955E-4</v>
      </c>
    </row>
    <row r="109" spans="1:28" ht="15" customHeight="1">
      <c r="A109" s="195">
        <v>98</v>
      </c>
      <c r="B109" s="83" t="s">
        <v>155</v>
      </c>
      <c r="C109" s="84" t="s">
        <v>46</v>
      </c>
      <c r="D109" s="171" t="s">
        <v>332</v>
      </c>
      <c r="E109" s="95">
        <v>5713458237.3599997</v>
      </c>
      <c r="F109" s="90">
        <f t="shared" si="65"/>
        <v>2.4232847601691431E-2</v>
      </c>
      <c r="G109" s="171" t="s">
        <v>332</v>
      </c>
      <c r="H109" s="115">
        <v>171.66</v>
      </c>
      <c r="I109" s="171" t="s">
        <v>332</v>
      </c>
      <c r="J109" s="115">
        <v>171.66</v>
      </c>
      <c r="K109" s="91">
        <v>6222</v>
      </c>
      <c r="L109" s="92">
        <v>4.1999999999999997E-3</v>
      </c>
      <c r="M109" s="92">
        <v>0.1928</v>
      </c>
      <c r="N109" s="171" t="s">
        <v>332</v>
      </c>
      <c r="O109" s="95">
        <v>5712502539.7799997</v>
      </c>
      <c r="P109" s="90">
        <f t="shared" si="51"/>
        <v>2.4318497184611557E-2</v>
      </c>
      <c r="Q109" s="171" t="s">
        <v>332</v>
      </c>
      <c r="R109" s="115">
        <v>172.21</v>
      </c>
      <c r="S109" s="171" t="s">
        <v>332</v>
      </c>
      <c r="T109" s="115">
        <v>172.21</v>
      </c>
      <c r="U109" s="91">
        <v>6272</v>
      </c>
      <c r="V109" s="92">
        <v>3.2040079226378299E-3</v>
      </c>
      <c r="W109" s="92">
        <v>0.19040000000000001</v>
      </c>
      <c r="X109" s="187">
        <f t="shared" si="52"/>
        <v>-1.6727129879950256E-4</v>
      </c>
      <c r="Y109" s="187">
        <f t="shared" si="53"/>
        <v>3.2040079226378386E-3</v>
      </c>
      <c r="Z109" s="187">
        <f t="shared" si="54"/>
        <v>8.0360012857602064E-3</v>
      </c>
      <c r="AA109" s="185">
        <f t="shared" si="55"/>
        <v>-9.9599207736216985E-4</v>
      </c>
      <c r="AB109" s="186">
        <f t="shared" si="56"/>
        <v>-2.3999999999999855E-3</v>
      </c>
    </row>
    <row r="110" spans="1:28" ht="15" customHeight="1">
      <c r="A110" s="195">
        <v>99</v>
      </c>
      <c r="B110" s="83" t="s">
        <v>156</v>
      </c>
      <c r="C110" s="84" t="s">
        <v>46</v>
      </c>
      <c r="D110" s="171" t="s">
        <v>332</v>
      </c>
      <c r="E110" s="95">
        <v>5669550484.5900002</v>
      </c>
      <c r="F110" s="90">
        <f t="shared" si="65"/>
        <v>2.404661890495385E-2</v>
      </c>
      <c r="G110" s="171" t="s">
        <v>332</v>
      </c>
      <c r="H110" s="115">
        <v>388.15</v>
      </c>
      <c r="I110" s="171" t="s">
        <v>332</v>
      </c>
      <c r="J110" s="115">
        <v>388.15</v>
      </c>
      <c r="K110" s="91">
        <v>12011</v>
      </c>
      <c r="L110" s="92">
        <v>0</v>
      </c>
      <c r="M110" s="92">
        <v>7.6E-3</v>
      </c>
      <c r="N110" s="171" t="s">
        <v>332</v>
      </c>
      <c r="O110" s="95">
        <v>5592732823.9300003</v>
      </c>
      <c r="P110" s="90">
        <f t="shared" si="51"/>
        <v>2.3808629665530837E-2</v>
      </c>
      <c r="Q110" s="171" t="s">
        <v>332</v>
      </c>
      <c r="R110" s="115">
        <v>388.15</v>
      </c>
      <c r="S110" s="171" t="s">
        <v>332</v>
      </c>
      <c r="T110" s="115">
        <v>388.15</v>
      </c>
      <c r="U110" s="91">
        <v>12093</v>
      </c>
      <c r="V110" s="92">
        <v>0</v>
      </c>
      <c r="W110" s="92">
        <v>7.6E-3</v>
      </c>
      <c r="X110" s="187">
        <f t="shared" si="52"/>
        <v>-1.3549162472191126E-2</v>
      </c>
      <c r="Y110" s="187">
        <f t="shared" si="53"/>
        <v>0</v>
      </c>
      <c r="Z110" s="187">
        <f t="shared" si="54"/>
        <v>6.8270751810840065E-3</v>
      </c>
      <c r="AA110" s="185">
        <f t="shared" si="55"/>
        <v>0</v>
      </c>
      <c r="AB110" s="186">
        <f t="shared" si="56"/>
        <v>0</v>
      </c>
    </row>
    <row r="111" spans="1:28" ht="15" customHeight="1">
      <c r="A111" s="195">
        <v>100</v>
      </c>
      <c r="B111" s="83" t="s">
        <v>157</v>
      </c>
      <c r="C111" s="84" t="s">
        <v>112</v>
      </c>
      <c r="D111" s="171" t="s">
        <v>332</v>
      </c>
      <c r="E111" s="95">
        <v>118026149.79000001</v>
      </c>
      <c r="F111" s="90">
        <f t="shared" si="65"/>
        <v>5.0059168756557456E-4</v>
      </c>
      <c r="G111" s="171" t="s">
        <v>332</v>
      </c>
      <c r="H111" s="115">
        <v>118.6533</v>
      </c>
      <c r="I111" s="171" t="s">
        <v>332</v>
      </c>
      <c r="J111" s="115">
        <v>118.6533</v>
      </c>
      <c r="K111" s="91">
        <v>26</v>
      </c>
      <c r="L111" s="92">
        <v>2.8452E-3</v>
      </c>
      <c r="M111" s="92">
        <v>0.14599999999999999</v>
      </c>
      <c r="N111" s="171" t="s">
        <v>332</v>
      </c>
      <c r="O111" s="95">
        <v>119644259.55</v>
      </c>
      <c r="P111" s="90">
        <f t="shared" si="51"/>
        <v>5.0933344340073816E-4</v>
      </c>
      <c r="Q111" s="171" t="s">
        <v>332</v>
      </c>
      <c r="R111" s="115">
        <v>119.16549999999999</v>
      </c>
      <c r="S111" s="171" t="s">
        <v>332</v>
      </c>
      <c r="T111" s="115">
        <v>119.16549999999999</v>
      </c>
      <c r="U111" s="91">
        <v>28</v>
      </c>
      <c r="V111" s="92">
        <v>5.2178082191780394E-3</v>
      </c>
      <c r="W111" s="92">
        <v>0.14981</v>
      </c>
      <c r="X111" s="187">
        <f t="shared" ref="X111" si="66">((O111-E111)/E111)</f>
        <v>1.3709756379234933E-2</v>
      </c>
      <c r="Y111" s="187">
        <f t="shared" ref="Y111" si="67">((T111-J111)/J111)</f>
        <v>4.3167783786881011E-3</v>
      </c>
      <c r="Z111" s="187">
        <f t="shared" ref="Z111" si="68">((U111-K111)/K111)</f>
        <v>7.6923076923076927E-2</v>
      </c>
      <c r="AA111" s="185">
        <f t="shared" ref="AA111" si="69">V111-L111</f>
        <v>2.3726082191780394E-3</v>
      </c>
      <c r="AB111" s="186">
        <f t="shared" ref="AB111" si="70">W111-M111</f>
        <v>3.8100000000000078E-3</v>
      </c>
    </row>
    <row r="112" spans="1:28">
      <c r="A112" s="195">
        <v>101</v>
      </c>
      <c r="B112" s="83" t="s">
        <v>158</v>
      </c>
      <c r="C112" s="84" t="s">
        <v>49</v>
      </c>
      <c r="D112" s="171" t="s">
        <v>332</v>
      </c>
      <c r="E112" s="95">
        <v>77530933607.869995</v>
      </c>
      <c r="F112" s="90">
        <f t="shared" si="65"/>
        <v>0.32883679559448381</v>
      </c>
      <c r="G112" s="171" t="s">
        <v>332</v>
      </c>
      <c r="H112" s="95">
        <v>2.03199</v>
      </c>
      <c r="I112" s="171" t="s">
        <v>332</v>
      </c>
      <c r="J112" s="95">
        <v>2.03199</v>
      </c>
      <c r="K112" s="91">
        <v>7056</v>
      </c>
      <c r="L112" s="92">
        <v>1.4E-3</v>
      </c>
      <c r="M112" s="92">
        <v>8.5699999999999998E-2</v>
      </c>
      <c r="N112" s="171" t="s">
        <v>332</v>
      </c>
      <c r="O112" s="95">
        <v>77663771645.860001</v>
      </c>
      <c r="P112" s="90">
        <f t="shared" si="51"/>
        <v>0.33061975884721406</v>
      </c>
      <c r="Q112" s="171" t="s">
        <v>332</v>
      </c>
      <c r="R112" s="95">
        <v>2.03573</v>
      </c>
      <c r="S112" s="171" t="s">
        <v>332</v>
      </c>
      <c r="T112" s="95">
        <v>2.03573</v>
      </c>
      <c r="U112" s="91">
        <v>7068</v>
      </c>
      <c r="V112" s="92">
        <v>8.7599999999999997E-2</v>
      </c>
      <c r="W112" s="92">
        <v>8.5800000000000001E-2</v>
      </c>
      <c r="X112" s="187">
        <f t="shared" si="52"/>
        <v>1.7133553255254674E-3</v>
      </c>
      <c r="Y112" s="187">
        <f t="shared" si="53"/>
        <v>1.8405602389775918E-3</v>
      </c>
      <c r="Z112" s="187">
        <f t="shared" si="54"/>
        <v>1.7006802721088435E-3</v>
      </c>
      <c r="AA112" s="185">
        <f t="shared" si="55"/>
        <v>8.6199999999999999E-2</v>
      </c>
      <c r="AB112" s="186">
        <f t="shared" si="56"/>
        <v>1.0000000000000286E-4</v>
      </c>
    </row>
    <row r="113" spans="1:34">
      <c r="A113" s="195">
        <v>102</v>
      </c>
      <c r="B113" s="83" t="s">
        <v>159</v>
      </c>
      <c r="C113" s="84" t="s">
        <v>49</v>
      </c>
      <c r="D113" s="171" t="s">
        <v>332</v>
      </c>
      <c r="E113" s="95">
        <v>60752971895.580002</v>
      </c>
      <c r="F113" s="90">
        <f t="shared" si="65"/>
        <v>0.25767537770184101</v>
      </c>
      <c r="G113" s="171" t="s">
        <v>332</v>
      </c>
      <c r="H113" s="95">
        <v>135.16235</v>
      </c>
      <c r="I113" s="171" t="s">
        <v>332</v>
      </c>
      <c r="J113" s="95">
        <v>135.16235</v>
      </c>
      <c r="K113" s="91">
        <v>1558</v>
      </c>
      <c r="L113" s="92">
        <v>2.7000000000000001E-3</v>
      </c>
      <c r="M113" s="92">
        <v>0.153</v>
      </c>
      <c r="N113" s="171" t="s">
        <v>332</v>
      </c>
      <c r="O113" s="95">
        <v>59584402232.610001</v>
      </c>
      <c r="P113" s="90">
        <f t="shared" si="51"/>
        <v>0.25365469999358509</v>
      </c>
      <c r="Q113" s="171" t="s">
        <v>332</v>
      </c>
      <c r="R113" s="95">
        <v>135.6156</v>
      </c>
      <c r="S113" s="171" t="s">
        <v>332</v>
      </c>
      <c r="T113" s="95">
        <v>135.6156</v>
      </c>
      <c r="U113" s="91">
        <v>1592</v>
      </c>
      <c r="V113" s="92">
        <v>0.16500000000000001</v>
      </c>
      <c r="W113" s="92">
        <v>0.15379999999999999</v>
      </c>
      <c r="X113" s="187">
        <f t="shared" ref="X113:X115" si="71">((O113-E113)/E113)</f>
        <v>-1.9234773649896439E-2</v>
      </c>
      <c r="Y113" s="187">
        <f t="shared" ref="Y113:Y115" si="72">((T113-J113)/J113)</f>
        <v>3.3533746638764201E-3</v>
      </c>
      <c r="Z113" s="187">
        <f t="shared" ref="Z113:Z115" si="73">((U113-K113)/K113)</f>
        <v>2.1822849807445442E-2</v>
      </c>
      <c r="AA113" s="185">
        <f t="shared" ref="AA113:AA115" si="74">V113-L113</f>
        <v>0.1623</v>
      </c>
      <c r="AB113" s="186">
        <f t="shared" ref="AB113:AB115" si="75">W113-M113</f>
        <v>7.9999999999999516E-4</v>
      </c>
      <c r="AD113" s="49"/>
    </row>
    <row r="114" spans="1:34">
      <c r="A114" s="195">
        <v>103</v>
      </c>
      <c r="B114" s="83" t="s">
        <v>160</v>
      </c>
      <c r="C114" s="83" t="s">
        <v>161</v>
      </c>
      <c r="D114" s="171" t="s">
        <v>332</v>
      </c>
      <c r="E114" s="95">
        <v>118478718.48</v>
      </c>
      <c r="F114" s="90">
        <f t="shared" si="65"/>
        <v>5.0251119544301981E-4</v>
      </c>
      <c r="G114" s="171" t="s">
        <v>332</v>
      </c>
      <c r="H114" s="95">
        <v>119.3</v>
      </c>
      <c r="I114" s="171" t="s">
        <v>332</v>
      </c>
      <c r="J114" s="95">
        <v>119.3</v>
      </c>
      <c r="K114" s="119">
        <v>90</v>
      </c>
      <c r="L114" s="120">
        <v>8.0000000000000004E-4</v>
      </c>
      <c r="M114" s="120">
        <v>2.2837658601996047E-2</v>
      </c>
      <c r="N114" s="171" t="s">
        <v>332</v>
      </c>
      <c r="O114" s="95">
        <v>117745098.95999999</v>
      </c>
      <c r="P114" s="90">
        <f t="shared" si="51"/>
        <v>5.01248592472546E-4</v>
      </c>
      <c r="Q114" s="171" t="s">
        <v>332</v>
      </c>
      <c r="R114" s="95">
        <v>118.90202757854196</v>
      </c>
      <c r="S114" s="171" t="s">
        <v>332</v>
      </c>
      <c r="T114" s="95">
        <v>118.90202757854196</v>
      </c>
      <c r="U114" s="119">
        <v>89</v>
      </c>
      <c r="V114" s="120">
        <v>1.5055245773718346E-3</v>
      </c>
      <c r="W114" s="120">
        <v>1.9148588975057113E-2</v>
      </c>
      <c r="X114" s="187">
        <f t="shared" si="71"/>
        <v>-6.1919940510147447E-3</v>
      </c>
      <c r="Y114" s="187">
        <f t="shared" si="72"/>
        <v>-3.3358962402182382E-3</v>
      </c>
      <c r="Z114" s="187">
        <f t="shared" si="73"/>
        <v>-1.1111111111111112E-2</v>
      </c>
      <c r="AA114" s="185">
        <f t="shared" si="74"/>
        <v>7.055245773718346E-4</v>
      </c>
      <c r="AB114" s="186">
        <f t="shared" si="75"/>
        <v>-3.6890696269389345E-3</v>
      </c>
      <c r="AD114" s="40"/>
    </row>
    <row r="115" spans="1:34">
      <c r="A115" s="195">
        <v>104</v>
      </c>
      <c r="B115" s="83" t="s">
        <v>162</v>
      </c>
      <c r="C115" s="84" t="s">
        <v>119</v>
      </c>
      <c r="D115" s="171" t="s">
        <v>332</v>
      </c>
      <c r="E115" s="95">
        <v>530032955.83999997</v>
      </c>
      <c r="F115" s="90">
        <f t="shared" si="65"/>
        <v>2.2480619108681274E-3</v>
      </c>
      <c r="G115" s="171" t="s">
        <v>332</v>
      </c>
      <c r="H115" s="95">
        <v>1.45</v>
      </c>
      <c r="I115" s="171" t="s">
        <v>332</v>
      </c>
      <c r="J115" s="95">
        <v>1.45</v>
      </c>
      <c r="K115" s="91">
        <v>908</v>
      </c>
      <c r="L115" s="92">
        <v>-3.3999999999999998E-3</v>
      </c>
      <c r="M115" s="92">
        <v>5.5800000000000002E-2</v>
      </c>
      <c r="N115" s="171" t="s">
        <v>332</v>
      </c>
      <c r="O115" s="95">
        <v>528627985.11000001</v>
      </c>
      <c r="P115" s="90">
        <f t="shared" si="51"/>
        <v>2.2504039303410978E-3</v>
      </c>
      <c r="Q115" s="171" t="s">
        <v>332</v>
      </c>
      <c r="R115" s="95">
        <v>1.45</v>
      </c>
      <c r="S115" s="171" t="s">
        <v>332</v>
      </c>
      <c r="T115" s="95">
        <v>1.45</v>
      </c>
      <c r="U115" s="91">
        <v>914</v>
      </c>
      <c r="V115" s="92">
        <v>-2.385E-3</v>
      </c>
      <c r="W115" s="92">
        <v>5.4143999999999998E-2</v>
      </c>
      <c r="X115" s="187">
        <f t="shared" si="71"/>
        <v>-2.6507233456330125E-3</v>
      </c>
      <c r="Y115" s="187">
        <f t="shared" si="72"/>
        <v>0</v>
      </c>
      <c r="Z115" s="187">
        <f t="shared" si="73"/>
        <v>6.6079295154185024E-3</v>
      </c>
      <c r="AA115" s="185">
        <f t="shared" si="74"/>
        <v>1.0149999999999998E-3</v>
      </c>
      <c r="AB115" s="186">
        <f t="shared" si="75"/>
        <v>-1.6560000000000047E-3</v>
      </c>
    </row>
    <row r="116" spans="1:34">
      <c r="A116" s="195">
        <v>105</v>
      </c>
      <c r="B116" s="83" t="s">
        <v>163</v>
      </c>
      <c r="C116" s="84" t="s">
        <v>121</v>
      </c>
      <c r="D116" s="171" t="s">
        <v>332</v>
      </c>
      <c r="E116" s="95">
        <v>2039610594.25</v>
      </c>
      <c r="F116" s="90">
        <f t="shared" si="65"/>
        <v>8.650727920625087E-3</v>
      </c>
      <c r="G116" s="171" t="s">
        <v>332</v>
      </c>
      <c r="H116" s="115">
        <v>31.491499999999998</v>
      </c>
      <c r="I116" s="171" t="s">
        <v>332</v>
      </c>
      <c r="J116" s="115">
        <v>31.491499999999998</v>
      </c>
      <c r="K116" s="91">
        <v>1550</v>
      </c>
      <c r="L116" s="92">
        <v>0.14399999999999999</v>
      </c>
      <c r="M116" s="92">
        <v>0.14399999999999999</v>
      </c>
      <c r="N116" s="171" t="s">
        <v>332</v>
      </c>
      <c r="O116" s="95">
        <v>2048770840.6600001</v>
      </c>
      <c r="P116" s="90">
        <f t="shared" si="51"/>
        <v>8.7217515569670539E-3</v>
      </c>
      <c r="Q116" s="171" t="s">
        <v>332</v>
      </c>
      <c r="R116" s="115">
        <v>31.576699999999999</v>
      </c>
      <c r="S116" s="171" t="s">
        <v>332</v>
      </c>
      <c r="T116" s="115">
        <v>31.576699999999999</v>
      </c>
      <c r="U116" s="91">
        <v>1339</v>
      </c>
      <c r="V116" s="92">
        <v>0.14369999999999999</v>
      </c>
      <c r="W116" s="92">
        <v>0.14369999999999999</v>
      </c>
      <c r="X116" s="187">
        <f t="shared" si="52"/>
        <v>4.4911741661983603E-3</v>
      </c>
      <c r="Y116" s="187">
        <f t="shared" si="53"/>
        <v>2.7054919581474489E-3</v>
      </c>
      <c r="Z116" s="187">
        <f t="shared" si="54"/>
        <v>-0.13612903225806453</v>
      </c>
      <c r="AA116" s="185">
        <f t="shared" si="55"/>
        <v>-2.9999999999999472E-4</v>
      </c>
      <c r="AB116" s="186">
        <f t="shared" si="56"/>
        <v>-2.9999999999999472E-4</v>
      </c>
    </row>
    <row r="117" spans="1:34">
      <c r="B117" s="98"/>
      <c r="C117" s="99" t="s">
        <v>52</v>
      </c>
      <c r="D117" s="170" t="s">
        <v>332</v>
      </c>
      <c r="E117" s="113">
        <f>SUM(E79:E116)</f>
        <v>235773291330.45038</v>
      </c>
      <c r="F117" s="101">
        <f>(E117/$E$238)</f>
        <v>2.6620937947134576E-2</v>
      </c>
      <c r="G117" s="171" t="s">
        <v>332</v>
      </c>
      <c r="H117" s="102"/>
      <c r="I117" s="171" t="s">
        <v>332</v>
      </c>
      <c r="J117" s="107"/>
      <c r="K117" s="104">
        <f>SUM(K79:K116)</f>
        <v>66563</v>
      </c>
      <c r="L117" s="110"/>
      <c r="M117" s="110"/>
      <c r="N117" s="171" t="s">
        <v>332</v>
      </c>
      <c r="O117" s="113">
        <f>SUM(O79:O116)</f>
        <v>234903600186.06744</v>
      </c>
      <c r="P117" s="101">
        <f>(O117/$O$238)</f>
        <v>2.6499707415148299E-2</v>
      </c>
      <c r="Q117" s="173"/>
      <c r="R117" s="102"/>
      <c r="S117" s="102"/>
      <c r="T117" s="107"/>
      <c r="U117" s="104">
        <f>SUM(U79:U116)</f>
        <v>66773</v>
      </c>
      <c r="V117" s="110"/>
      <c r="W117" s="110"/>
      <c r="X117" s="187">
        <f t="shared" si="52"/>
        <v>-3.6886754198295108E-3</v>
      </c>
      <c r="Y117" s="187" t="e">
        <f t="shared" si="53"/>
        <v>#DIV/0!</v>
      </c>
      <c r="Z117" s="187">
        <f t="shared" si="54"/>
        <v>3.1549058786412873E-3</v>
      </c>
      <c r="AA117" s="185">
        <f t="shared" si="55"/>
        <v>0</v>
      </c>
      <c r="AB117" s="186">
        <f t="shared" si="56"/>
        <v>0</v>
      </c>
    </row>
    <row r="118" spans="1:34" ht="3.75" customHeight="1"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</row>
    <row r="119" spans="1:34" ht="15" customHeight="1">
      <c r="A119" s="193"/>
      <c r="B119" s="217" t="s">
        <v>164</v>
      </c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</row>
    <row r="120" spans="1:34">
      <c r="A120" s="208"/>
      <c r="B120" s="216" t="s">
        <v>343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F120" s="23"/>
      <c r="AH120" s="25"/>
    </row>
    <row r="121" spans="1:34" ht="16.5" customHeight="1">
      <c r="A121" s="195">
        <v>106</v>
      </c>
      <c r="B121" s="83" t="s">
        <v>165</v>
      </c>
      <c r="C121" s="84" t="s">
        <v>19</v>
      </c>
      <c r="D121" s="190">
        <v>2724461.61</v>
      </c>
      <c r="E121" s="95">
        <v>3745979691.8843908</v>
      </c>
      <c r="F121" s="90">
        <f t="shared" ref="F121:F126" si="76">(E121/$E$161)</f>
        <v>2.0021240935656306E-3</v>
      </c>
      <c r="G121" s="174">
        <v>117.86279999999999</v>
      </c>
      <c r="H121" s="95">
        <v>162054.64360667998</v>
      </c>
      <c r="I121" s="174">
        <v>117.86279999999999</v>
      </c>
      <c r="J121" s="95">
        <v>162054.64360667998</v>
      </c>
      <c r="K121" s="91">
        <v>190</v>
      </c>
      <c r="L121" s="92">
        <v>1E-3</v>
      </c>
      <c r="M121" s="92">
        <v>2.9000000000000001E-2</v>
      </c>
      <c r="N121" s="174">
        <v>2724739.46</v>
      </c>
      <c r="O121" s="95">
        <f>2724739.46*C269</f>
        <v>3709446677.1466999</v>
      </c>
      <c r="P121" s="90">
        <f t="shared" ref="P121:P138" si="77">(O121/$O$161)</f>
        <v>2.0052624730483009E-3</v>
      </c>
      <c r="Q121" s="174">
        <v>117.84610000000001</v>
      </c>
      <c r="R121" s="121">
        <f>117.8461*C269</f>
        <v>160435.09130950001</v>
      </c>
      <c r="S121" s="174">
        <v>117.84610000000001</v>
      </c>
      <c r="T121" s="95">
        <f>117.8461*C269</f>
        <v>160435.09130950001</v>
      </c>
      <c r="U121" s="91">
        <v>190</v>
      </c>
      <c r="V121" s="92">
        <v>-1E-4</v>
      </c>
      <c r="W121" s="92">
        <v>2.8799999999999999E-2</v>
      </c>
      <c r="X121" s="187">
        <f>((O121-E121)/E121)</f>
        <v>-9.7525928442268803E-3</v>
      </c>
      <c r="Y121" s="187">
        <f>((T121-J121)/J121)</f>
        <v>-9.9938654094402432E-3</v>
      </c>
      <c r="Z121" s="187">
        <f>((U121-K121)/K121)</f>
        <v>0</v>
      </c>
      <c r="AA121" s="187">
        <f>V121-L121</f>
        <v>-1.1000000000000001E-3</v>
      </c>
      <c r="AB121" s="188">
        <f>W121-M121</f>
        <v>-2.0000000000000226E-4</v>
      </c>
      <c r="AD121" s="23"/>
      <c r="AE121" s="26"/>
      <c r="AF121" s="23"/>
      <c r="AG121" s="27"/>
    </row>
    <row r="122" spans="1:34" ht="16.5" customHeight="1">
      <c r="A122" s="195">
        <v>107</v>
      </c>
      <c r="B122" s="83" t="s">
        <v>166</v>
      </c>
      <c r="C122" s="84" t="s">
        <v>56</v>
      </c>
      <c r="D122" s="190">
        <v>3869725.81</v>
      </c>
      <c r="E122" s="95">
        <v>5320652801.3514109</v>
      </c>
      <c r="F122" s="90">
        <f t="shared" si="76"/>
        <v>2.8437439717470554E-3</v>
      </c>
      <c r="G122" s="174">
        <v>106.09</v>
      </c>
      <c r="H122" s="95">
        <v>145867.713479</v>
      </c>
      <c r="I122" s="174">
        <v>106.09</v>
      </c>
      <c r="J122" s="95">
        <v>145867.713479</v>
      </c>
      <c r="K122" s="91">
        <v>107</v>
      </c>
      <c r="L122" s="92">
        <v>2.6199999999999999E-3</v>
      </c>
      <c r="M122" s="92">
        <v>6.0854999999999999E-2</v>
      </c>
      <c r="N122" s="174">
        <v>3827338.42</v>
      </c>
      <c r="O122" s="95">
        <f>3827338.42*C269</f>
        <v>5210519388.2958994</v>
      </c>
      <c r="P122" s="90">
        <f t="shared" si="77"/>
        <v>2.816716320202584E-3</v>
      </c>
      <c r="Q122" s="174">
        <v>106.3</v>
      </c>
      <c r="R122" s="95">
        <f>106.3*C269</f>
        <v>144716.2885</v>
      </c>
      <c r="S122" s="174">
        <v>106.3</v>
      </c>
      <c r="T122" s="95">
        <f>106.3*C269</f>
        <v>144716.2885</v>
      </c>
      <c r="U122" s="91">
        <v>108</v>
      </c>
      <c r="V122" s="92">
        <v>2.0999999999999999E-3</v>
      </c>
      <c r="W122" s="92">
        <v>6.2954999999999997E-2</v>
      </c>
      <c r="X122" s="185">
        <f>((O122-E122)/E122)</f>
        <v>-2.0699229430557527E-2</v>
      </c>
      <c r="Y122" s="185">
        <f>((T122-J122)/J122)</f>
        <v>-7.8936246516661084E-3</v>
      </c>
      <c r="Z122" s="185">
        <f>((U122-K122)/K122)</f>
        <v>9.3457943925233638E-3</v>
      </c>
      <c r="AA122" s="185">
        <f>V122-L122</f>
        <v>-5.2000000000000006E-4</v>
      </c>
      <c r="AB122" s="186">
        <f>W122-M122</f>
        <v>2.0999999999999977E-3</v>
      </c>
      <c r="AD122" s="23"/>
      <c r="AE122" s="26"/>
      <c r="AF122" s="23"/>
      <c r="AG122" s="27"/>
    </row>
    <row r="123" spans="1:34">
      <c r="A123" s="195">
        <v>108</v>
      </c>
      <c r="B123" s="83" t="s">
        <v>167</v>
      </c>
      <c r="C123" s="84" t="s">
        <v>23</v>
      </c>
      <c r="D123" s="190">
        <v>13377905.18</v>
      </c>
      <c r="E123" s="95">
        <v>18393858419.695255</v>
      </c>
      <c r="F123" s="90">
        <f t="shared" si="76"/>
        <v>9.8310162213349934E-3</v>
      </c>
      <c r="G123" s="174">
        <v>1.2295</v>
      </c>
      <c r="H123" s="95">
        <v>1690.4925414500001</v>
      </c>
      <c r="I123" s="174">
        <v>1.2295</v>
      </c>
      <c r="J123" s="95">
        <v>1690.4925414500001</v>
      </c>
      <c r="K123" s="91">
        <v>341</v>
      </c>
      <c r="L123" s="92">
        <v>5.9400000000000001E-2</v>
      </c>
      <c r="M123" s="92">
        <v>5.5500000000000001E-2</v>
      </c>
      <c r="N123" s="174">
        <v>13513570.09</v>
      </c>
      <c r="O123" s="95">
        <f>13513570.09*1360.4524</f>
        <v>18384568861.508713</v>
      </c>
      <c r="P123" s="90">
        <f t="shared" si="77"/>
        <v>9.9383787475044467E-3</v>
      </c>
      <c r="Q123" s="174">
        <v>1.232</v>
      </c>
      <c r="R123" s="95">
        <f>1.232*1360.4524</f>
        <v>1676.0773568</v>
      </c>
      <c r="S123" s="174">
        <v>1.232</v>
      </c>
      <c r="T123" s="95">
        <f>1.232*1360.4524</f>
        <v>1676.0773568</v>
      </c>
      <c r="U123" s="91">
        <v>340</v>
      </c>
      <c r="V123" s="92">
        <v>0.106</v>
      </c>
      <c r="W123" s="92">
        <v>5.8299999999999998E-2</v>
      </c>
      <c r="X123" s="185">
        <f t="shared" ref="X123:X136" si="78">((O123-E123)/E123)</f>
        <v>-5.0503586439459055E-4</v>
      </c>
      <c r="Y123" s="185">
        <f t="shared" ref="Y123:Y136" si="79">((T123-J123)/J123)</f>
        <v>-8.5272098495244898E-3</v>
      </c>
      <c r="Z123" s="185">
        <f t="shared" ref="Z123:Z136" si="80">((U123-K123)/K123)</f>
        <v>-2.9325513196480938E-3</v>
      </c>
      <c r="AA123" s="185">
        <f t="shared" ref="AA123:AA136" si="81">V123-L123</f>
        <v>4.6599999999999996E-2</v>
      </c>
      <c r="AB123" s="186">
        <f t="shared" ref="AB123:AB136" si="82">W123-M123</f>
        <v>2.7999999999999969E-3</v>
      </c>
    </row>
    <row r="124" spans="1:34">
      <c r="A124" s="195">
        <v>109</v>
      </c>
      <c r="B124" s="83" t="s">
        <v>168</v>
      </c>
      <c r="C124" s="84" t="s">
        <v>23</v>
      </c>
      <c r="D124" s="190">
        <v>3127538.99</v>
      </c>
      <c r="E124" s="95">
        <v>4300188154.2814693</v>
      </c>
      <c r="F124" s="90">
        <f t="shared" si="76"/>
        <v>2.2983334184124983E-3</v>
      </c>
      <c r="G124" s="174">
        <v>1.0609</v>
      </c>
      <c r="H124" s="95">
        <v>1458.6771347899999</v>
      </c>
      <c r="I124" s="174">
        <v>1.0609</v>
      </c>
      <c r="J124" s="95">
        <v>1458.6771347899999</v>
      </c>
      <c r="K124" s="91">
        <v>123</v>
      </c>
      <c r="L124" s="92">
        <v>2.9499999999999998E-2</v>
      </c>
      <c r="M124" s="92">
        <v>4.7699999999999999E-2</v>
      </c>
      <c r="N124" s="174">
        <v>3118545.57</v>
      </c>
      <c r="O124" s="95">
        <f>3118545.57*1360.4524</f>
        <v>4242632805.2158675</v>
      </c>
      <c r="P124" s="90">
        <f t="shared" si="77"/>
        <v>2.2934936371068275E-3</v>
      </c>
      <c r="Q124" s="174">
        <v>1.0622</v>
      </c>
      <c r="R124" s="95">
        <f>1.0622*1360.4524</f>
        <v>1445.07253928</v>
      </c>
      <c r="S124" s="174">
        <v>1.0622</v>
      </c>
      <c r="T124" s="95">
        <f>1.0622*1360.4524</f>
        <v>1445.07253928</v>
      </c>
      <c r="U124" s="91">
        <v>122</v>
      </c>
      <c r="V124" s="92">
        <v>6.3899999999999998E-2</v>
      </c>
      <c r="W124" s="92">
        <v>4.8599999999999997E-2</v>
      </c>
      <c r="X124" s="185">
        <f t="shared" si="78"/>
        <v>-1.3384379241242507E-2</v>
      </c>
      <c r="Y124" s="185">
        <f t="shared" ref="Y124" si="83">((T124-J124)/J124)</f>
        <v>-9.3266667348963789E-3</v>
      </c>
      <c r="Z124" s="185">
        <f t="shared" ref="Z124" si="84">((U124-K124)/K124)</f>
        <v>-8.130081300813009E-3</v>
      </c>
      <c r="AA124" s="185">
        <f t="shared" ref="AA124" si="85">V124-L124</f>
        <v>3.44E-2</v>
      </c>
      <c r="AB124" s="186">
        <f t="shared" ref="AB124" si="86">W124-M124</f>
        <v>8.9999999999999802E-4</v>
      </c>
    </row>
    <row r="125" spans="1:34">
      <c r="A125" s="195">
        <v>110</v>
      </c>
      <c r="B125" s="83" t="s">
        <v>169</v>
      </c>
      <c r="C125" s="84" t="s">
        <v>27</v>
      </c>
      <c r="D125" s="190">
        <v>35349096.18</v>
      </c>
      <c r="E125" s="95">
        <v>48602995883.927353</v>
      </c>
      <c r="F125" s="90">
        <f t="shared" si="76"/>
        <v>2.5976977208259065E-2</v>
      </c>
      <c r="G125" s="174">
        <v>1.2748999999999999</v>
      </c>
      <c r="H125" s="95">
        <v>1752.9149581899999</v>
      </c>
      <c r="I125" s="174">
        <v>1.2748999999999999</v>
      </c>
      <c r="J125" s="95">
        <v>1752.9149581899999</v>
      </c>
      <c r="K125" s="91">
        <v>654</v>
      </c>
      <c r="L125" s="92">
        <v>2.2499999999999999E-2</v>
      </c>
      <c r="M125" s="92">
        <v>5.1200000000000002E-2</v>
      </c>
      <c r="N125" s="174">
        <v>35779667.810000002</v>
      </c>
      <c r="O125" s="95">
        <f>35779667.81*C269</f>
        <v>48710260858.194954</v>
      </c>
      <c r="P125" s="90">
        <f t="shared" si="77"/>
        <v>2.6331921349106637E-2</v>
      </c>
      <c r="Q125" s="174">
        <v>1.2897000000000001</v>
      </c>
      <c r="R125" s="95">
        <f>1.2897*C269</f>
        <v>1755.7911315000001</v>
      </c>
      <c r="S125" s="174">
        <v>1.2897000000000001</v>
      </c>
      <c r="T125" s="95">
        <f>1.2897*C269</f>
        <v>1755.7911315000001</v>
      </c>
      <c r="U125" s="91">
        <v>654</v>
      </c>
      <c r="V125" s="92">
        <v>3.4299999999999997E-2</v>
      </c>
      <c r="W125" s="92">
        <v>6.3E-2</v>
      </c>
      <c r="X125" s="185">
        <f t="shared" si="78"/>
        <v>2.2069621906388027E-3</v>
      </c>
      <c r="Y125" s="185">
        <f t="shared" ref="Y125:Z128" si="87">((T125-J125)/J125)</f>
        <v>1.6407945499935027E-3</v>
      </c>
      <c r="Z125" s="185">
        <f t="shared" si="87"/>
        <v>0</v>
      </c>
      <c r="AA125" s="185">
        <f t="shared" si="81"/>
        <v>1.1799999999999998E-2</v>
      </c>
      <c r="AB125" s="186">
        <f t="shared" si="82"/>
        <v>1.1799999999999998E-2</v>
      </c>
    </row>
    <row r="126" spans="1:34">
      <c r="A126" s="195">
        <v>111</v>
      </c>
      <c r="B126" s="83" t="s">
        <v>170</v>
      </c>
      <c r="C126" s="84" t="s">
        <v>65</v>
      </c>
      <c r="D126" s="190">
        <v>1008414.3</v>
      </c>
      <c r="E126" s="95">
        <v>1386512283.72633</v>
      </c>
      <c r="F126" s="90">
        <f t="shared" si="76"/>
        <v>7.4105304288949782E-4</v>
      </c>
      <c r="G126" s="174">
        <v>1.1031</v>
      </c>
      <c r="H126" s="95">
        <v>1516.6997336099998</v>
      </c>
      <c r="I126" s="174">
        <v>1.1100000000000001</v>
      </c>
      <c r="J126" s="95">
        <v>1526.1868410000002</v>
      </c>
      <c r="K126" s="91">
        <v>75</v>
      </c>
      <c r="L126" s="92">
        <v>5.4000000000000001E-4</v>
      </c>
      <c r="M126" s="92">
        <v>7.6399999999999996E-2</v>
      </c>
      <c r="N126" s="174">
        <v>1010248.5</v>
      </c>
      <c r="O126" s="95">
        <f>1010248.5*C269</f>
        <v>1375347256.6575</v>
      </c>
      <c r="P126" s="90">
        <f t="shared" si="77"/>
        <v>7.4348884920664548E-4</v>
      </c>
      <c r="Q126" s="174">
        <v>1.1044</v>
      </c>
      <c r="R126" s="95">
        <f>1.1044*C269</f>
        <v>1503.5246380000001</v>
      </c>
      <c r="S126" s="95">
        <v>1.1122000000000001</v>
      </c>
      <c r="T126" s="95">
        <f>1.1122*C269</f>
        <v>1514.1435190000002</v>
      </c>
      <c r="U126" s="91">
        <v>75</v>
      </c>
      <c r="V126" s="92">
        <v>4.8000000000000001E-4</v>
      </c>
      <c r="W126" s="92">
        <v>7.4235999999999996E-2</v>
      </c>
      <c r="X126" s="185">
        <f t="shared" si="78"/>
        <v>-8.0525987399284859E-3</v>
      </c>
      <c r="Y126" s="185">
        <f t="shared" si="87"/>
        <v>-7.8911190140447483E-3</v>
      </c>
      <c r="Z126" s="185">
        <f t="shared" si="87"/>
        <v>0</v>
      </c>
      <c r="AA126" s="185">
        <f t="shared" si="81"/>
        <v>-5.9999999999999995E-5</v>
      </c>
      <c r="AB126" s="186">
        <f t="shared" si="82"/>
        <v>-2.1639999999999993E-3</v>
      </c>
    </row>
    <row r="127" spans="1:34">
      <c r="A127" s="195">
        <v>112</v>
      </c>
      <c r="B127" s="83" t="s">
        <v>171</v>
      </c>
      <c r="C127" s="84" t="s">
        <v>29</v>
      </c>
      <c r="D127" s="190">
        <v>722691.39</v>
      </c>
      <c r="E127" s="95">
        <v>993659540.10990894</v>
      </c>
      <c r="F127" s="90">
        <v>0</v>
      </c>
      <c r="G127" s="174">
        <v>1.4484999999999999</v>
      </c>
      <c r="H127" s="95">
        <v>1991.6050803499998</v>
      </c>
      <c r="I127" s="174">
        <v>1.4484999999999999</v>
      </c>
      <c r="J127" s="95">
        <v>1991.6050803499998</v>
      </c>
      <c r="K127" s="91">
        <v>78</v>
      </c>
      <c r="L127" s="92">
        <v>2.34E-4</v>
      </c>
      <c r="M127" s="92">
        <v>3.0200000000000001E-2</v>
      </c>
      <c r="N127" s="174">
        <v>745533.83</v>
      </c>
      <c r="O127" s="95">
        <f>745533.83*C269</f>
        <v>1014966028.4928499</v>
      </c>
      <c r="P127" s="90">
        <f t="shared" si="77"/>
        <v>5.4867301392808087E-4</v>
      </c>
      <c r="Q127" s="174">
        <v>1.4511000000000001</v>
      </c>
      <c r="R127" s="95">
        <f>1.4511*C269</f>
        <v>1975.5202845000001</v>
      </c>
      <c r="S127" s="174">
        <v>1.4511000000000001</v>
      </c>
      <c r="T127" s="95">
        <f>1.4511*C269</f>
        <v>1975.5202845000001</v>
      </c>
      <c r="U127" s="91">
        <v>80</v>
      </c>
      <c r="V127" s="92">
        <v>2.0699999999999999E-4</v>
      </c>
      <c r="W127" s="92">
        <v>2.7799999999999998E-2</v>
      </c>
      <c r="X127" s="185">
        <f t="shared" si="78"/>
        <v>2.1442443334851184E-2</v>
      </c>
      <c r="Y127" s="185">
        <f t="shared" si="87"/>
        <v>-8.0762978608052826E-3</v>
      </c>
      <c r="Z127" s="185">
        <f t="shared" si="87"/>
        <v>2.564102564102564E-2</v>
      </c>
      <c r="AA127" s="185">
        <f t="shared" si="81"/>
        <v>-2.7000000000000006E-5</v>
      </c>
      <c r="AB127" s="186">
        <f t="shared" si="82"/>
        <v>-2.4000000000000028E-3</v>
      </c>
    </row>
    <row r="128" spans="1:34">
      <c r="A128" s="195">
        <v>113</v>
      </c>
      <c r="B128" s="83" t="s">
        <v>172</v>
      </c>
      <c r="C128" s="84" t="s">
        <v>75</v>
      </c>
      <c r="D128" s="190">
        <v>2907738.44</v>
      </c>
      <c r="E128" s="95">
        <v>3997974904.6827636</v>
      </c>
      <c r="F128" s="90">
        <f t="shared" ref="F128:F135" si="88">(E128/$E$161)</f>
        <v>2.1368086696993104E-3</v>
      </c>
      <c r="G128" s="174">
        <v>110.48</v>
      </c>
      <c r="H128" s="95">
        <v>151903.71368799999</v>
      </c>
      <c r="I128" s="174">
        <v>110.99</v>
      </c>
      <c r="J128" s="95">
        <v>152604.93466899998</v>
      </c>
      <c r="K128" s="91">
        <v>84</v>
      </c>
      <c r="L128" s="92">
        <v>3.2000000000000002E-3</v>
      </c>
      <c r="M128" s="92">
        <v>3.1399999999999997E-2</v>
      </c>
      <c r="N128" s="174">
        <v>3015571.3</v>
      </c>
      <c r="O128" s="95">
        <f>3015571.3*C269</f>
        <v>4105383689.9634995</v>
      </c>
      <c r="P128" s="90">
        <f t="shared" si="77"/>
        <v>2.2192991482170845E-3</v>
      </c>
      <c r="Q128" s="174">
        <v>110.79</v>
      </c>
      <c r="R128" s="95">
        <f>110.79*C269</f>
        <v>150828.95204999999</v>
      </c>
      <c r="S128" s="95">
        <v>111.32</v>
      </c>
      <c r="T128" s="95">
        <f>110.99*C269</f>
        <v>151101.23105</v>
      </c>
      <c r="U128" s="91">
        <v>84</v>
      </c>
      <c r="V128" s="92">
        <v>3.0000000000000001E-3</v>
      </c>
      <c r="W128" s="92">
        <v>3.4299999999999997E-2</v>
      </c>
      <c r="X128" s="185">
        <f t="shared" si="78"/>
        <v>2.6865797770498707E-2</v>
      </c>
      <c r="Y128" s="185">
        <f t="shared" si="87"/>
        <v>-9.8535713950634058E-3</v>
      </c>
      <c r="Z128" s="185">
        <f t="shared" si="87"/>
        <v>0</v>
      </c>
      <c r="AA128" s="185">
        <f t="shared" si="81"/>
        <v>-2.0000000000000009E-4</v>
      </c>
      <c r="AB128" s="186">
        <f t="shared" si="82"/>
        <v>2.8999999999999998E-3</v>
      </c>
    </row>
    <row r="129" spans="1:31">
      <c r="A129" s="195">
        <v>114</v>
      </c>
      <c r="B129" s="83" t="s">
        <v>173</v>
      </c>
      <c r="C129" s="84" t="s">
        <v>78</v>
      </c>
      <c r="D129" s="190">
        <v>3619981.86</v>
      </c>
      <c r="E129" s="95">
        <v>4973855075.6400003</v>
      </c>
      <c r="F129" s="90">
        <f t="shared" si="88"/>
        <v>2.6583900351667689E-3</v>
      </c>
      <c r="G129" s="174">
        <v>115.79455</v>
      </c>
      <c r="H129" s="95">
        <v>159101.71170000001</v>
      </c>
      <c r="I129" s="174">
        <v>115.79455</v>
      </c>
      <c r="J129" s="95">
        <v>159101.71170000001</v>
      </c>
      <c r="K129" s="91">
        <v>62</v>
      </c>
      <c r="L129" s="92">
        <v>6.5799999999999997E-2</v>
      </c>
      <c r="M129" s="92">
        <v>0.1111</v>
      </c>
      <c r="N129" s="174">
        <v>3619981.86</v>
      </c>
      <c r="O129" s="95">
        <v>4937655257.04</v>
      </c>
      <c r="P129" s="90">
        <f t="shared" si="77"/>
        <v>2.6692107081070196E-3</v>
      </c>
      <c r="Q129" s="174">
        <v>114.13733000000001</v>
      </c>
      <c r="R129" s="95">
        <v>1664.54376</v>
      </c>
      <c r="S129" s="174">
        <v>114.13733000000001</v>
      </c>
      <c r="T129" s="95">
        <v>1664.54376</v>
      </c>
      <c r="U129" s="91">
        <v>61</v>
      </c>
      <c r="V129" s="92">
        <v>6.5799999999999997E-2</v>
      </c>
      <c r="W129" s="92">
        <v>6.1400000000000003E-2</v>
      </c>
      <c r="X129" s="185">
        <f t="shared" si="78"/>
        <v>-7.2780203784571359E-3</v>
      </c>
      <c r="Y129" s="185">
        <f t="shared" si="79"/>
        <v>-0.98953786390973186</v>
      </c>
      <c r="Z129" s="185">
        <f t="shared" si="80"/>
        <v>-1.6129032258064516E-2</v>
      </c>
      <c r="AA129" s="185">
        <f t="shared" si="81"/>
        <v>0</v>
      </c>
      <c r="AB129" s="186">
        <f t="shared" si="82"/>
        <v>-4.9700000000000001E-2</v>
      </c>
      <c r="AD129" s="24"/>
    </row>
    <row r="130" spans="1:31">
      <c r="A130" s="195">
        <v>115</v>
      </c>
      <c r="B130" s="83" t="s">
        <v>325</v>
      </c>
      <c r="C130" s="84" t="s">
        <v>79</v>
      </c>
      <c r="D130" s="190">
        <v>38319868.759999998</v>
      </c>
      <c r="E130" s="95">
        <v>52804779151.279999</v>
      </c>
      <c r="F130" s="90">
        <f t="shared" si="88"/>
        <v>2.8222715895453016E-2</v>
      </c>
      <c r="G130" s="174">
        <v>131</v>
      </c>
      <c r="H130" s="95">
        <v>180518</v>
      </c>
      <c r="I130" s="174">
        <v>131.03</v>
      </c>
      <c r="J130" s="95">
        <v>180559.34</v>
      </c>
      <c r="K130" s="91">
        <v>2615</v>
      </c>
      <c r="L130" s="92">
        <v>1.5E-3</v>
      </c>
      <c r="M130" s="92">
        <v>2.4299999999999999E-2</v>
      </c>
      <c r="N130" s="174">
        <v>38504378.170000002</v>
      </c>
      <c r="O130" s="94">
        <v>52354402991.379997</v>
      </c>
      <c r="P130" s="90">
        <f t="shared" si="77"/>
        <v>2.8301881319457538E-2</v>
      </c>
      <c r="Q130" s="174">
        <v>131.19</v>
      </c>
      <c r="R130" s="95">
        <v>178379.04</v>
      </c>
      <c r="S130" s="95">
        <v>131.22</v>
      </c>
      <c r="T130" s="95">
        <v>178419.83</v>
      </c>
      <c r="U130" s="91">
        <v>2616</v>
      </c>
      <c r="V130" s="92">
        <v>1.2999999999999999E-3</v>
      </c>
      <c r="W130" s="92">
        <v>2.58E-2</v>
      </c>
      <c r="X130" s="185">
        <f t="shared" si="78"/>
        <v>-8.5290795102034682E-3</v>
      </c>
      <c r="Y130" s="185">
        <f t="shared" si="79"/>
        <v>-1.1849345483872556E-2</v>
      </c>
      <c r="Z130" s="185">
        <f t="shared" si="80"/>
        <v>3.8240917782026768E-4</v>
      </c>
      <c r="AA130" s="185">
        <f t="shared" si="81"/>
        <v>-2.0000000000000009E-4</v>
      </c>
      <c r="AB130" s="186">
        <f t="shared" si="82"/>
        <v>1.5000000000000013E-3</v>
      </c>
    </row>
    <row r="131" spans="1:31">
      <c r="A131" s="195">
        <v>116</v>
      </c>
      <c r="B131" s="197" t="s">
        <v>326</v>
      </c>
      <c r="C131" s="84" t="s">
        <v>79</v>
      </c>
      <c r="D131" s="190">
        <v>116292390.67</v>
      </c>
      <c r="E131" s="95">
        <v>160250914343.26001</v>
      </c>
      <c r="F131" s="90">
        <f t="shared" si="88"/>
        <v>8.5649747999879136E-2</v>
      </c>
      <c r="G131" s="174">
        <v>127.84</v>
      </c>
      <c r="H131" s="95">
        <v>176163.52000000002</v>
      </c>
      <c r="I131" s="174">
        <v>127.9</v>
      </c>
      <c r="J131" s="95">
        <v>176246.2</v>
      </c>
      <c r="K131" s="91">
        <v>1048</v>
      </c>
      <c r="L131" s="92">
        <v>1.2999999999999999E-3</v>
      </c>
      <c r="M131" s="92">
        <v>2.53E-2</v>
      </c>
      <c r="N131" s="174">
        <v>116265228.73</v>
      </c>
      <c r="O131" s="94">
        <v>158085831499.62</v>
      </c>
      <c r="P131" s="90">
        <f t="shared" si="77"/>
        <v>8.5458455941645611E-2</v>
      </c>
      <c r="Q131" s="174">
        <v>128.03</v>
      </c>
      <c r="R131" s="95">
        <v>174082.39</v>
      </c>
      <c r="S131" s="95">
        <v>128.08000000000001</v>
      </c>
      <c r="T131" s="95">
        <v>174150.38</v>
      </c>
      <c r="U131" s="91">
        <v>1044</v>
      </c>
      <c r="V131" s="92">
        <v>1.2999999999999999E-3</v>
      </c>
      <c r="W131" s="92">
        <v>2.69E-2</v>
      </c>
      <c r="X131" s="185">
        <f t="shared" si="78"/>
        <v>-1.351058028288296E-2</v>
      </c>
      <c r="Y131" s="185">
        <f t="shared" si="79"/>
        <v>-1.1891433687648339E-2</v>
      </c>
      <c r="Z131" s="185">
        <f t="shared" si="80"/>
        <v>-3.8167938931297708E-3</v>
      </c>
      <c r="AA131" s="185">
        <f t="shared" si="81"/>
        <v>0</v>
      </c>
      <c r="AB131" s="186">
        <f t="shared" si="82"/>
        <v>1.6000000000000007E-3</v>
      </c>
      <c r="AD131" s="23"/>
    </row>
    <row r="132" spans="1:31">
      <c r="A132" s="195">
        <v>117</v>
      </c>
      <c r="B132" s="83" t="s">
        <v>174</v>
      </c>
      <c r="C132" s="84" t="s">
        <v>83</v>
      </c>
      <c r="D132" s="190">
        <v>1427052.8</v>
      </c>
      <c r="E132" s="95">
        <v>1962116400.6956799</v>
      </c>
      <c r="F132" s="90">
        <f t="shared" si="88"/>
        <v>1.0486977622233024E-3</v>
      </c>
      <c r="G132" s="174">
        <v>1</v>
      </c>
      <c r="H132" s="95">
        <v>1374.9431</v>
      </c>
      <c r="I132" s="174">
        <v>1</v>
      </c>
      <c r="J132" s="95">
        <v>1374.9431</v>
      </c>
      <c r="K132" s="91">
        <v>15</v>
      </c>
      <c r="L132" s="92">
        <v>0.09</v>
      </c>
      <c r="M132" s="92">
        <v>8.4199999999999997E-2</v>
      </c>
      <c r="N132" s="174">
        <v>1410816.96</v>
      </c>
      <c r="O132" s="95">
        <f>1410816.96*C269</f>
        <v>1920679155.2591999</v>
      </c>
      <c r="P132" s="90">
        <f t="shared" si="77"/>
        <v>1.038285805949346E-3</v>
      </c>
      <c r="Q132" s="174">
        <v>1</v>
      </c>
      <c r="R132" s="95">
        <f>1*C269</f>
        <v>1361.395</v>
      </c>
      <c r="S132" s="95">
        <v>1</v>
      </c>
      <c r="T132" s="95">
        <f>1*C269</f>
        <v>1361.395</v>
      </c>
      <c r="U132" s="91">
        <v>15</v>
      </c>
      <c r="V132" s="92">
        <v>9.0348139999999993E-2</v>
      </c>
      <c r="W132" s="92">
        <v>8.4602949999999996E-2</v>
      </c>
      <c r="X132" s="185">
        <f t="shared" ref="X132" si="89">((O132-E132)/E132)</f>
        <v>-2.1118647915989198E-2</v>
      </c>
      <c r="Y132" s="185">
        <f t="shared" ref="Y132" si="90">((T132-J132)/J132)</f>
        <v>-9.8535713950635324E-3</v>
      </c>
      <c r="Z132" s="185">
        <f t="shared" si="80"/>
        <v>0</v>
      </c>
      <c r="AA132" s="185">
        <f t="shared" si="81"/>
        <v>3.4813999999999679E-4</v>
      </c>
      <c r="AB132" s="186">
        <f t="shared" si="82"/>
        <v>4.0294999999999914E-4</v>
      </c>
    </row>
    <row r="133" spans="1:31">
      <c r="A133" s="195">
        <v>118</v>
      </c>
      <c r="B133" s="83" t="s">
        <v>175</v>
      </c>
      <c r="C133" s="84" t="s">
        <v>33</v>
      </c>
      <c r="D133" s="190">
        <v>199749.14939999999</v>
      </c>
      <c r="E133" s="95">
        <v>274643714.69839913</v>
      </c>
      <c r="F133" s="90">
        <f t="shared" si="88"/>
        <v>1.467895833859743E-4</v>
      </c>
      <c r="G133" s="174">
        <v>145.03550000000001</v>
      </c>
      <c r="H133" s="95">
        <v>199415.55998005002</v>
      </c>
      <c r="I133" s="174">
        <v>145.03550000000001</v>
      </c>
      <c r="J133" s="95">
        <v>199415.55998005002</v>
      </c>
      <c r="K133" s="91">
        <v>11</v>
      </c>
      <c r="L133" s="92">
        <v>1.9E-3</v>
      </c>
      <c r="M133" s="92">
        <v>7.2099999999999997E-2</v>
      </c>
      <c r="N133" s="174">
        <v>199749.14939999999</v>
      </c>
      <c r="O133" s="95">
        <f>199749.1494*C269</f>
        <v>271937493.24741298</v>
      </c>
      <c r="P133" s="90">
        <f t="shared" si="77"/>
        <v>1.4700468767576719E-4</v>
      </c>
      <c r="Q133" s="174">
        <v>145.03550000000001</v>
      </c>
      <c r="R133" s="95">
        <f>145.0355*C269</f>
        <v>197450.60452250001</v>
      </c>
      <c r="S133" s="174">
        <v>145.03550000000001</v>
      </c>
      <c r="T133" s="95">
        <f>145.0355*C269</f>
        <v>197450.60452250001</v>
      </c>
      <c r="U133" s="91">
        <v>11</v>
      </c>
      <c r="V133" s="92">
        <v>1.9E-3</v>
      </c>
      <c r="W133" s="92">
        <v>7.2099999999999997E-2</v>
      </c>
      <c r="X133" s="185">
        <f t="shared" si="78"/>
        <v>-9.8535713950635741E-3</v>
      </c>
      <c r="Y133" s="185">
        <f t="shared" si="79"/>
        <v>-9.8535713950635862E-3</v>
      </c>
      <c r="Z133" s="185">
        <f t="shared" si="80"/>
        <v>0</v>
      </c>
      <c r="AA133" s="185">
        <f t="shared" si="81"/>
        <v>0</v>
      </c>
      <c r="AB133" s="186">
        <f t="shared" si="82"/>
        <v>0</v>
      </c>
    </row>
    <row r="134" spans="1:31">
      <c r="A134" s="195">
        <v>119</v>
      </c>
      <c r="B134" s="83" t="s">
        <v>321</v>
      </c>
      <c r="C134" s="84" t="s">
        <v>38</v>
      </c>
      <c r="D134" s="190">
        <v>10940690.91</v>
      </c>
      <c r="E134" s="95">
        <v>15042827475.937222</v>
      </c>
      <c r="F134" s="90">
        <f t="shared" si="88"/>
        <v>8.0399814740518549E-3</v>
      </c>
      <c r="G134" s="174">
        <v>1.52</v>
      </c>
      <c r="H134" s="95">
        <v>2089.9135120000001</v>
      </c>
      <c r="I134" s="174">
        <v>1.52</v>
      </c>
      <c r="J134" s="95">
        <v>2089.9135120000001</v>
      </c>
      <c r="K134" s="109">
        <v>121</v>
      </c>
      <c r="L134" s="110">
        <v>1E-3</v>
      </c>
      <c r="M134" s="110">
        <v>6.88E-2</v>
      </c>
      <c r="N134" s="175">
        <v>10830960.99</v>
      </c>
      <c r="O134" s="95">
        <f>10830960.99*C269</f>
        <v>14745216136.98105</v>
      </c>
      <c r="P134" s="90">
        <f t="shared" si="77"/>
        <v>7.9710078483236253E-3</v>
      </c>
      <c r="Q134" s="174">
        <v>1.52</v>
      </c>
      <c r="R134" s="95">
        <f>1.52*C269</f>
        <v>2069.3204000000001</v>
      </c>
      <c r="S134" s="95">
        <v>1.52</v>
      </c>
      <c r="T134" s="95">
        <f>1.52*C269</f>
        <v>2069.3204000000001</v>
      </c>
      <c r="U134" s="109">
        <v>120</v>
      </c>
      <c r="V134" s="110">
        <v>3.5000000000000001E-3</v>
      </c>
      <c r="W134" s="110">
        <v>7.2300000000000003E-2</v>
      </c>
      <c r="X134" s="185">
        <f t="shared" si="78"/>
        <v>-1.9784268577980803E-2</v>
      </c>
      <c r="Y134" s="185">
        <f t="shared" si="79"/>
        <v>-9.8535713950635567E-3</v>
      </c>
      <c r="Z134" s="185">
        <f t="shared" si="80"/>
        <v>-8.2644628099173556E-3</v>
      </c>
      <c r="AA134" s="185">
        <f t="shared" si="81"/>
        <v>2.5000000000000001E-3</v>
      </c>
      <c r="AB134" s="186">
        <f t="shared" si="82"/>
        <v>3.5000000000000031E-3</v>
      </c>
    </row>
    <row r="135" spans="1:31">
      <c r="A135" s="195">
        <v>120</v>
      </c>
      <c r="B135" s="83" t="s">
        <v>315</v>
      </c>
      <c r="C135" s="84" t="s">
        <v>313</v>
      </c>
      <c r="D135" s="190">
        <v>25078.15</v>
      </c>
      <c r="E135" s="95">
        <v>34481029.303264998</v>
      </c>
      <c r="F135" s="90">
        <f t="shared" si="88"/>
        <v>1.8429170795712889E-5</v>
      </c>
      <c r="G135" s="174">
        <v>1.003126</v>
      </c>
      <c r="H135" s="89">
        <v>1379.2411721305998</v>
      </c>
      <c r="I135" s="174">
        <v>1.0039180000000001</v>
      </c>
      <c r="J135" s="89">
        <v>1380.3301270658001</v>
      </c>
      <c r="K135" s="91">
        <v>1</v>
      </c>
      <c r="L135" s="92">
        <v>9.68E-4</v>
      </c>
      <c r="M135" s="92">
        <v>0</v>
      </c>
      <c r="N135" s="174">
        <v>28102.52</v>
      </c>
      <c r="O135" s="95">
        <f>28102.52*C269</f>
        <v>38258630.215400003</v>
      </c>
      <c r="P135" s="90">
        <f t="shared" si="77"/>
        <v>2.068195127694497E-5</v>
      </c>
      <c r="Q135" s="174">
        <v>1.0036609999999999</v>
      </c>
      <c r="R135" s="89">
        <f>1.003661*C269</f>
        <v>1366.3790670949998</v>
      </c>
      <c r="S135" s="89">
        <v>1.0046299999999999</v>
      </c>
      <c r="T135" s="89">
        <f>1.00463*C269</f>
        <v>1367.6982588499998</v>
      </c>
      <c r="U135" s="91">
        <v>2</v>
      </c>
      <c r="V135" s="92">
        <v>0.12059781124205737</v>
      </c>
      <c r="W135" s="92">
        <v>0</v>
      </c>
      <c r="X135" s="185">
        <f>((O135-E135)/E135)</f>
        <v>0.10955592070383192</v>
      </c>
      <c r="Y135" s="185">
        <f>((T135-J135)/J135)</f>
        <v>-9.1513384864330624E-3</v>
      </c>
      <c r="Z135" s="185">
        <f>((U135-K135)/K135)</f>
        <v>1</v>
      </c>
      <c r="AA135" s="185">
        <f>V135-L135</f>
        <v>0.11962981124205738</v>
      </c>
      <c r="AB135" s="186">
        <f>W135-M135</f>
        <v>0</v>
      </c>
    </row>
    <row r="136" spans="1:31">
      <c r="A136" s="195">
        <v>121</v>
      </c>
      <c r="B136" s="83" t="s">
        <v>176</v>
      </c>
      <c r="C136" s="84" t="s">
        <v>98</v>
      </c>
      <c r="D136" s="190">
        <v>30705108</v>
      </c>
      <c r="E136" s="95">
        <v>42217776379.354797</v>
      </c>
      <c r="F136" s="90">
        <f>(E136/$E$161)</f>
        <v>2.2564251335637209E-2</v>
      </c>
      <c r="G136" s="174">
        <v>106.55</v>
      </c>
      <c r="H136" s="95">
        <v>146500.187305</v>
      </c>
      <c r="I136" s="174">
        <v>106.55</v>
      </c>
      <c r="J136" s="95">
        <v>146500.187305</v>
      </c>
      <c r="K136" s="91">
        <v>918</v>
      </c>
      <c r="L136" s="110">
        <v>1.1999999999999999E-3</v>
      </c>
      <c r="M136" s="92">
        <v>0.1212</v>
      </c>
      <c r="N136" s="174">
        <v>31014476</v>
      </c>
      <c r="O136" s="95">
        <f>31014476*C269</f>
        <v>42222952554.019997</v>
      </c>
      <c r="P136" s="90">
        <f t="shared" si="77"/>
        <v>2.282499510762661E-2</v>
      </c>
      <c r="Q136" s="174">
        <v>107.55</v>
      </c>
      <c r="R136" s="95">
        <f>107.55*C269</f>
        <v>146418.03224999999</v>
      </c>
      <c r="S136" s="174">
        <v>107.55</v>
      </c>
      <c r="T136" s="95">
        <f>107.55*C269</f>
        <v>146418.03224999999</v>
      </c>
      <c r="U136" s="91">
        <v>923</v>
      </c>
      <c r="V136" s="110">
        <v>9.4000000000000004E-3</v>
      </c>
      <c r="W136" s="92">
        <v>0.14099999999999999</v>
      </c>
      <c r="X136" s="185">
        <f t="shared" si="78"/>
        <v>1.2260652050188309E-4</v>
      </c>
      <c r="Y136" s="185">
        <f t="shared" si="79"/>
        <v>-5.607846413804978E-4</v>
      </c>
      <c r="Z136" s="185">
        <f t="shared" si="80"/>
        <v>5.4466230936819175E-3</v>
      </c>
      <c r="AA136" s="185">
        <f t="shared" si="81"/>
        <v>8.2000000000000007E-3</v>
      </c>
      <c r="AB136" s="186">
        <f t="shared" si="82"/>
        <v>1.9799999999999984E-2</v>
      </c>
    </row>
    <row r="137" spans="1:31">
      <c r="A137" s="195">
        <v>122</v>
      </c>
      <c r="B137" s="83" t="s">
        <v>177</v>
      </c>
      <c r="C137" s="84" t="s">
        <v>42</v>
      </c>
      <c r="D137" s="190">
        <v>2041337.19</v>
      </c>
      <c r="E137" s="95">
        <v>2806722484.1638889</v>
      </c>
      <c r="F137" s="90">
        <f>(E137/$E$161)</f>
        <v>1.5001167042286061E-3</v>
      </c>
      <c r="G137" s="174">
        <v>161.924711</v>
      </c>
      <c r="H137" s="95">
        <v>222637.2641089441</v>
      </c>
      <c r="I137" s="174">
        <v>168.02726000000001</v>
      </c>
      <c r="J137" s="95">
        <v>231027.9272486784</v>
      </c>
      <c r="K137" s="91">
        <v>54</v>
      </c>
      <c r="L137" s="92">
        <v>6.9999999999999999E-4</v>
      </c>
      <c r="M137" s="92">
        <v>-2.7E-2</v>
      </c>
      <c r="N137" s="174">
        <v>2047650.59</v>
      </c>
      <c r="O137" s="95">
        <f>2047650.59*C269</f>
        <v>2787661274.9730501</v>
      </c>
      <c r="P137" s="90">
        <f t="shared" si="77"/>
        <v>1.5069612879765805E-3</v>
      </c>
      <c r="Q137" s="174">
        <v>162.42550800000001</v>
      </c>
      <c r="R137" s="95">
        <f>162.425508*C269</f>
        <v>221125.27446366</v>
      </c>
      <c r="S137" s="95">
        <v>168.58320499999999</v>
      </c>
      <c r="T137" s="95">
        <f>168.583205*C269</f>
        <v>229508.332370975</v>
      </c>
      <c r="U137" s="91">
        <v>54</v>
      </c>
      <c r="V137" s="92">
        <v>3.0999999999999999E-3</v>
      </c>
      <c r="W137" s="92">
        <v>-2.3900000000000001E-2</v>
      </c>
      <c r="X137" s="185">
        <f t="shared" ref="X137:X138" si="91">((O137-E137)/E137)</f>
        <v>-6.7912696386572286E-3</v>
      </c>
      <c r="Y137" s="185">
        <f t="shared" ref="Y137:Y138" si="92">((T137-J137)/J137)</f>
        <v>-6.5775375981610863E-3</v>
      </c>
      <c r="Z137" s="185">
        <f t="shared" ref="Z137:Z138" si="93">((U137-K137)/K137)</f>
        <v>0</v>
      </c>
      <c r="AA137" s="185">
        <f t="shared" ref="AA137:AA138" si="94">V137-L137</f>
        <v>2.3999999999999998E-3</v>
      </c>
      <c r="AB137" s="186">
        <f t="shared" ref="AB137:AB138" si="95">W137-M137</f>
        <v>3.0999999999999986E-3</v>
      </c>
    </row>
    <row r="138" spans="1:31" ht="15" customHeight="1">
      <c r="A138" s="195">
        <v>123</v>
      </c>
      <c r="B138" s="83" t="s">
        <v>178</v>
      </c>
      <c r="C138" s="84" t="s">
        <v>49</v>
      </c>
      <c r="D138" s="190">
        <v>114027507.95999999</v>
      </c>
      <c r="E138" s="89">
        <v>157129905968.88</v>
      </c>
      <c r="F138" s="90">
        <f>(E138/$E$161)</f>
        <v>8.3981654049422358E-2</v>
      </c>
      <c r="G138" s="174">
        <v>127.2259732</v>
      </c>
      <c r="H138" s="95">
        <v>175317.39106960001</v>
      </c>
      <c r="I138" s="174">
        <v>127.2259732</v>
      </c>
      <c r="J138" s="95">
        <v>175317.39106960001</v>
      </c>
      <c r="K138" s="91">
        <v>4388</v>
      </c>
      <c r="L138" s="92">
        <v>1.1000000000000001E-3</v>
      </c>
      <c r="M138" s="92">
        <v>5.9299999999999999E-2</v>
      </c>
      <c r="N138" s="174">
        <v>113470214.70999999</v>
      </c>
      <c r="O138" s="89">
        <f>113470214.71*1359.7</f>
        <v>154285450941.18698</v>
      </c>
      <c r="P138" s="90">
        <f t="shared" si="77"/>
        <v>8.3404036191099443E-2</v>
      </c>
      <c r="Q138" s="174">
        <v>127.35</v>
      </c>
      <c r="R138" s="95">
        <f>127.35*1359.7</f>
        <v>173157.79499999998</v>
      </c>
      <c r="S138" s="174">
        <v>127.35</v>
      </c>
      <c r="T138" s="95">
        <f>127.35*1359.7</f>
        <v>173157.79499999998</v>
      </c>
      <c r="U138" s="91">
        <v>4403</v>
      </c>
      <c r="V138" s="92">
        <v>7.1999999999999995E-2</v>
      </c>
      <c r="W138" s="92">
        <v>5.9999999999999995E-4</v>
      </c>
      <c r="X138" s="185">
        <f t="shared" si="91"/>
        <v>-1.8102569400483035E-2</v>
      </c>
      <c r="Y138" s="185">
        <f t="shared" si="92"/>
        <v>-1.2318207888130608E-2</v>
      </c>
      <c r="Z138" s="185">
        <f t="shared" si="93"/>
        <v>3.4184138559708297E-3</v>
      </c>
      <c r="AA138" s="185">
        <f t="shared" si="94"/>
        <v>7.0899999999999991E-2</v>
      </c>
      <c r="AB138" s="186">
        <f t="shared" si="95"/>
        <v>-5.8699999999999995E-2</v>
      </c>
    </row>
    <row r="139" spans="1:31" ht="4.8" customHeight="1"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</row>
    <row r="140" spans="1:31">
      <c r="A140" s="208"/>
      <c r="B140" s="216" t="s">
        <v>338</v>
      </c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8">
        <v>1374.9431</v>
      </c>
      <c r="AE140" s="31"/>
    </row>
    <row r="141" spans="1:31">
      <c r="A141" s="195">
        <v>124</v>
      </c>
      <c r="B141" s="83" t="s">
        <v>310</v>
      </c>
      <c r="C141" s="84" t="s">
        <v>311</v>
      </c>
      <c r="D141" s="190">
        <v>337668.67</v>
      </c>
      <c r="E141" s="89">
        <v>464275207.90267694</v>
      </c>
      <c r="F141" s="90">
        <f>(E141/$E$161)</f>
        <v>2.4814245037178633E-4</v>
      </c>
      <c r="G141" s="174">
        <v>1.01</v>
      </c>
      <c r="H141" s="95">
        <v>1388.6925309999999</v>
      </c>
      <c r="I141" s="174">
        <v>1.01</v>
      </c>
      <c r="J141" s="95">
        <v>1388.6925309999999</v>
      </c>
      <c r="K141" s="91">
        <v>36</v>
      </c>
      <c r="L141" s="92">
        <v>8.0600000000000005E-2</v>
      </c>
      <c r="M141" s="92">
        <v>7.1999999999999995E-2</v>
      </c>
      <c r="N141" s="174">
        <v>337374.81</v>
      </c>
      <c r="O141" s="89">
        <f>337374.81*C269</f>
        <v>459300379.45994997</v>
      </c>
      <c r="P141" s="90">
        <f>(O141/$O$161)</f>
        <v>2.4828981110905943E-4</v>
      </c>
      <c r="Q141" s="174">
        <v>1.0087999999999999</v>
      </c>
      <c r="R141" s="95">
        <f>1.0088*C269</f>
        <v>1373.3752759999998</v>
      </c>
      <c r="S141" s="95">
        <v>1.0087999999999999</v>
      </c>
      <c r="T141" s="95">
        <f>1.0088*C269</f>
        <v>1373.3752759999998</v>
      </c>
      <c r="U141" s="91">
        <v>37</v>
      </c>
      <c r="V141" s="92">
        <v>8.0100000000000005E-2</v>
      </c>
      <c r="W141" s="92">
        <v>7.1800000000000003E-2</v>
      </c>
      <c r="X141" s="185">
        <f>((O141-E141)/E141)</f>
        <v>-1.0715257584397682E-2</v>
      </c>
      <c r="Y141" s="185">
        <f>((T141-J141)/J141)</f>
        <v>-1.1029982993406162E-2</v>
      </c>
      <c r="Z141" s="185">
        <f>((U141-K141)/K141)</f>
        <v>2.7777777777777776E-2</v>
      </c>
      <c r="AA141" s="185">
        <f>V141-L141</f>
        <v>-5.0000000000000044E-4</v>
      </c>
      <c r="AB141" s="186">
        <f>W141-M141</f>
        <v>-1.9999999999999185E-4</v>
      </c>
      <c r="AC141" s="28"/>
      <c r="AE141" s="31"/>
    </row>
    <row r="142" spans="1:31">
      <c r="A142" s="195">
        <v>125</v>
      </c>
      <c r="B142" s="83" t="s">
        <v>179</v>
      </c>
      <c r="C142" s="84" t="s">
        <v>60</v>
      </c>
      <c r="D142" s="190">
        <v>1180003.53</v>
      </c>
      <c r="E142" s="89">
        <v>1622437711.5491431</v>
      </c>
      <c r="F142" s="90">
        <f>(E142/$E$161)</f>
        <v>8.6714875674298629E-4</v>
      </c>
      <c r="G142" s="174">
        <v>118.59</v>
      </c>
      <c r="H142" s="95">
        <v>163054.50222900001</v>
      </c>
      <c r="I142" s="174">
        <v>118.59</v>
      </c>
      <c r="J142" s="95">
        <v>163054.50222900001</v>
      </c>
      <c r="K142" s="91">
        <v>76</v>
      </c>
      <c r="L142" s="92">
        <v>1.1999999999999999E-3</v>
      </c>
      <c r="M142" s="92">
        <v>7.6700000000000004E-2</v>
      </c>
      <c r="N142" s="174">
        <v>1185567.69</v>
      </c>
      <c r="O142" s="89">
        <f>1185567.69*C269</f>
        <v>1614025925.3275499</v>
      </c>
      <c r="P142" s="90">
        <f>(O142/$O$161)</f>
        <v>8.7251439373053354E-4</v>
      </c>
      <c r="Q142" s="174">
        <v>119.15</v>
      </c>
      <c r="R142" s="95">
        <f>119.15*C269</f>
        <v>162210.21425000002</v>
      </c>
      <c r="S142" s="95">
        <v>119.15</v>
      </c>
      <c r="T142" s="95">
        <f>119.15*C269</f>
        <v>162210.21425000002</v>
      </c>
      <c r="U142" s="91">
        <v>76</v>
      </c>
      <c r="V142" s="92">
        <v>4.4000000000000003E-3</v>
      </c>
      <c r="W142" s="92">
        <v>8.6099999999999996E-2</v>
      </c>
      <c r="X142" s="185">
        <f>((O142-E142)/E142)</f>
        <v>-5.1846589620758773E-3</v>
      </c>
      <c r="Y142" s="185">
        <f>((T142-J142)/J142)</f>
        <v>-5.1779495043579697E-3</v>
      </c>
      <c r="Z142" s="185">
        <f>((U142-K142)/K142)</f>
        <v>0</v>
      </c>
      <c r="AA142" s="185">
        <f>V142-L142</f>
        <v>3.2000000000000006E-3</v>
      </c>
      <c r="AB142" s="186">
        <f>W142-M142</f>
        <v>9.3999999999999917E-3</v>
      </c>
    </row>
    <row r="143" spans="1:31">
      <c r="A143" s="195">
        <v>126</v>
      </c>
      <c r="B143" s="84" t="s">
        <v>180</v>
      </c>
      <c r="C143" s="84" t="s">
        <v>25</v>
      </c>
      <c r="D143" s="190">
        <v>20396504.100000001</v>
      </c>
      <c r="E143" s="95">
        <v>28044032576.41671</v>
      </c>
      <c r="F143" s="90">
        <f>(E143/$E$161)</f>
        <v>1.4988771408351823E-2</v>
      </c>
      <c r="G143" s="174">
        <v>137.88999999999999</v>
      </c>
      <c r="H143" s="89">
        <v>189590.90405899996</v>
      </c>
      <c r="I143" s="174">
        <v>137.88999999999999</v>
      </c>
      <c r="J143" s="89">
        <v>189590.90405899996</v>
      </c>
      <c r="K143" s="91">
        <v>682</v>
      </c>
      <c r="L143" s="92">
        <v>5.0000000000000001E-4</v>
      </c>
      <c r="M143" s="92">
        <v>1.6799999999999999E-2</v>
      </c>
      <c r="N143" s="174">
        <v>19861670.940000001</v>
      </c>
      <c r="O143" s="95">
        <f>19861670.94*C269</f>
        <v>27039579509.361301</v>
      </c>
      <c r="P143" s="90">
        <f>(O143/$O$161)</f>
        <v>1.4617127241962421E-2</v>
      </c>
      <c r="Q143" s="174">
        <v>138.03</v>
      </c>
      <c r="R143" s="89">
        <f>138.03*C269</f>
        <v>187913.35185000001</v>
      </c>
      <c r="S143" s="89">
        <v>138.03</v>
      </c>
      <c r="T143" s="89">
        <f>138.03*C269</f>
        <v>187913.35185000001</v>
      </c>
      <c r="U143" s="91">
        <v>682</v>
      </c>
      <c r="V143" s="92">
        <v>5.0000000000000001E-4</v>
      </c>
      <c r="W143" s="92">
        <v>1.7790463774613352E-2</v>
      </c>
      <c r="X143" s="185">
        <f t="shared" ref="X143:X161" si="96">((O143-E143)/E143)</f>
        <v>-3.5816998297887127E-2</v>
      </c>
      <c r="Y143" s="185">
        <f t="shared" ref="Y143:Y161" si="97">((T143-J143)/J143)</f>
        <v>-8.8482736939632396E-3</v>
      </c>
      <c r="Z143" s="185">
        <f t="shared" ref="Z143:Z161" si="98">((U143-K143)/K143)</f>
        <v>0</v>
      </c>
      <c r="AA143" s="185">
        <f t="shared" ref="AA143:AA161" si="99">V143-L143</f>
        <v>0</v>
      </c>
      <c r="AB143" s="186">
        <f t="shared" ref="AB143:AB161" si="100">W143-M143</f>
        <v>9.9046377461335308E-4</v>
      </c>
    </row>
    <row r="144" spans="1:31">
      <c r="A144" s="195">
        <v>127</v>
      </c>
      <c r="B144" s="84" t="s">
        <v>181</v>
      </c>
      <c r="C144" s="84" t="s">
        <v>130</v>
      </c>
      <c r="D144" s="190">
        <v>418412.81</v>
      </c>
      <c r="E144" s="95">
        <v>575293806.06111097</v>
      </c>
      <c r="F144" s="90">
        <f>(E144/$E$161)</f>
        <v>3.0747886660715271E-4</v>
      </c>
      <c r="G144" s="174">
        <v>103.43</v>
      </c>
      <c r="H144" s="89">
        <v>142210.364833</v>
      </c>
      <c r="I144" s="174">
        <v>103.43</v>
      </c>
      <c r="J144" s="89">
        <v>142210.364833</v>
      </c>
      <c r="K144" s="91">
        <v>23</v>
      </c>
      <c r="L144" s="92">
        <v>8.1999999999999998E-4</v>
      </c>
      <c r="M144" s="92">
        <v>2.5229999999999999E-2</v>
      </c>
      <c r="N144" s="174">
        <v>425825.56</v>
      </c>
      <c r="O144" s="95">
        <f>425825.56*C269</f>
        <v>579716788.25619996</v>
      </c>
      <c r="P144" s="90">
        <f>(O144/$O$161)</f>
        <v>3.1338483112538682E-4</v>
      </c>
      <c r="Q144" s="174">
        <v>103.54</v>
      </c>
      <c r="R144" s="89">
        <f>103.54*C269</f>
        <v>140958.8383</v>
      </c>
      <c r="S144" s="89">
        <v>103.54</v>
      </c>
      <c r="T144" s="89">
        <f>103.54*C269</f>
        <v>140958.8383</v>
      </c>
      <c r="U144" s="91">
        <v>18</v>
      </c>
      <c r="V144" s="92">
        <v>6.5200000000000002E-4</v>
      </c>
      <c r="W144" s="92">
        <v>6.3509999999999997E-2</v>
      </c>
      <c r="X144" s="185">
        <v>0</v>
      </c>
      <c r="Y144" s="185">
        <f t="shared" ref="Y144" si="101">((T144-J144)/J144)</f>
        <v>-8.800529655272912E-3</v>
      </c>
      <c r="Z144" s="185">
        <f t="shared" ref="Z144" si="102">((U144-K144)/K144)</f>
        <v>-0.21739130434782608</v>
      </c>
      <c r="AA144" s="185">
        <f t="shared" ref="AA144" si="103">V144-L144</f>
        <v>-1.6799999999999996E-4</v>
      </c>
      <c r="AB144" s="186">
        <f t="shared" ref="AB144" si="104">W144-M144</f>
        <v>3.8279999999999995E-2</v>
      </c>
    </row>
    <row r="145" spans="1:30">
      <c r="A145" s="195">
        <v>128</v>
      </c>
      <c r="B145" s="83" t="s">
        <v>182</v>
      </c>
      <c r="C145" s="84" t="s">
        <v>69</v>
      </c>
      <c r="D145" s="190">
        <v>12618906.26</v>
      </c>
      <c r="E145" s="89">
        <v>17363615013.759998</v>
      </c>
      <c r="F145" s="90">
        <f>(E145/$E$161)</f>
        <v>9.2803791877897109E-3</v>
      </c>
      <c r="G145" s="174">
        <v>121.25</v>
      </c>
      <c r="H145" s="89">
        <v>166840</v>
      </c>
      <c r="I145" s="174">
        <v>121.25</v>
      </c>
      <c r="J145" s="89">
        <v>166840</v>
      </c>
      <c r="K145" s="91">
        <v>469</v>
      </c>
      <c r="L145" s="92">
        <v>1.1000000000000001E-3</v>
      </c>
      <c r="M145" s="92">
        <v>6.6299999999999998E-2</v>
      </c>
      <c r="N145" s="174">
        <v>12658750.26</v>
      </c>
      <c r="O145" s="89">
        <v>17215900353.599998</v>
      </c>
      <c r="P145" s="90">
        <f t="shared" ref="P145:P146" si="105">(O145/$O$117)</f>
        <v>7.3289214554239535E-2</v>
      </c>
      <c r="Q145" s="174">
        <v>121.42</v>
      </c>
      <c r="R145" s="89">
        <v>165131.20000000001</v>
      </c>
      <c r="S145" s="174">
        <v>121.42</v>
      </c>
      <c r="T145" s="89">
        <v>165131.20000000001</v>
      </c>
      <c r="U145" s="91">
        <v>468</v>
      </c>
      <c r="V145" s="92">
        <v>1.4E-3</v>
      </c>
      <c r="W145" s="92">
        <v>6.6299999999999998E-2</v>
      </c>
      <c r="X145" s="185">
        <f t="shared" si="96"/>
        <v>-8.5071374850767909E-3</v>
      </c>
      <c r="Y145" s="185">
        <f t="shared" si="97"/>
        <v>-1.0242148165907386E-2</v>
      </c>
      <c r="Z145" s="185">
        <f t="shared" si="98"/>
        <v>-2.1321961620469083E-3</v>
      </c>
      <c r="AA145" s="185">
        <f t="shared" si="99"/>
        <v>2.9999999999999992E-4</v>
      </c>
      <c r="AB145" s="186">
        <f t="shared" si="100"/>
        <v>0</v>
      </c>
    </row>
    <row r="146" spans="1:30">
      <c r="A146" s="195">
        <v>129</v>
      </c>
      <c r="B146" s="83" t="s">
        <v>183</v>
      </c>
      <c r="C146" s="84" t="s">
        <v>71</v>
      </c>
      <c r="D146" s="190">
        <v>113715.39</v>
      </c>
      <c r="E146" s="95">
        <v>156352190.844309</v>
      </c>
      <c r="F146" s="90">
        <f t="shared" ref="F146" si="106">(E146/$E$117)</f>
        <v>6.6314632146001668E-4</v>
      </c>
      <c r="G146" s="174">
        <v>1.0573999999999999</v>
      </c>
      <c r="H146" s="94">
        <v>1453.8648339399999</v>
      </c>
      <c r="I146" s="174">
        <v>1.0573999999999999</v>
      </c>
      <c r="J146" s="94">
        <v>1453.8648339399999</v>
      </c>
      <c r="K146" s="91">
        <v>7</v>
      </c>
      <c r="L146" s="92">
        <v>-1.1000000000000001E-3</v>
      </c>
      <c r="M146" s="92">
        <v>8.5000000000000006E-2</v>
      </c>
      <c r="N146" s="174">
        <v>113991.41</v>
      </c>
      <c r="O146" s="95">
        <f>113991.41*C269</f>
        <v>155187335.61695001</v>
      </c>
      <c r="P146" s="90">
        <f t="shared" si="105"/>
        <v>6.6064264444659821E-4</v>
      </c>
      <c r="Q146" s="174">
        <v>1.06</v>
      </c>
      <c r="R146" s="94">
        <f>1.06*C269</f>
        <v>1443.0787</v>
      </c>
      <c r="S146" s="94">
        <v>1.06</v>
      </c>
      <c r="T146" s="94">
        <f>1.06*C269</f>
        <v>1443.0787</v>
      </c>
      <c r="U146" s="91">
        <v>7</v>
      </c>
      <c r="V146" s="92">
        <v>2.4588613580482921E-3</v>
      </c>
      <c r="W146" s="92">
        <v>8.760726401915786E-2</v>
      </c>
      <c r="X146" s="187">
        <f t="shared" si="96"/>
        <v>-7.4502008642713937E-3</v>
      </c>
      <c r="Y146" s="187">
        <f t="shared" si="97"/>
        <v>-7.4189386029575267E-3</v>
      </c>
      <c r="Z146" s="187">
        <f t="shared" si="98"/>
        <v>0</v>
      </c>
      <c r="AA146" s="185">
        <f t="shared" si="99"/>
        <v>3.5588613580482924E-3</v>
      </c>
      <c r="AB146" s="186">
        <f t="shared" si="100"/>
        <v>2.6072640191578539E-3</v>
      </c>
    </row>
    <row r="147" spans="1:30">
      <c r="A147" s="195">
        <v>130</v>
      </c>
      <c r="B147" s="83" t="s">
        <v>184</v>
      </c>
      <c r="C147" s="84" t="s">
        <v>67</v>
      </c>
      <c r="D147" s="190">
        <v>9755087.8604630996</v>
      </c>
      <c r="E147" s="89">
        <v>13412690743.637501</v>
      </c>
      <c r="F147" s="90">
        <f t="shared" ref="F147:F160" si="107">(E147/$E$161)</f>
        <v>7.1687178004621512E-3</v>
      </c>
      <c r="G147" s="174">
        <v>1.3730421115244407</v>
      </c>
      <c r="H147" s="89">
        <v>1887.8547772499601</v>
      </c>
      <c r="I147" s="174">
        <v>1.3730421115244407</v>
      </c>
      <c r="J147" s="89">
        <v>1887.8547772499601</v>
      </c>
      <c r="K147" s="91">
        <v>363</v>
      </c>
      <c r="L147" s="92">
        <v>6.7299999999999999E-2</v>
      </c>
      <c r="M147" s="92">
        <v>6.9800000000000001E-2</v>
      </c>
      <c r="N147" s="174">
        <f>O147/C269</f>
        <v>9693035.5962259304</v>
      </c>
      <c r="O147" s="89">
        <v>13196050195.524</v>
      </c>
      <c r="P147" s="90">
        <f t="shared" ref="P147:P160" si="108">(O147/$O$161)</f>
        <v>7.1335556358233312E-3</v>
      </c>
      <c r="Q147" s="174">
        <f>R147/C269</f>
        <v>1.3701768797729899</v>
      </c>
      <c r="R147" s="89">
        <v>1865.3519532385494</v>
      </c>
      <c r="S147" s="89">
        <f>T147/C269</f>
        <v>1.3701768797729899</v>
      </c>
      <c r="T147" s="89">
        <v>1865.3519532385494</v>
      </c>
      <c r="U147" s="91">
        <v>364</v>
      </c>
      <c r="V147" s="92">
        <v>7.1886181197260396E-2</v>
      </c>
      <c r="W147" s="92">
        <v>7.00388905244827E-2</v>
      </c>
      <c r="X147" s="185">
        <f t="shared" si="96"/>
        <v>-1.6151908088708235E-2</v>
      </c>
      <c r="Y147" s="185">
        <f t="shared" si="97"/>
        <v>-1.1919785506060245E-2</v>
      </c>
      <c r="Z147" s="187">
        <f t="shared" si="98"/>
        <v>2.7548209366391185E-3</v>
      </c>
      <c r="AA147" s="185">
        <f t="shared" si="99"/>
        <v>4.5861811972603972E-3</v>
      </c>
      <c r="AB147" s="186">
        <f t="shared" si="100"/>
        <v>2.3889052448269887E-4</v>
      </c>
    </row>
    <row r="148" spans="1:30">
      <c r="A148" s="195">
        <v>131</v>
      </c>
      <c r="B148" s="83" t="s">
        <v>185</v>
      </c>
      <c r="C148" s="84" t="s">
        <v>89</v>
      </c>
      <c r="D148" s="190">
        <v>200656.84</v>
      </c>
      <c r="E148" s="89">
        <v>275891737.62580401</v>
      </c>
      <c r="F148" s="90">
        <f t="shared" si="107"/>
        <v>1.4745661764077633E-4</v>
      </c>
      <c r="G148" s="174">
        <v>1.05</v>
      </c>
      <c r="H148" s="89">
        <v>1443.690255</v>
      </c>
      <c r="I148" s="174">
        <v>1.05</v>
      </c>
      <c r="J148" s="89">
        <v>1443.690255</v>
      </c>
      <c r="K148" s="91">
        <v>11</v>
      </c>
      <c r="L148" s="92">
        <v>6.7299999999999999E-2</v>
      </c>
      <c r="M148" s="92">
        <v>6.7299999999999999E-2</v>
      </c>
      <c r="N148" s="174">
        <v>193674.57</v>
      </c>
      <c r="O148" s="89">
        <f>193674.57*C269</f>
        <v>263667591.22515002</v>
      </c>
      <c r="P148" s="90">
        <f t="shared" si="108"/>
        <v>1.4253412221833727E-4</v>
      </c>
      <c r="Q148" s="174">
        <v>1.0450999999999999</v>
      </c>
      <c r="R148" s="89">
        <f>1.0451*C269</f>
        <v>1422.7939144999998</v>
      </c>
      <c r="S148" s="174">
        <v>1.0450999999999999</v>
      </c>
      <c r="T148" s="89">
        <f>1.0451*C269</f>
        <v>1422.7939144999998</v>
      </c>
      <c r="U148" s="91">
        <v>10</v>
      </c>
      <c r="V148" s="92">
        <v>6.7254999999999995E-2</v>
      </c>
      <c r="W148" s="92">
        <v>6.7254999999999995E-2</v>
      </c>
      <c r="X148" s="185">
        <f t="shared" si="96"/>
        <v>-4.4307765451221219E-2</v>
      </c>
      <c r="Y148" s="185">
        <f t="shared" si="97"/>
        <v>-1.4474254728553376E-2</v>
      </c>
      <c r="Z148" s="187">
        <f t="shared" si="98"/>
        <v>-9.0909090909090912E-2</v>
      </c>
      <c r="AA148" s="185">
        <f t="shared" si="99"/>
        <v>-4.5000000000003371E-5</v>
      </c>
      <c r="AB148" s="186">
        <f t="shared" si="100"/>
        <v>-4.5000000000003371E-5</v>
      </c>
    </row>
    <row r="149" spans="1:30" ht="15.6">
      <c r="A149" s="195">
        <v>132</v>
      </c>
      <c r="B149" s="83" t="s">
        <v>186</v>
      </c>
      <c r="C149" s="84" t="s">
        <v>35</v>
      </c>
      <c r="D149" s="190">
        <v>108705199.07849279</v>
      </c>
      <c r="E149" s="89">
        <v>149463463407.10001</v>
      </c>
      <c r="F149" s="90">
        <f t="shared" si="107"/>
        <v>7.9884149357090345E-2</v>
      </c>
      <c r="G149" s="174">
        <v>100</v>
      </c>
      <c r="H149" s="89">
        <v>137494.31</v>
      </c>
      <c r="I149" s="174">
        <v>100</v>
      </c>
      <c r="J149" s="89">
        <v>137494.31</v>
      </c>
      <c r="K149" s="91">
        <v>3271</v>
      </c>
      <c r="L149" s="92">
        <v>3.9E-2</v>
      </c>
      <c r="M149" s="92">
        <v>4.9500000000000002E-2</v>
      </c>
      <c r="N149" s="174">
        <f>O149/C269</f>
        <v>111459781.5492876</v>
      </c>
      <c r="O149" s="89">
        <v>151740789302.29239</v>
      </c>
      <c r="P149" s="90">
        <f t="shared" si="108"/>
        <v>8.2028436287610348E-2</v>
      </c>
      <c r="Q149" s="174">
        <v>100</v>
      </c>
      <c r="R149" s="89">
        <f>100*C269</f>
        <v>136139.5</v>
      </c>
      <c r="S149" s="89">
        <v>100</v>
      </c>
      <c r="T149" s="89">
        <f>100*C269</f>
        <v>136139.5</v>
      </c>
      <c r="U149" s="91">
        <v>3340</v>
      </c>
      <c r="V149" s="92">
        <v>4.8480000000000002E-2</v>
      </c>
      <c r="W149" s="92">
        <v>4.9404535703125002E-2</v>
      </c>
      <c r="X149" s="185">
        <f t="shared" si="96"/>
        <v>1.5236672851541873E-2</v>
      </c>
      <c r="Y149" s="185">
        <f t="shared" si="97"/>
        <v>-9.8535713950635324E-3</v>
      </c>
      <c r="Z149" s="185">
        <f t="shared" si="98"/>
        <v>2.1094466523998778E-2</v>
      </c>
      <c r="AA149" s="185">
        <f t="shared" si="99"/>
        <v>9.4800000000000023E-3</v>
      </c>
      <c r="AB149" s="186">
        <f t="shared" si="100"/>
        <v>-9.5464296875000243E-5</v>
      </c>
      <c r="AD149" s="29"/>
    </row>
    <row r="150" spans="1:30" ht="15.6">
      <c r="A150" s="195">
        <v>133</v>
      </c>
      <c r="B150" s="83" t="s">
        <v>187</v>
      </c>
      <c r="C150" s="84" t="s">
        <v>143</v>
      </c>
      <c r="D150" s="190">
        <v>1128175.75</v>
      </c>
      <c r="E150" s="89">
        <v>1551177463.049825</v>
      </c>
      <c r="F150" s="90">
        <f t="shared" si="107"/>
        <v>8.2906209526346594E-4</v>
      </c>
      <c r="G150" s="174">
        <v>1.1499999999999999</v>
      </c>
      <c r="H150" s="89">
        <v>1581.1845649999998</v>
      </c>
      <c r="I150" s="174">
        <v>1.1499999999999999</v>
      </c>
      <c r="J150" s="89">
        <v>1581.1845649999998</v>
      </c>
      <c r="K150" s="91">
        <v>53</v>
      </c>
      <c r="L150" s="92">
        <v>1.9E-3</v>
      </c>
      <c r="M150" s="92">
        <v>0.1053</v>
      </c>
      <c r="N150" s="174">
        <v>1129483.1599999999</v>
      </c>
      <c r="O150" s="89">
        <f>1129483.16*C269</f>
        <v>1537672726.6081998</v>
      </c>
      <c r="P150" s="90">
        <f t="shared" si="108"/>
        <v>8.3123918008953768E-4</v>
      </c>
      <c r="Q150" s="174">
        <v>1.1499999999999999</v>
      </c>
      <c r="R150" s="89">
        <f>1.15*C269</f>
        <v>1565.6042499999999</v>
      </c>
      <c r="S150" s="89">
        <v>1.1499999999999999</v>
      </c>
      <c r="T150" s="89">
        <f>1.15*C269</f>
        <v>1565.6042499999999</v>
      </c>
      <c r="U150" s="91">
        <v>53</v>
      </c>
      <c r="V150" s="92">
        <v>1.9E-3</v>
      </c>
      <c r="W150" s="92">
        <v>0.1053</v>
      </c>
      <c r="X150" s="185">
        <f t="shared" si="96"/>
        <v>-8.7061195532540658E-3</v>
      </c>
      <c r="Y150" s="185">
        <f t="shared" si="97"/>
        <v>-9.8535713950635047E-3</v>
      </c>
      <c r="Z150" s="185">
        <f t="shared" si="98"/>
        <v>0</v>
      </c>
      <c r="AA150" s="185">
        <f t="shared" si="99"/>
        <v>0</v>
      </c>
      <c r="AB150" s="186">
        <f t="shared" si="100"/>
        <v>0</v>
      </c>
      <c r="AD150" s="29"/>
    </row>
    <row r="151" spans="1:30" ht="15.6">
      <c r="A151" s="195">
        <v>134</v>
      </c>
      <c r="B151" s="83" t="s">
        <v>304</v>
      </c>
      <c r="C151" s="84" t="s">
        <v>40</v>
      </c>
      <c r="D151" s="190">
        <v>7786468.29</v>
      </c>
      <c r="E151" s="95">
        <v>10705950848.704298</v>
      </c>
      <c r="F151" s="90">
        <f t="shared" si="107"/>
        <v>5.722039066351086E-3</v>
      </c>
      <c r="G151" s="174">
        <v>10.81</v>
      </c>
      <c r="H151" s="89">
        <v>14863.134911000001</v>
      </c>
      <c r="I151" s="174">
        <v>10.81</v>
      </c>
      <c r="J151" s="89">
        <v>14863.134911000001</v>
      </c>
      <c r="K151" s="91">
        <v>256</v>
      </c>
      <c r="L151" s="92">
        <v>5.7000000000000002E-2</v>
      </c>
      <c r="M151" s="92">
        <v>7.5300000000000006E-2</v>
      </c>
      <c r="N151" s="174">
        <v>7894468.8200000003</v>
      </c>
      <c r="O151" s="95">
        <f>7894468.82*C269</f>
        <v>10747490379.203899</v>
      </c>
      <c r="P151" s="90">
        <f t="shared" si="108"/>
        <v>5.8099067091706086E-3</v>
      </c>
      <c r="Q151" s="174">
        <v>10.84</v>
      </c>
      <c r="R151" s="89">
        <f>10.84*C269</f>
        <v>14757.5218</v>
      </c>
      <c r="S151" s="89">
        <v>10.84</v>
      </c>
      <c r="T151" s="89">
        <f>10.84*C269</f>
        <v>14757.5218</v>
      </c>
      <c r="U151" s="91">
        <v>257</v>
      </c>
      <c r="V151" s="92">
        <v>0.14660000000000001</v>
      </c>
      <c r="W151" s="92">
        <v>0.16800000000000001</v>
      </c>
      <c r="X151" s="185">
        <f t="shared" si="96"/>
        <v>3.8800412113445056E-3</v>
      </c>
      <c r="Y151" s="185">
        <f t="shared" si="97"/>
        <v>-7.105708966002708E-3</v>
      </c>
      <c r="Z151" s="185">
        <f t="shared" si="98"/>
        <v>3.90625E-3</v>
      </c>
      <c r="AA151" s="185">
        <f t="shared" si="99"/>
        <v>8.9600000000000013E-2</v>
      </c>
      <c r="AB151" s="186">
        <f t="shared" si="100"/>
        <v>9.2700000000000005E-2</v>
      </c>
      <c r="AD151" s="29"/>
    </row>
    <row r="152" spans="1:30" ht="15.6">
      <c r="A152" s="195">
        <v>135</v>
      </c>
      <c r="B152" s="84" t="s">
        <v>188</v>
      </c>
      <c r="C152" s="117" t="s">
        <v>44</v>
      </c>
      <c r="D152" s="190">
        <v>23497721.340003088</v>
      </c>
      <c r="E152" s="89">
        <v>32308029822.16</v>
      </c>
      <c r="F152" s="90">
        <f t="shared" si="107"/>
        <v>1.7267761772099797E-2</v>
      </c>
      <c r="G152" s="174">
        <v>1.1100000000000001</v>
      </c>
      <c r="H152" s="89">
        <v>1526.1868410000002</v>
      </c>
      <c r="I152" s="174">
        <v>1.1100000000000001</v>
      </c>
      <c r="J152" s="89">
        <v>1526.1868410000002</v>
      </c>
      <c r="K152" s="91">
        <v>606</v>
      </c>
      <c r="L152" s="92">
        <v>8.9999999999999998E-4</v>
      </c>
      <c r="M152" s="92">
        <v>6.7500000000000004E-2</v>
      </c>
      <c r="N152" s="174">
        <f>O152/C269</f>
        <v>24165376.281725731</v>
      </c>
      <c r="O152" s="89">
        <v>32898622443.060001</v>
      </c>
      <c r="P152" s="90">
        <f t="shared" si="108"/>
        <v>1.7784424131632788E-2</v>
      </c>
      <c r="Q152" s="174">
        <v>1.1200000000000001</v>
      </c>
      <c r="R152" s="89">
        <f>1.12*C269</f>
        <v>1524.7624000000001</v>
      </c>
      <c r="S152" s="89">
        <v>1.1200000000000001</v>
      </c>
      <c r="T152" s="89">
        <f>1.12*C269</f>
        <v>1524.7624000000001</v>
      </c>
      <c r="U152" s="91">
        <v>610</v>
      </c>
      <c r="V152" s="92">
        <v>6.8999999999999999E-3</v>
      </c>
      <c r="W152" s="92">
        <v>7.7499999999999999E-2</v>
      </c>
      <c r="X152" s="185">
        <f t="shared" si="96"/>
        <v>1.8280056820268113E-2</v>
      </c>
      <c r="Y152" s="185">
        <f t="shared" si="97"/>
        <v>-9.3333329952365583E-4</v>
      </c>
      <c r="Z152" s="185">
        <f t="shared" si="98"/>
        <v>6.6006600660066007E-3</v>
      </c>
      <c r="AA152" s="185">
        <f t="shared" si="99"/>
        <v>6.0000000000000001E-3</v>
      </c>
      <c r="AB152" s="186">
        <f t="shared" si="100"/>
        <v>9.999999999999995E-3</v>
      </c>
      <c r="AD152" s="29"/>
    </row>
    <row r="153" spans="1:30">
      <c r="A153" s="195">
        <v>136</v>
      </c>
      <c r="B153" s="83" t="s">
        <v>189</v>
      </c>
      <c r="C153" s="84" t="s">
        <v>100</v>
      </c>
      <c r="D153" s="190">
        <v>314390.39</v>
      </c>
      <c r="E153" s="95">
        <v>432346520.42410004</v>
      </c>
      <c r="F153" s="90">
        <f t="shared" si="107"/>
        <v>2.3107743674790601E-4</v>
      </c>
      <c r="G153" s="174">
        <v>1.26</v>
      </c>
      <c r="H153" s="89">
        <v>1732.7394000000002</v>
      </c>
      <c r="I153" s="174">
        <v>1.26</v>
      </c>
      <c r="J153" s="89">
        <v>1732.7394000000002</v>
      </c>
      <c r="K153" s="91">
        <v>2</v>
      </c>
      <c r="L153" s="92">
        <v>2.0000000000000001E-4</v>
      </c>
      <c r="M153" s="92">
        <v>-0.15010000000000001</v>
      </c>
      <c r="N153" s="174">
        <v>314991.21999999997</v>
      </c>
      <c r="O153" s="95">
        <f>314991.22*1361.39</f>
        <v>428825896.99580002</v>
      </c>
      <c r="P153" s="90">
        <f t="shared" si="108"/>
        <v>2.318158349639343E-4</v>
      </c>
      <c r="Q153" s="174">
        <v>1.26</v>
      </c>
      <c r="R153" s="89">
        <f>1.26*1361.39</f>
        <v>1715.3514000000002</v>
      </c>
      <c r="S153" s="89">
        <v>1.26</v>
      </c>
      <c r="T153" s="89">
        <f>1.26*1361.39</f>
        <v>1715.3514000000002</v>
      </c>
      <c r="U153" s="91">
        <v>2</v>
      </c>
      <c r="V153" s="92">
        <v>1.1999999999999999E-3</v>
      </c>
      <c r="W153" s="92">
        <v>-0.13700000000000001</v>
      </c>
      <c r="X153" s="185">
        <f t="shared" si="96"/>
        <v>-8.1430594719405884E-3</v>
      </c>
      <c r="Y153" s="185">
        <f t="shared" si="97"/>
        <v>-1.0034976984998389E-2</v>
      </c>
      <c r="Z153" s="185">
        <f t="shared" si="98"/>
        <v>0</v>
      </c>
      <c r="AA153" s="185">
        <f t="shared" ref="AA153" si="109">V153-L153</f>
        <v>9.999999999999998E-4</v>
      </c>
      <c r="AB153" s="186">
        <f t="shared" ref="AB153" si="110">W153-M153</f>
        <v>1.3100000000000001E-2</v>
      </c>
    </row>
    <row r="154" spans="1:30">
      <c r="A154" s="195">
        <v>137</v>
      </c>
      <c r="B154" s="83" t="s">
        <v>190</v>
      </c>
      <c r="C154" s="84" t="s">
        <v>105</v>
      </c>
      <c r="D154" s="190">
        <v>562722.25</v>
      </c>
      <c r="E154" s="95">
        <v>773711074.85397494</v>
      </c>
      <c r="F154" s="90">
        <f t="shared" si="107"/>
        <v>4.1352749129412849E-4</v>
      </c>
      <c r="G154" s="174">
        <v>1.0867</v>
      </c>
      <c r="H154" s="89">
        <v>1494.15066677</v>
      </c>
      <c r="I154" s="174">
        <v>1.0867</v>
      </c>
      <c r="J154" s="89">
        <v>1494.15066677</v>
      </c>
      <c r="K154" s="91">
        <v>14</v>
      </c>
      <c r="L154" s="92">
        <v>1.1999999999999999E-3</v>
      </c>
      <c r="M154" s="92">
        <v>5.5E-2</v>
      </c>
      <c r="N154" s="174">
        <v>564448.79</v>
      </c>
      <c r="O154" s="95">
        <f>564448.79*C269</f>
        <v>768437760.46205008</v>
      </c>
      <c r="P154" s="90">
        <f t="shared" si="108"/>
        <v>4.1540411226859879E-4</v>
      </c>
      <c r="Q154" s="174">
        <v>1.0892999999999999</v>
      </c>
      <c r="R154" s="89">
        <f>1.0893*C269</f>
        <v>1482.9675734999998</v>
      </c>
      <c r="S154" s="89">
        <v>1.0892999999999999</v>
      </c>
      <c r="T154" s="89">
        <f>1.0893*C269</f>
        <v>1482.9675734999998</v>
      </c>
      <c r="U154" s="91">
        <v>14</v>
      </c>
      <c r="V154" s="92">
        <v>-8.9999999999999998E-4</v>
      </c>
      <c r="W154" s="92">
        <v>5.6000000000000001E-2</v>
      </c>
      <c r="X154" s="185">
        <f t="shared" ref="X154" si="111">((O154-E154)/E154)</f>
        <v>-6.8156118780128725E-3</v>
      </c>
      <c r="Y154" s="185">
        <f t="shared" ref="Y154" si="112">((T154-J154)/J154)</f>
        <v>-7.4845820563567388E-3</v>
      </c>
      <c r="Z154" s="185">
        <f t="shared" si="98"/>
        <v>0</v>
      </c>
      <c r="AA154" s="185">
        <f t="shared" si="99"/>
        <v>-2.0999999999999999E-3</v>
      </c>
      <c r="AB154" s="186">
        <f t="shared" si="100"/>
        <v>1.0000000000000009E-3</v>
      </c>
    </row>
    <row r="155" spans="1:30">
      <c r="A155" s="195">
        <v>138</v>
      </c>
      <c r="B155" s="83" t="s">
        <v>191</v>
      </c>
      <c r="C155" s="84" t="s">
        <v>46</v>
      </c>
      <c r="D155" s="190">
        <v>647513745.95000005</v>
      </c>
      <c r="E155" s="95">
        <v>892273941919.09998</v>
      </c>
      <c r="F155" s="90">
        <f t="shared" si="107"/>
        <v>0.47689611373155943</v>
      </c>
      <c r="G155" s="174">
        <v>1.6924999999999999</v>
      </c>
      <c r="H155" s="89">
        <v>2332.27</v>
      </c>
      <c r="I155" s="174">
        <v>1.6924999999999999</v>
      </c>
      <c r="J155" s="89">
        <v>2332.27</v>
      </c>
      <c r="K155" s="91">
        <v>13532</v>
      </c>
      <c r="L155" s="92">
        <v>6.9999999999999999E-4</v>
      </c>
      <c r="M155" s="92">
        <v>1.1900000000000001E-2</v>
      </c>
      <c r="N155" s="174">
        <v>646996195.23000002</v>
      </c>
      <c r="O155" s="95">
        <f>646996195.23*1359.7</f>
        <v>879720726654.23108</v>
      </c>
      <c r="P155" s="90">
        <f t="shared" si="108"/>
        <v>0.4755617517811126</v>
      </c>
      <c r="Q155" s="174">
        <v>1.694</v>
      </c>
      <c r="R155" s="89">
        <f>1.694*1359.7</f>
        <v>2303.3317999999999</v>
      </c>
      <c r="S155" s="174">
        <v>1.694</v>
      </c>
      <c r="T155" s="89">
        <f>1.694*1359.7</f>
        <v>2303.3317999999999</v>
      </c>
      <c r="U155" s="91">
        <v>13578</v>
      </c>
      <c r="V155" s="92">
        <v>7.6800378094160605E-4</v>
      </c>
      <c r="W155" s="92">
        <v>1.26733620277378E-2</v>
      </c>
      <c r="X155" s="185">
        <f t="shared" si="96"/>
        <v>-1.4068790620366521E-2</v>
      </c>
      <c r="Y155" s="185">
        <f t="shared" si="97"/>
        <v>-1.2407740098702146E-2</v>
      </c>
      <c r="Z155" s="185">
        <f t="shared" si="98"/>
        <v>3.3993496896245934E-3</v>
      </c>
      <c r="AA155" s="185">
        <f t="shared" si="99"/>
        <v>6.8003780941606052E-5</v>
      </c>
      <c r="AB155" s="186">
        <f t="shared" si="100"/>
        <v>7.7336202773779956E-4</v>
      </c>
    </row>
    <row r="156" spans="1:30">
      <c r="A156" s="195">
        <v>139</v>
      </c>
      <c r="B156" s="83" t="s">
        <v>192</v>
      </c>
      <c r="C156" s="83" t="s">
        <v>110</v>
      </c>
      <c r="D156" s="190">
        <v>409857.48</v>
      </c>
      <c r="E156" s="95">
        <v>563530714.10938799</v>
      </c>
      <c r="F156" s="90">
        <f t="shared" si="107"/>
        <v>3.0119181442093935E-4</v>
      </c>
      <c r="G156" s="174">
        <v>116.24</v>
      </c>
      <c r="H156" s="89">
        <v>159823.38594399998</v>
      </c>
      <c r="I156" s="174">
        <v>116.24</v>
      </c>
      <c r="J156" s="89">
        <v>159823.38594399998</v>
      </c>
      <c r="K156" s="91">
        <v>32</v>
      </c>
      <c r="L156" s="92">
        <v>1.4E-3</v>
      </c>
      <c r="M156" s="92">
        <v>2.2100000000000002E-2</v>
      </c>
      <c r="N156" s="174">
        <v>410446.44</v>
      </c>
      <c r="O156" s="95">
        <f>410446.44*C269</f>
        <v>558779731.18379998</v>
      </c>
      <c r="P156" s="90">
        <f t="shared" si="108"/>
        <v>3.0206662156545089E-4</v>
      </c>
      <c r="Q156" s="174">
        <v>116.402</v>
      </c>
      <c r="R156" s="89">
        <f>116.402*C269</f>
        <v>158469.10079</v>
      </c>
      <c r="S156" s="89">
        <v>116.402</v>
      </c>
      <c r="T156" s="89">
        <f>116.402*C269</f>
        <v>158469.10079</v>
      </c>
      <c r="U156" s="91">
        <v>32</v>
      </c>
      <c r="V156" s="92">
        <v>1.4E-3</v>
      </c>
      <c r="W156" s="92">
        <v>2.3800000000000002E-2</v>
      </c>
      <c r="X156" s="185">
        <f t="shared" ref="X156" si="113">((O156-E156)/E156)</f>
        <v>-8.4307435364841341E-3</v>
      </c>
      <c r="Y156" s="185">
        <f t="shared" ref="Y156" si="114">((T156-J156)/J156)</f>
        <v>-8.4736357323483731E-3</v>
      </c>
      <c r="Z156" s="185">
        <f t="shared" ref="Z156" si="115">((U156-K156)/K156)</f>
        <v>0</v>
      </c>
      <c r="AA156" s="185">
        <f t="shared" ref="AA156" si="116">V156-L156</f>
        <v>0</v>
      </c>
      <c r="AB156" s="186">
        <f t="shared" ref="AB156" si="117">W156-M156</f>
        <v>1.7000000000000001E-3</v>
      </c>
    </row>
    <row r="157" spans="1:30" ht="16.5" customHeight="1">
      <c r="A157" s="195">
        <v>140</v>
      </c>
      <c r="B157" s="83" t="s">
        <v>193</v>
      </c>
      <c r="C157" s="84" t="s">
        <v>49</v>
      </c>
      <c r="D157" s="190">
        <v>135596565.56</v>
      </c>
      <c r="E157" s="95">
        <v>186852067341.67999</v>
      </c>
      <c r="F157" s="90">
        <f t="shared" si="107"/>
        <v>9.9867339582168466E-2</v>
      </c>
      <c r="G157" s="174">
        <v>1.2712794999999999</v>
      </c>
      <c r="H157" s="89">
        <v>1751.8231509999998</v>
      </c>
      <c r="I157" s="174">
        <v>1.2712794999999999</v>
      </c>
      <c r="J157" s="89">
        <v>1751.8231509999998</v>
      </c>
      <c r="K157" s="91">
        <v>1029</v>
      </c>
      <c r="L157" s="92">
        <v>8.0000000000000004E-4</v>
      </c>
      <c r="M157" s="92">
        <v>5.7799999999999997E-2</v>
      </c>
      <c r="N157" s="174">
        <v>134283654.41</v>
      </c>
      <c r="O157" s="95">
        <f>134283654.41*1359.7</f>
        <v>182585484901.27701</v>
      </c>
      <c r="P157" s="90">
        <f t="shared" si="108"/>
        <v>9.8702543226065712E-2</v>
      </c>
      <c r="Q157" s="174">
        <v>1.27</v>
      </c>
      <c r="R157" s="89">
        <f>1.27*1359.7</f>
        <v>1726.8190000000002</v>
      </c>
      <c r="S157" s="89">
        <v>1.27</v>
      </c>
      <c r="T157" s="89">
        <f>1.27*1359.7</f>
        <v>1726.8190000000002</v>
      </c>
      <c r="U157" s="91">
        <v>1034</v>
      </c>
      <c r="V157" s="92">
        <v>7.0800000000000002E-2</v>
      </c>
      <c r="W157" s="92">
        <v>5.8599999999999999E-2</v>
      </c>
      <c r="X157" s="185">
        <f t="shared" si="96"/>
        <v>-2.2834012495034691E-2</v>
      </c>
      <c r="Y157" s="185">
        <f t="shared" si="97"/>
        <v>-1.4273216440670066E-2</v>
      </c>
      <c r="Z157" s="185">
        <f t="shared" si="98"/>
        <v>4.859086491739553E-3</v>
      </c>
      <c r="AA157" s="185">
        <f t="shared" si="99"/>
        <v>7.0000000000000007E-2</v>
      </c>
      <c r="AB157" s="186">
        <f t="shared" si="100"/>
        <v>8.000000000000021E-4</v>
      </c>
    </row>
    <row r="158" spans="1:30" ht="16.5" customHeight="1">
      <c r="A158" s="195">
        <v>141</v>
      </c>
      <c r="B158" s="83" t="s">
        <v>194</v>
      </c>
      <c r="C158" s="84" t="s">
        <v>107</v>
      </c>
      <c r="D158" s="190">
        <v>1492308.97525924</v>
      </c>
      <c r="E158" s="89">
        <v>2051839928.6007626</v>
      </c>
      <c r="F158" s="90">
        <f t="shared" si="107"/>
        <v>1.0966525435499755E-3</v>
      </c>
      <c r="G158" s="174">
        <v>115.85</v>
      </c>
      <c r="H158" s="89">
        <v>159287.15813499998</v>
      </c>
      <c r="I158" s="174">
        <v>115.85</v>
      </c>
      <c r="J158" s="89">
        <v>159287.15813499998</v>
      </c>
      <c r="K158" s="91">
        <v>33</v>
      </c>
      <c r="L158" s="92">
        <v>1.6000000000000001E-3</v>
      </c>
      <c r="M158" s="92">
        <v>3.6200000000000003E-2</v>
      </c>
      <c r="N158" s="174">
        <v>1487505.7319736565</v>
      </c>
      <c r="O158" s="89">
        <v>2022561543.7645807</v>
      </c>
      <c r="P158" s="90">
        <f t="shared" si="108"/>
        <v>1.0933616563701197E-3</v>
      </c>
      <c r="Q158" s="174">
        <v>116.37</v>
      </c>
      <c r="R158" s="89">
        <v>158228.28900000002</v>
      </c>
      <c r="S158" s="174">
        <v>116.37</v>
      </c>
      <c r="T158" s="89">
        <v>158228.28900000002</v>
      </c>
      <c r="U158" s="91">
        <v>33</v>
      </c>
      <c r="V158" s="92">
        <v>4.3E-3</v>
      </c>
      <c r="W158" s="92">
        <v>4.0800000000000003E-2</v>
      </c>
      <c r="X158" s="185">
        <f t="shared" si="96"/>
        <v>-1.4269331846051003E-2</v>
      </c>
      <c r="Y158" s="185">
        <f t="shared" si="97"/>
        <v>-6.6475486624134397E-3</v>
      </c>
      <c r="Z158" s="185">
        <f t="shared" si="98"/>
        <v>0</v>
      </c>
      <c r="AA158" s="185">
        <f t="shared" si="99"/>
        <v>2.7000000000000001E-3</v>
      </c>
      <c r="AB158" s="186">
        <f t="shared" si="100"/>
        <v>4.5999999999999999E-3</v>
      </c>
    </row>
    <row r="159" spans="1:30" ht="16.5" customHeight="1">
      <c r="A159" s="195">
        <v>142</v>
      </c>
      <c r="B159" s="83" t="s">
        <v>195</v>
      </c>
      <c r="C159" s="84" t="s">
        <v>117</v>
      </c>
      <c r="D159" s="190">
        <v>4291107.6900000004</v>
      </c>
      <c r="E159" s="89">
        <v>5900028909.7224398</v>
      </c>
      <c r="F159" s="90">
        <f t="shared" si="107"/>
        <v>3.1534047177246734E-3</v>
      </c>
      <c r="G159" s="174">
        <v>1.18</v>
      </c>
      <c r="H159" s="89">
        <v>1622.4328579999999</v>
      </c>
      <c r="I159" s="174">
        <v>1.18</v>
      </c>
      <c r="J159" s="89">
        <v>1622.4328579999999</v>
      </c>
      <c r="K159" s="91">
        <v>56</v>
      </c>
      <c r="L159" s="92">
        <v>1.9099999999999999E-2</v>
      </c>
      <c r="M159" s="92">
        <v>1.9900000000000001E-2</v>
      </c>
      <c r="N159" s="174">
        <v>4375409.38</v>
      </c>
      <c r="O159" s="89">
        <f>4375409.38*C269</f>
        <v>5956660452.8850994</v>
      </c>
      <c r="P159" s="90">
        <f t="shared" si="108"/>
        <v>3.2200672257807475E-3</v>
      </c>
      <c r="Q159" s="174">
        <v>1.18</v>
      </c>
      <c r="R159" s="89">
        <f>1.18*C269</f>
        <v>1606.4460999999999</v>
      </c>
      <c r="S159" s="89">
        <v>1.18</v>
      </c>
      <c r="T159" s="89">
        <f>1.18*C269</f>
        <v>1606.4460999999999</v>
      </c>
      <c r="U159" s="91">
        <v>56</v>
      </c>
      <c r="V159" s="92">
        <v>2.3800000000000002E-2</v>
      </c>
      <c r="W159" s="92">
        <v>2.6200000000000001E-2</v>
      </c>
      <c r="X159" s="185">
        <f t="shared" ref="X159" si="118">((O159-E159)/E159)</f>
        <v>9.5985196054444097E-3</v>
      </c>
      <c r="Y159" s="185">
        <f t="shared" ref="Y159" si="119">((T159-J159)/J159)</f>
        <v>-9.853571395063555E-3</v>
      </c>
      <c r="Z159" s="185">
        <f t="shared" si="98"/>
        <v>0</v>
      </c>
      <c r="AA159" s="185">
        <f t="shared" si="99"/>
        <v>4.7000000000000028E-3</v>
      </c>
      <c r="AB159" s="186">
        <f t="shared" si="100"/>
        <v>6.3E-3</v>
      </c>
    </row>
    <row r="160" spans="1:30">
      <c r="A160" s="195">
        <v>143</v>
      </c>
      <c r="B160" s="83" t="s">
        <v>196</v>
      </c>
      <c r="C160" s="84" t="s">
        <v>119</v>
      </c>
      <c r="D160" s="190">
        <v>1434410.52</v>
      </c>
      <c r="E160" s="89">
        <v>1972232847.0414119</v>
      </c>
      <c r="F160" s="90">
        <f t="shared" si="107"/>
        <v>1.0541047271926892E-3</v>
      </c>
      <c r="G160" s="174">
        <v>1.53</v>
      </c>
      <c r="H160" s="89">
        <v>2103.6629429999998</v>
      </c>
      <c r="I160" s="174">
        <v>1.53</v>
      </c>
      <c r="J160" s="89">
        <v>2103.6629429999998</v>
      </c>
      <c r="K160" s="91">
        <v>143</v>
      </c>
      <c r="L160" s="92">
        <v>8.0000000000000004E-4</v>
      </c>
      <c r="M160" s="92">
        <v>3.0300000000000001E-2</v>
      </c>
      <c r="N160" s="174">
        <v>1442108.07</v>
      </c>
      <c r="O160" s="89">
        <f>1442108.07*C269</f>
        <v>1963278715.9576499</v>
      </c>
      <c r="P160" s="90">
        <f t="shared" si="108"/>
        <v>1.0613143888814648E-3</v>
      </c>
      <c r="Q160" s="174">
        <v>1.54</v>
      </c>
      <c r="R160" s="89">
        <f>1.54*C269</f>
        <v>2096.5482999999999</v>
      </c>
      <c r="S160" s="89">
        <v>1.54</v>
      </c>
      <c r="T160" s="89">
        <f>1.54*C269</f>
        <v>2096.5482999999999</v>
      </c>
      <c r="U160" s="91">
        <v>145</v>
      </c>
      <c r="V160" s="92">
        <v>5.6620000000000004E-3</v>
      </c>
      <c r="W160" s="92">
        <v>3.6513999999999998E-2</v>
      </c>
      <c r="X160" s="185">
        <f t="shared" si="96"/>
        <v>-4.5400983444699302E-3</v>
      </c>
      <c r="Y160" s="185">
        <f t="shared" si="97"/>
        <v>-3.3820261100639105E-3</v>
      </c>
      <c r="Z160" s="185">
        <f t="shared" si="98"/>
        <v>1.3986013986013986E-2</v>
      </c>
      <c r="AA160" s="185">
        <f t="shared" si="99"/>
        <v>4.862E-3</v>
      </c>
      <c r="AB160" s="186">
        <f t="shared" si="100"/>
        <v>6.2139999999999973E-3</v>
      </c>
    </row>
    <row r="161" spans="1:31">
      <c r="B161" s="98"/>
      <c r="C161" s="122" t="s">
        <v>52</v>
      </c>
      <c r="D161" s="113">
        <f>SUM(D121:D160)</f>
        <v>1358439966.0836182</v>
      </c>
      <c r="E161" s="113">
        <f>SUM(E121:E160)</f>
        <v>1871002753487.2156</v>
      </c>
      <c r="F161" s="101">
        <f>(E161/$E$238)</f>
        <v>0.2112531403300148</v>
      </c>
      <c r="G161" s="174"/>
      <c r="H161" s="102"/>
      <c r="I161" s="174">
        <v>0</v>
      </c>
      <c r="J161" s="107"/>
      <c r="K161" s="104">
        <f>SUM(K121:K160)</f>
        <v>31579</v>
      </c>
      <c r="L161" s="123"/>
      <c r="M161" s="123"/>
      <c r="N161" s="113">
        <f>SUM(N121:N160)</f>
        <v>1360120534.5786133</v>
      </c>
      <c r="O161" s="113">
        <f>SUM(O121:O160)</f>
        <v>1849855930085.6921</v>
      </c>
      <c r="P161" s="101">
        <f>(O161/$O$238)</f>
        <v>0.20868407665365091</v>
      </c>
      <c r="Q161" s="179"/>
      <c r="R161" s="102"/>
      <c r="S161" s="102"/>
      <c r="T161" s="107"/>
      <c r="U161" s="104">
        <f>SUM(U121:U160)</f>
        <v>31718</v>
      </c>
      <c r="V161" s="123"/>
      <c r="W161" s="123"/>
      <c r="X161" s="185">
        <f t="shared" si="96"/>
        <v>-1.1302401005081114E-2</v>
      </c>
      <c r="Y161" s="185" t="e">
        <f t="shared" si="97"/>
        <v>#DIV/0!</v>
      </c>
      <c r="Z161" s="185">
        <f t="shared" si="98"/>
        <v>4.401659330567782E-3</v>
      </c>
      <c r="AA161" s="185">
        <f t="shared" si="99"/>
        <v>0</v>
      </c>
      <c r="AB161" s="186">
        <f t="shared" si="100"/>
        <v>0</v>
      </c>
    </row>
    <row r="162" spans="1:31" ht="6" customHeight="1">
      <c r="B162" s="214"/>
      <c r="C162" s="214"/>
      <c r="D162" s="214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</row>
    <row r="163" spans="1:31">
      <c r="A163" s="193"/>
      <c r="B163" s="215" t="s">
        <v>342</v>
      </c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</row>
    <row r="164" spans="1:31">
      <c r="A164" s="195">
        <v>144</v>
      </c>
      <c r="B164" s="83" t="s">
        <v>197</v>
      </c>
      <c r="C164" s="84" t="s">
        <v>198</v>
      </c>
      <c r="D164" s="171" t="s">
        <v>332</v>
      </c>
      <c r="E164" s="124">
        <v>2475943208.2857399</v>
      </c>
      <c r="F164" s="90">
        <f>(E164/$E$170)</f>
        <v>4.8862959720556006E-3</v>
      </c>
      <c r="G164" s="171" t="s">
        <v>332</v>
      </c>
      <c r="H164" s="115">
        <v>116.68</v>
      </c>
      <c r="I164" s="171" t="s">
        <v>332</v>
      </c>
      <c r="J164" s="115">
        <v>116.68</v>
      </c>
      <c r="K164" s="91">
        <v>8</v>
      </c>
      <c r="L164" s="92">
        <v>2.9600000000000001E-2</v>
      </c>
      <c r="M164" s="92">
        <v>0.1099</v>
      </c>
      <c r="N164" s="171" t="s">
        <v>332</v>
      </c>
      <c r="O164" s="124">
        <v>2497731508.5186548</v>
      </c>
      <c r="P164" s="90">
        <f>(O164/$O$170)</f>
        <v>4.9222842556719947E-3</v>
      </c>
      <c r="Q164" s="171" t="s">
        <v>332</v>
      </c>
      <c r="R164" s="115">
        <v>117.70648013754264</v>
      </c>
      <c r="S164" s="171" t="s">
        <v>332</v>
      </c>
      <c r="T164" s="115">
        <v>117.70648013754264</v>
      </c>
      <c r="U164" s="91">
        <v>8</v>
      </c>
      <c r="V164" s="92">
        <v>8.8000000000000005E-3</v>
      </c>
      <c r="W164" s="92">
        <v>0.11965141755675934</v>
      </c>
      <c r="X164" s="185">
        <f t="shared" ref="X164:X170" si="120">((O164-E164)/E164)</f>
        <v>8.8000000000001671E-3</v>
      </c>
      <c r="Y164" s="185">
        <f>((T164-J164)/J164)</f>
        <v>8.7973957622783198E-3</v>
      </c>
      <c r="Z164" s="185">
        <f>((U164-K164)/K164)</f>
        <v>0</v>
      </c>
      <c r="AA164" s="185">
        <f>V164-L164</f>
        <v>-2.0799999999999999E-2</v>
      </c>
      <c r="AB164" s="186">
        <f>W164-M164</f>
        <v>9.7514175567593453E-3</v>
      </c>
    </row>
    <row r="165" spans="1:31">
      <c r="A165" s="195">
        <v>145</v>
      </c>
      <c r="B165" s="83" t="s">
        <v>199</v>
      </c>
      <c r="C165" s="84" t="s">
        <v>23</v>
      </c>
      <c r="D165" s="171" t="s">
        <v>332</v>
      </c>
      <c r="E165" s="124">
        <v>262407648862.45001</v>
      </c>
      <c r="F165" s="90">
        <v>0</v>
      </c>
      <c r="G165" s="171" t="s">
        <v>332</v>
      </c>
      <c r="H165" s="115">
        <v>104.9631</v>
      </c>
      <c r="I165" s="171" t="s">
        <v>332</v>
      </c>
      <c r="J165" s="115">
        <v>104.9631</v>
      </c>
      <c r="K165" s="91">
        <v>45</v>
      </c>
      <c r="L165" s="92">
        <v>0.19489999999999999</v>
      </c>
      <c r="M165" s="92">
        <v>0.1171</v>
      </c>
      <c r="N165" s="171" t="s">
        <v>332</v>
      </c>
      <c r="O165" s="124">
        <v>262806642130.07999</v>
      </c>
      <c r="P165" s="90">
        <f t="shared" ref="P165:P169" si="121">(O165/$O$170)</f>
        <v>0.51791355172923526</v>
      </c>
      <c r="Q165" s="171" t="s">
        <v>332</v>
      </c>
      <c r="R165" s="115">
        <v>105.12269999999999</v>
      </c>
      <c r="S165" s="171" t="s">
        <v>332</v>
      </c>
      <c r="T165" s="115">
        <v>105.12269999999999</v>
      </c>
      <c r="U165" s="91">
        <v>45</v>
      </c>
      <c r="V165" s="92">
        <v>7.9299999999999995E-2</v>
      </c>
      <c r="W165" s="92">
        <v>0.1152</v>
      </c>
      <c r="X165" s="185">
        <f t="shared" ref="X165" si="122">((O165-E165)/E165)</f>
        <v>1.5205092891142072E-3</v>
      </c>
      <c r="Y165" s="185">
        <f t="shared" ref="Y165" si="123">((T165-J165)/J165)</f>
        <v>1.5205343592176444E-3</v>
      </c>
      <c r="Z165" s="185">
        <f t="shared" ref="Z165" si="124">((U165-K165)/K165)</f>
        <v>0</v>
      </c>
      <c r="AA165" s="185">
        <f t="shared" ref="AA165" si="125">V165-L165</f>
        <v>-0.11559999999999999</v>
      </c>
      <c r="AB165" s="186">
        <f t="shared" ref="AB165" si="126">W165-M165</f>
        <v>-1.8999999999999989E-3</v>
      </c>
    </row>
    <row r="166" spans="1:31">
      <c r="A166" s="195">
        <v>146</v>
      </c>
      <c r="B166" s="83" t="s">
        <v>200</v>
      </c>
      <c r="C166" s="84" t="s">
        <v>44</v>
      </c>
      <c r="D166" s="171" t="s">
        <v>332</v>
      </c>
      <c r="E166" s="95">
        <v>170647847866</v>
      </c>
      <c r="F166" s="90">
        <f>(E166/$E$170)</f>
        <v>0.33677504753629334</v>
      </c>
      <c r="G166" s="171" t="s">
        <v>332</v>
      </c>
      <c r="H166" s="115">
        <v>103</v>
      </c>
      <c r="I166" s="171" t="s">
        <v>332</v>
      </c>
      <c r="J166" s="115">
        <v>103</v>
      </c>
      <c r="K166" s="91">
        <v>851</v>
      </c>
      <c r="L166" s="92">
        <v>9.4E-2</v>
      </c>
      <c r="M166" s="92">
        <v>9.4E-2</v>
      </c>
      <c r="N166" s="171" t="s">
        <v>332</v>
      </c>
      <c r="O166" s="95">
        <v>170647847866</v>
      </c>
      <c r="P166" s="90">
        <f t="shared" si="121"/>
        <v>0.33629603980665324</v>
      </c>
      <c r="Q166" s="171" t="s">
        <v>332</v>
      </c>
      <c r="R166" s="115">
        <v>103</v>
      </c>
      <c r="S166" s="171" t="s">
        <v>332</v>
      </c>
      <c r="T166" s="115">
        <v>103</v>
      </c>
      <c r="U166" s="91">
        <v>851</v>
      </c>
      <c r="V166" s="92">
        <v>9.4E-2</v>
      </c>
      <c r="W166" s="92">
        <v>9.4E-2</v>
      </c>
      <c r="X166" s="185">
        <f t="shared" si="120"/>
        <v>0</v>
      </c>
      <c r="Y166" s="185">
        <f t="shared" ref="Y166:Z170" si="127">((T166-J166)/J166)</f>
        <v>0</v>
      </c>
      <c r="Z166" s="185">
        <f t="shared" si="127"/>
        <v>0</v>
      </c>
      <c r="AA166" s="185">
        <f t="shared" ref="AA166:AB170" si="128">V166-L166</f>
        <v>0</v>
      </c>
      <c r="AB166" s="186">
        <f t="shared" si="128"/>
        <v>0</v>
      </c>
    </row>
    <row r="167" spans="1:31" ht="15.75" customHeight="1">
      <c r="A167" s="195">
        <v>147</v>
      </c>
      <c r="B167" s="83" t="s">
        <v>202</v>
      </c>
      <c r="C167" s="84" t="s">
        <v>152</v>
      </c>
      <c r="D167" s="171" t="s">
        <v>332</v>
      </c>
      <c r="E167" s="95">
        <v>6614632675.4399996</v>
      </c>
      <c r="F167" s="90">
        <f>(E167/$E$170)</f>
        <v>1.3054036494240853E-2</v>
      </c>
      <c r="G167" s="171" t="s">
        <v>332</v>
      </c>
      <c r="H167" s="115">
        <v>418.75</v>
      </c>
      <c r="I167" s="171" t="s">
        <v>332</v>
      </c>
      <c r="J167" s="115">
        <v>418.75</v>
      </c>
      <c r="K167" s="91">
        <v>5533</v>
      </c>
      <c r="L167" s="92">
        <v>6.4899999999999999E-2</v>
      </c>
      <c r="M167" s="92">
        <v>6.4899999999999999E-2</v>
      </c>
      <c r="N167" s="171" t="s">
        <v>332</v>
      </c>
      <c r="O167" s="95">
        <v>6626520420.1447306</v>
      </c>
      <c r="P167" s="90">
        <f t="shared" si="121"/>
        <v>1.3058896451729559E-2</v>
      </c>
      <c r="Q167" s="171" t="s">
        <v>332</v>
      </c>
      <c r="R167" s="115">
        <v>418.75</v>
      </c>
      <c r="S167" s="171" t="s">
        <v>332</v>
      </c>
      <c r="T167" s="115">
        <v>418.75</v>
      </c>
      <c r="U167" s="91">
        <v>5533</v>
      </c>
      <c r="V167" s="92">
        <v>0.12318674421036538</v>
      </c>
      <c r="W167" s="92">
        <v>6.2092836650405436E-2</v>
      </c>
      <c r="X167" s="185">
        <f t="shared" si="120"/>
        <v>1.797188942761697E-3</v>
      </c>
      <c r="Y167" s="185">
        <f t="shared" si="127"/>
        <v>0</v>
      </c>
      <c r="Z167" s="185">
        <f t="shared" si="127"/>
        <v>0</v>
      </c>
      <c r="AA167" s="185">
        <f t="shared" si="128"/>
        <v>5.8286744210365379E-2</v>
      </c>
      <c r="AB167" s="186">
        <f t="shared" si="128"/>
        <v>-2.807163349594563E-3</v>
      </c>
    </row>
    <row r="168" spans="1:31">
      <c r="A168" s="195">
        <v>148</v>
      </c>
      <c r="B168" s="83" t="s">
        <v>201</v>
      </c>
      <c r="C168" s="84" t="s">
        <v>152</v>
      </c>
      <c r="D168" s="171" t="s">
        <v>332</v>
      </c>
      <c r="E168" s="95">
        <v>28335397009.84</v>
      </c>
      <c r="F168" s="90">
        <f>(E168/$E$170)</f>
        <v>5.5920158351143764E-2</v>
      </c>
      <c r="G168" s="171" t="s">
        <v>332</v>
      </c>
      <c r="H168" s="115">
        <v>72.5</v>
      </c>
      <c r="I168" s="171" t="s">
        <v>332</v>
      </c>
      <c r="J168" s="115">
        <v>72.5</v>
      </c>
      <c r="K168" s="91">
        <v>8119</v>
      </c>
      <c r="L168" s="92">
        <v>4.6899999999999997E-2</v>
      </c>
      <c r="M168" s="92">
        <v>7.0099999999999996E-2</v>
      </c>
      <c r="N168" s="171" t="s">
        <v>332</v>
      </c>
      <c r="O168" s="95">
        <v>28352481558.189999</v>
      </c>
      <c r="P168" s="90">
        <f t="shared" si="121"/>
        <v>5.5874289573212901E-2</v>
      </c>
      <c r="Q168" s="171" t="s">
        <v>332</v>
      </c>
      <c r="R168" s="115">
        <v>72.5</v>
      </c>
      <c r="S168" s="171" t="s">
        <v>332</v>
      </c>
      <c r="T168" s="115">
        <v>72.5</v>
      </c>
      <c r="U168" s="91">
        <v>8119</v>
      </c>
      <c r="V168" s="92">
        <v>3.0146188365499583E-2</v>
      </c>
      <c r="W168" s="92">
        <v>6.8074930352079857E-2</v>
      </c>
      <c r="X168" s="185">
        <f t="shared" si="120"/>
        <v>6.029401438795985E-4</v>
      </c>
      <c r="Y168" s="185">
        <f t="shared" si="127"/>
        <v>0</v>
      </c>
      <c r="Z168" s="185">
        <f t="shared" si="127"/>
        <v>0</v>
      </c>
      <c r="AA168" s="185">
        <f t="shared" si="128"/>
        <v>-1.6753811634500414E-2</v>
      </c>
      <c r="AB168" s="186">
        <f t="shared" si="128"/>
        <v>-2.0250696479201385E-3</v>
      </c>
    </row>
    <row r="169" spans="1:31">
      <c r="A169" s="195">
        <v>149</v>
      </c>
      <c r="B169" s="83" t="s">
        <v>300</v>
      </c>
      <c r="C169" s="84" t="s">
        <v>152</v>
      </c>
      <c r="D169" s="171" t="s">
        <v>332</v>
      </c>
      <c r="E169" s="95">
        <v>36230203687.4795</v>
      </c>
      <c r="F169" s="90">
        <f>(E169/$E$170)</f>
        <v>7.1500629639827534E-2</v>
      </c>
      <c r="G169" s="171" t="s">
        <v>332</v>
      </c>
      <c r="H169" s="115">
        <v>7.5</v>
      </c>
      <c r="I169" s="171" t="s">
        <v>332</v>
      </c>
      <c r="J169" s="115">
        <v>7.5</v>
      </c>
      <c r="K169" s="91">
        <v>215231</v>
      </c>
      <c r="L169" s="92">
        <v>0</v>
      </c>
      <c r="M169" s="92">
        <v>0</v>
      </c>
      <c r="N169" s="171" t="s">
        <v>332</v>
      </c>
      <c r="O169" s="95">
        <v>36502191326.561859</v>
      </c>
      <c r="P169" s="90">
        <f t="shared" si="121"/>
        <v>7.1934938183497055E-2</v>
      </c>
      <c r="Q169" s="171" t="s">
        <v>332</v>
      </c>
      <c r="R169" s="115">
        <v>8.65</v>
      </c>
      <c r="S169" s="171" t="s">
        <v>332</v>
      </c>
      <c r="T169" s="115">
        <v>8.65</v>
      </c>
      <c r="U169" s="91">
        <v>215231</v>
      </c>
      <c r="V169" s="92">
        <v>0</v>
      </c>
      <c r="W169" s="92">
        <v>0</v>
      </c>
      <c r="X169" s="185">
        <f t="shared" si="120"/>
        <v>7.5072070096131784E-3</v>
      </c>
      <c r="Y169" s="185">
        <f t="shared" si="127"/>
        <v>0.15333333333333338</v>
      </c>
      <c r="Z169" s="185">
        <f t="shared" si="127"/>
        <v>0</v>
      </c>
      <c r="AA169" s="185">
        <f t="shared" si="128"/>
        <v>0</v>
      </c>
      <c r="AB169" s="186">
        <f t="shared" si="128"/>
        <v>0</v>
      </c>
    </row>
    <row r="170" spans="1:31">
      <c r="B170" s="125"/>
      <c r="C170" s="99" t="s">
        <v>52</v>
      </c>
      <c r="D170" s="170" t="s">
        <v>332</v>
      </c>
      <c r="E170" s="100">
        <f>SUM(E164:E169)</f>
        <v>506711673309.49524</v>
      </c>
      <c r="F170" s="101">
        <f>(E170/$E$238)</f>
        <v>5.7212332814046196E-2</v>
      </c>
      <c r="G170" s="171"/>
      <c r="H170" s="102"/>
      <c r="I170" s="102"/>
      <c r="J170" s="126"/>
      <c r="K170" s="104">
        <f>SUM(K164:K169)</f>
        <v>229787</v>
      </c>
      <c r="L170" s="127"/>
      <c r="M170" s="127"/>
      <c r="N170" s="171"/>
      <c r="O170" s="100">
        <f>SUM(O164:O169)</f>
        <v>507433414809.49524</v>
      </c>
      <c r="P170" s="101">
        <f>(O170/$O$238)</f>
        <v>5.7244065286653531E-2</v>
      </c>
      <c r="Q170" s="173"/>
      <c r="R170" s="102"/>
      <c r="S170" s="102"/>
      <c r="T170" s="126"/>
      <c r="U170" s="104">
        <f>SUM(U164:U169)</f>
        <v>229787</v>
      </c>
      <c r="V170" s="127"/>
      <c r="W170" s="127"/>
      <c r="X170" s="185">
        <f t="shared" si="120"/>
        <v>1.424363278007938E-3</v>
      </c>
      <c r="Y170" s="185" t="e">
        <f t="shared" si="127"/>
        <v>#DIV/0!</v>
      </c>
      <c r="Z170" s="185">
        <f t="shared" si="127"/>
        <v>0</v>
      </c>
      <c r="AA170" s="185">
        <f t="shared" si="128"/>
        <v>0</v>
      </c>
      <c r="AB170" s="186">
        <f t="shared" si="128"/>
        <v>0</v>
      </c>
    </row>
    <row r="171" spans="1:31" ht="5.25" customHeight="1"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</row>
    <row r="172" spans="1:31" ht="15" customHeight="1">
      <c r="A172" s="193"/>
      <c r="B172" s="215" t="s">
        <v>203</v>
      </c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</row>
    <row r="173" spans="1:31">
      <c r="A173" s="195">
        <v>150</v>
      </c>
      <c r="B173" s="83" t="s">
        <v>204</v>
      </c>
      <c r="C173" s="84" t="s">
        <v>56</v>
      </c>
      <c r="D173" s="171" t="s">
        <v>332</v>
      </c>
      <c r="E173" s="89">
        <v>935553674.38</v>
      </c>
      <c r="F173" s="90">
        <f t="shared" ref="F173:F192" si="129">(E173/$E$203)</f>
        <v>6.4766706359457799E-3</v>
      </c>
      <c r="G173" s="171" t="s">
        <v>332</v>
      </c>
      <c r="H173" s="89">
        <v>9.67</v>
      </c>
      <c r="I173" s="171" t="s">
        <v>332</v>
      </c>
      <c r="J173" s="89">
        <v>9.84</v>
      </c>
      <c r="K173" s="87">
        <v>11973</v>
      </c>
      <c r="L173" s="88">
        <v>2.7147999999999999E-2</v>
      </c>
      <c r="M173" s="88">
        <v>0.23341899999999999</v>
      </c>
      <c r="N173" s="171" t="s">
        <v>332</v>
      </c>
      <c r="O173" s="89">
        <v>935781097.25</v>
      </c>
      <c r="P173" s="112">
        <f t="shared" ref="P173:P202" si="130">(O173/$O$203)</f>
        <v>6.3401255477126489E-3</v>
      </c>
      <c r="Q173" s="171" t="s">
        <v>332</v>
      </c>
      <c r="R173" s="89">
        <v>9.69</v>
      </c>
      <c r="S173" s="171" t="s">
        <v>332</v>
      </c>
      <c r="T173" s="89">
        <v>9.8000000000000007</v>
      </c>
      <c r="U173" s="87">
        <v>11983</v>
      </c>
      <c r="V173" s="88">
        <v>2.1679999999999998E-3</v>
      </c>
      <c r="W173" s="88">
        <v>0.23558699999999999</v>
      </c>
      <c r="X173" s="185">
        <f>((O173-E173)/E173)</f>
        <v>2.430890671780216E-4</v>
      </c>
      <c r="Y173" s="185">
        <f t="shared" ref="Y173:Z177" si="131">((T173-J173)/J173)</f>
        <v>-4.0650406504064178E-3</v>
      </c>
      <c r="Z173" s="185">
        <f t="shared" si="131"/>
        <v>8.3521256159692641E-4</v>
      </c>
      <c r="AA173" s="185">
        <f t="shared" ref="AA173:AB177" si="132">V173-L173</f>
        <v>-2.4979999999999999E-2</v>
      </c>
      <c r="AB173" s="186">
        <f t="shared" si="132"/>
        <v>2.1680000000000033E-3</v>
      </c>
      <c r="AD173" s="40"/>
    </row>
    <row r="174" spans="1:31">
      <c r="A174" s="195">
        <v>151</v>
      </c>
      <c r="B174" s="83" t="s">
        <v>205</v>
      </c>
      <c r="C174" s="83" t="s">
        <v>206</v>
      </c>
      <c r="D174" s="171" t="s">
        <v>332</v>
      </c>
      <c r="E174" s="89">
        <v>2216475363.5700002</v>
      </c>
      <c r="F174" s="90">
        <f t="shared" si="129"/>
        <v>1.5344262222094856E-2</v>
      </c>
      <c r="G174" s="171" t="s">
        <v>332</v>
      </c>
      <c r="H174" s="89">
        <v>3056.32</v>
      </c>
      <c r="I174" s="171" t="s">
        <v>332</v>
      </c>
      <c r="J174" s="89">
        <v>3074.25</v>
      </c>
      <c r="K174" s="87">
        <v>223</v>
      </c>
      <c r="L174" s="88">
        <v>2.18E-2</v>
      </c>
      <c r="M174" s="88">
        <v>0.3901</v>
      </c>
      <c r="N174" s="171" t="s">
        <v>332</v>
      </c>
      <c r="O174" s="89">
        <v>2388847076.0493712</v>
      </c>
      <c r="P174" s="112">
        <f t="shared" si="130"/>
        <v>1.6184971486331527E-2</v>
      </c>
      <c r="Q174" s="171" t="s">
        <v>332</v>
      </c>
      <c r="R174" s="89">
        <v>3058.0115578145019</v>
      </c>
      <c r="S174" s="171" t="s">
        <v>332</v>
      </c>
      <c r="T174" s="89">
        <v>3074.8337121570112</v>
      </c>
      <c r="U174" s="87">
        <v>228</v>
      </c>
      <c r="V174" s="88">
        <v>9.8218803335391236E-2</v>
      </c>
      <c r="W174" s="88">
        <v>0.39090000000000003</v>
      </c>
      <c r="X174" s="185">
        <f>((O174-E174)/E174)</f>
        <v>7.7768386381582844E-2</v>
      </c>
      <c r="Y174" s="185">
        <f t="shared" si="131"/>
        <v>1.8987140180895426E-4</v>
      </c>
      <c r="Z174" s="185">
        <f t="shared" si="131"/>
        <v>2.2421524663677129E-2</v>
      </c>
      <c r="AA174" s="185">
        <f t="shared" si="132"/>
        <v>7.6418803335391236E-2</v>
      </c>
      <c r="AB174" s="186">
        <f t="shared" si="132"/>
        <v>8.0000000000002292E-4</v>
      </c>
      <c r="AE174" s="49"/>
    </row>
    <row r="175" spans="1:31">
      <c r="A175" s="195">
        <v>152</v>
      </c>
      <c r="B175" s="83" t="s">
        <v>207</v>
      </c>
      <c r="C175" s="84" t="s">
        <v>23</v>
      </c>
      <c r="D175" s="171" t="s">
        <v>332</v>
      </c>
      <c r="E175" s="89">
        <v>15310052492.58</v>
      </c>
      <c r="F175" s="90">
        <f t="shared" si="129"/>
        <v>0.10598875310836058</v>
      </c>
      <c r="G175" s="171" t="s">
        <v>332</v>
      </c>
      <c r="H175" s="89">
        <v>1400.6563000000001</v>
      </c>
      <c r="I175" s="171" t="s">
        <v>332</v>
      </c>
      <c r="J175" s="89">
        <v>1442.8871999999999</v>
      </c>
      <c r="K175" s="87">
        <v>22951</v>
      </c>
      <c r="L175" s="88">
        <v>4.6881692032375133E-2</v>
      </c>
      <c r="M175" s="88">
        <v>0.32751841558273309</v>
      </c>
      <c r="N175" s="171" t="s">
        <v>332</v>
      </c>
      <c r="O175" s="89">
        <v>15708938950.309999</v>
      </c>
      <c r="P175" s="112">
        <f t="shared" si="130"/>
        <v>0.10643156338486164</v>
      </c>
      <c r="Q175" s="171" t="s">
        <v>332</v>
      </c>
      <c r="R175" s="89">
        <v>1403.6152</v>
      </c>
      <c r="S175" s="171" t="s">
        <v>332</v>
      </c>
      <c r="T175" s="89">
        <v>1445.9351999999999</v>
      </c>
      <c r="U175" s="87">
        <v>23104</v>
      </c>
      <c r="V175" s="88">
        <v>2.1124312420264051E-3</v>
      </c>
      <c r="W175" s="88">
        <v>0.33032270695817539</v>
      </c>
      <c r="X175" s="185">
        <f t="shared" ref="X175:X202" si="133">((O175-E175)/E175)</f>
        <v>2.6053892233440703E-2</v>
      </c>
      <c r="Y175" s="185">
        <f t="shared" si="131"/>
        <v>2.1124312420264051E-3</v>
      </c>
      <c r="Z175" s="185">
        <f t="shared" si="131"/>
        <v>6.6663761927584853E-3</v>
      </c>
      <c r="AA175" s="185">
        <f t="shared" si="132"/>
        <v>-4.4769260790348729E-2</v>
      </c>
      <c r="AB175" s="186">
        <f t="shared" si="132"/>
        <v>2.8042913754423027E-3</v>
      </c>
      <c r="AD175" s="40"/>
      <c r="AE175" s="40"/>
    </row>
    <row r="176" spans="1:31">
      <c r="A176" s="195">
        <v>153</v>
      </c>
      <c r="B176" s="83" t="s">
        <v>208</v>
      </c>
      <c r="C176" s="84" t="s">
        <v>121</v>
      </c>
      <c r="D176" s="171" t="s">
        <v>332</v>
      </c>
      <c r="E176" s="89">
        <v>7926770139.7299995</v>
      </c>
      <c r="F176" s="90">
        <f t="shared" si="129"/>
        <v>5.4875610889887204E-2</v>
      </c>
      <c r="G176" s="171" t="s">
        <v>332</v>
      </c>
      <c r="H176" s="89">
        <v>45.814999999999998</v>
      </c>
      <c r="I176" s="171" t="s">
        <v>332</v>
      </c>
      <c r="J176" s="89">
        <v>46.397500000000001</v>
      </c>
      <c r="K176" s="91">
        <v>6302</v>
      </c>
      <c r="L176" s="92">
        <v>2.3599999999999999E-2</v>
      </c>
      <c r="M176" s="92">
        <v>0.35070000000000001</v>
      </c>
      <c r="N176" s="171" t="s">
        <v>332</v>
      </c>
      <c r="O176" s="89">
        <v>8036655682.9200001</v>
      </c>
      <c r="P176" s="112">
        <f t="shared" si="130"/>
        <v>5.4450133864841904E-2</v>
      </c>
      <c r="Q176" s="171" t="s">
        <v>332</v>
      </c>
      <c r="R176" s="89">
        <v>46.5595</v>
      </c>
      <c r="S176" s="171" t="s">
        <v>332</v>
      </c>
      <c r="T176" s="89">
        <v>47.1586</v>
      </c>
      <c r="U176" s="91">
        <v>6313</v>
      </c>
      <c r="V176" s="92">
        <v>2.2800000000000001E-2</v>
      </c>
      <c r="W176" s="92">
        <v>0.37280000000000002</v>
      </c>
      <c r="X176" s="185">
        <f t="shared" si="133"/>
        <v>1.386258731525971E-2</v>
      </c>
      <c r="Y176" s="185">
        <f t="shared" si="131"/>
        <v>1.6403901072256026E-2</v>
      </c>
      <c r="Z176" s="185">
        <f t="shared" si="131"/>
        <v>1.7454776261504284E-3</v>
      </c>
      <c r="AA176" s="185">
        <f t="shared" si="132"/>
        <v>-7.9999999999999863E-4</v>
      </c>
      <c r="AB176" s="186">
        <f t="shared" si="132"/>
        <v>2.2100000000000009E-2</v>
      </c>
      <c r="AE176" s="49"/>
    </row>
    <row r="177" spans="1:33">
      <c r="A177" s="203">
        <v>154</v>
      </c>
      <c r="B177" s="83" t="s">
        <v>209</v>
      </c>
      <c r="C177" s="84" t="s">
        <v>128</v>
      </c>
      <c r="D177" s="171" t="s">
        <v>332</v>
      </c>
      <c r="E177" s="95">
        <v>3697478820.48</v>
      </c>
      <c r="F177" s="90">
        <f t="shared" si="129"/>
        <v>2.5596984074168039E-2</v>
      </c>
      <c r="G177" s="171" t="s">
        <v>332</v>
      </c>
      <c r="H177" s="89">
        <v>8.7621000000000002</v>
      </c>
      <c r="I177" s="171" t="s">
        <v>332</v>
      </c>
      <c r="J177" s="89">
        <v>8.9999000000000002</v>
      </c>
      <c r="K177" s="91">
        <v>2737</v>
      </c>
      <c r="L177" s="92">
        <v>4.4076642596696969E-2</v>
      </c>
      <c r="M177" s="92">
        <v>0.4583083682844018</v>
      </c>
      <c r="N177" s="171" t="s">
        <v>332</v>
      </c>
      <c r="O177" s="95">
        <v>3755968771.2254081</v>
      </c>
      <c r="P177" s="112">
        <f t="shared" si="130"/>
        <v>2.5447525743828116E-2</v>
      </c>
      <c r="Q177" s="171" t="s">
        <v>332</v>
      </c>
      <c r="R177" s="89">
        <v>8.9011999999999993</v>
      </c>
      <c r="S177" s="171" t="s">
        <v>332</v>
      </c>
      <c r="T177" s="89">
        <v>9.1417999999999999</v>
      </c>
      <c r="U177" s="91">
        <v>2737</v>
      </c>
      <c r="V177" s="92">
        <v>1.5766841853798341E-2</v>
      </c>
      <c r="W177" s="92">
        <v>0.52150322881299516</v>
      </c>
      <c r="X177" s="185">
        <f t="shared" si="133"/>
        <v>1.5818873774594063E-2</v>
      </c>
      <c r="Y177" s="185">
        <f t="shared" si="131"/>
        <v>1.5766841853798341E-2</v>
      </c>
      <c r="Z177" s="185">
        <f t="shared" si="131"/>
        <v>0</v>
      </c>
      <c r="AA177" s="185">
        <f t="shared" si="132"/>
        <v>-2.8309800742898628E-2</v>
      </c>
      <c r="AB177" s="186">
        <f t="shared" si="132"/>
        <v>6.3194860528593355E-2</v>
      </c>
      <c r="AC177" s="40"/>
      <c r="AD177" s="40"/>
      <c r="AE177" s="40"/>
      <c r="AG177" s="49"/>
    </row>
    <row r="178" spans="1:33">
      <c r="A178" s="195">
        <v>155</v>
      </c>
      <c r="B178" s="83" t="s">
        <v>210</v>
      </c>
      <c r="C178" s="84" t="s">
        <v>27</v>
      </c>
      <c r="D178" s="171" t="s">
        <v>332</v>
      </c>
      <c r="E178" s="95">
        <v>2796394673.27</v>
      </c>
      <c r="F178" s="90">
        <f t="shared" si="129"/>
        <v>1.9358939805228754E-2</v>
      </c>
      <c r="G178" s="171" t="s">
        <v>332</v>
      </c>
      <c r="H178" s="89">
        <v>1.8318000000000001</v>
      </c>
      <c r="I178" s="171" t="s">
        <v>332</v>
      </c>
      <c r="J178" s="89">
        <v>1.8469</v>
      </c>
      <c r="K178" s="91">
        <v>529</v>
      </c>
      <c r="L178" s="92">
        <v>5.7799999999999997E-2</v>
      </c>
      <c r="M178" s="92">
        <v>0.47339999999999999</v>
      </c>
      <c r="N178" s="171" t="s">
        <v>332</v>
      </c>
      <c r="O178" s="95">
        <v>2968006105.54</v>
      </c>
      <c r="P178" s="112">
        <f t="shared" si="130"/>
        <v>2.0108903023154413E-2</v>
      </c>
      <c r="Q178" s="171" t="s">
        <v>332</v>
      </c>
      <c r="R178" s="89">
        <v>1.7654000000000001</v>
      </c>
      <c r="S178" s="171" t="s">
        <v>332</v>
      </c>
      <c r="T178" s="89">
        <v>1.7785</v>
      </c>
      <c r="U178" s="91">
        <v>529</v>
      </c>
      <c r="V178" s="92">
        <v>-5.3800000000000001E-2</v>
      </c>
      <c r="W178" s="92">
        <v>0.41959999999999997</v>
      </c>
      <c r="X178" s="185">
        <f t="shared" ref="X178" si="134">((O178-E178)/E178)</f>
        <v>6.136881675193722E-2</v>
      </c>
      <c r="Y178" s="185">
        <f t="shared" ref="Y178" si="135">((T178-J178)/J178)</f>
        <v>-3.7035031674698154E-2</v>
      </c>
      <c r="Z178" s="185">
        <f t="shared" ref="Z178" si="136">((U178-K178)/K178)</f>
        <v>0</v>
      </c>
      <c r="AA178" s="185">
        <f t="shared" ref="AA178" si="137">V178-L178</f>
        <v>-0.1116</v>
      </c>
      <c r="AB178" s="186">
        <f t="shared" ref="AB178" si="138">W178-M178</f>
        <v>-5.3800000000000014E-2</v>
      </c>
      <c r="AE178" s="49"/>
    </row>
    <row r="179" spans="1:33">
      <c r="A179" s="195">
        <v>156</v>
      </c>
      <c r="B179" s="83" t="s">
        <v>211</v>
      </c>
      <c r="C179" s="84" t="s">
        <v>67</v>
      </c>
      <c r="D179" s="171" t="s">
        <v>332</v>
      </c>
      <c r="E179" s="89">
        <v>10351867924.8092</v>
      </c>
      <c r="F179" s="90">
        <f t="shared" si="129"/>
        <v>7.1664128795424248E-2</v>
      </c>
      <c r="G179" s="171" t="s">
        <v>332</v>
      </c>
      <c r="H179" s="89">
        <v>14669.3077918118</v>
      </c>
      <c r="I179" s="171" t="s">
        <v>332</v>
      </c>
      <c r="J179" s="89">
        <v>14781.143025056899</v>
      </c>
      <c r="K179" s="91">
        <v>1631</v>
      </c>
      <c r="L179" s="92">
        <v>2.5344510166872114E-2</v>
      </c>
      <c r="M179" s="92">
        <v>0.31349134700656678</v>
      </c>
      <c r="N179" s="171" t="s">
        <v>332</v>
      </c>
      <c r="O179" s="89">
        <v>10551662689.2649</v>
      </c>
      <c r="P179" s="112">
        <f t="shared" si="130"/>
        <v>7.1489867003780988E-2</v>
      </c>
      <c r="Q179" s="171" t="s">
        <v>332</v>
      </c>
      <c r="R179" s="89">
        <v>14534.4416211139</v>
      </c>
      <c r="S179" s="171" t="s">
        <v>332</v>
      </c>
      <c r="T179" s="89">
        <v>14640.6419631852</v>
      </c>
      <c r="U179" s="91">
        <v>1643</v>
      </c>
      <c r="V179" s="92">
        <v>-0.47938918263274322</v>
      </c>
      <c r="W179" s="92">
        <v>0.85950489688164811</v>
      </c>
      <c r="X179" s="185">
        <f t="shared" si="133"/>
        <v>1.9300358728193724E-2</v>
      </c>
      <c r="Y179" s="185">
        <f t="shared" ref="Y179:Y191" si="139">((T179-J179)/J179)</f>
        <v>-9.5054260440834825E-3</v>
      </c>
      <c r="Z179" s="185">
        <f t="shared" ref="Z179:Z191" si="140">((U179-K179)/K179)</f>
        <v>7.357449417535254E-3</v>
      </c>
      <c r="AA179" s="185">
        <f t="shared" ref="AA179:AA191" si="141">V179-L179</f>
        <v>-0.50473369279961533</v>
      </c>
      <c r="AB179" s="186">
        <f t="shared" ref="AB179:AB191" si="142">W179-M179</f>
        <v>0.54601354987508133</v>
      </c>
      <c r="AD179" s="40"/>
      <c r="AE179" s="40"/>
      <c r="AG179" s="49"/>
    </row>
    <row r="180" spans="1:33">
      <c r="A180" s="195">
        <v>157</v>
      </c>
      <c r="B180" s="83" t="s">
        <v>212</v>
      </c>
      <c r="C180" s="84" t="s">
        <v>69</v>
      </c>
      <c r="D180" s="171" t="s">
        <v>332</v>
      </c>
      <c r="E180" s="89">
        <v>2307939303.5999999</v>
      </c>
      <c r="F180" s="90">
        <f t="shared" si="129"/>
        <v>1.5977450708081813E-2</v>
      </c>
      <c r="G180" s="171" t="s">
        <v>332</v>
      </c>
      <c r="H180" s="89">
        <v>308.58999999999997</v>
      </c>
      <c r="I180" s="171" t="s">
        <v>332</v>
      </c>
      <c r="J180" s="89">
        <v>310.87</v>
      </c>
      <c r="K180" s="91">
        <v>508</v>
      </c>
      <c r="L180" s="92">
        <v>1.8599999999999998E-2</v>
      </c>
      <c r="M180" s="92">
        <v>0.3362</v>
      </c>
      <c r="N180" s="171" t="s">
        <v>332</v>
      </c>
      <c r="O180" s="89">
        <v>2416429921.3400002</v>
      </c>
      <c r="P180" s="112">
        <f t="shared" si="130"/>
        <v>1.6371851412224071E-2</v>
      </c>
      <c r="Q180" s="171" t="s">
        <v>332</v>
      </c>
      <c r="R180" s="89">
        <v>308.68</v>
      </c>
      <c r="S180" s="171" t="s">
        <v>332</v>
      </c>
      <c r="T180" s="89">
        <v>310.81</v>
      </c>
      <c r="U180" s="91">
        <v>508</v>
      </c>
      <c r="V180" s="92">
        <v>0</v>
      </c>
      <c r="W180" s="92">
        <v>0.3362</v>
      </c>
      <c r="X180" s="185">
        <f t="shared" si="133"/>
        <v>4.7007569727147071E-2</v>
      </c>
      <c r="Y180" s="185">
        <f t="shared" si="139"/>
        <v>-1.930067230675275E-4</v>
      </c>
      <c r="Z180" s="185">
        <f t="shared" si="140"/>
        <v>0</v>
      </c>
      <c r="AA180" s="185">
        <f t="shared" si="141"/>
        <v>-1.8599999999999998E-2</v>
      </c>
      <c r="AB180" s="186">
        <f t="shared" si="142"/>
        <v>0</v>
      </c>
    </row>
    <row r="181" spans="1:33">
      <c r="A181" s="195">
        <v>158</v>
      </c>
      <c r="B181" s="83" t="s">
        <v>213</v>
      </c>
      <c r="C181" s="84" t="s">
        <v>214</v>
      </c>
      <c r="D181" s="171" t="s">
        <v>332</v>
      </c>
      <c r="E181" s="89">
        <v>5649214414.8000002</v>
      </c>
      <c r="F181" s="90">
        <f t="shared" si="129"/>
        <v>3.9108500258677355E-2</v>
      </c>
      <c r="G181" s="171" t="s">
        <v>332</v>
      </c>
      <c r="H181" s="89">
        <v>2.7101999999999999</v>
      </c>
      <c r="I181" s="171" t="s">
        <v>332</v>
      </c>
      <c r="J181" s="89">
        <v>2.7595000000000001</v>
      </c>
      <c r="K181" s="91">
        <v>4901</v>
      </c>
      <c r="L181" s="92">
        <v>4.02E-2</v>
      </c>
      <c r="M181" s="92">
        <v>0.37469999999999998</v>
      </c>
      <c r="N181" s="171" t="s">
        <v>332</v>
      </c>
      <c r="O181" s="89">
        <v>5799316561.3900003</v>
      </c>
      <c r="P181" s="112">
        <f t="shared" si="130"/>
        <v>3.9291662546073955E-2</v>
      </c>
      <c r="Q181" s="171" t="s">
        <v>332</v>
      </c>
      <c r="R181" s="89">
        <v>2.6943000000000001</v>
      </c>
      <c r="S181" s="171" t="s">
        <v>332</v>
      </c>
      <c r="T181" s="89">
        <v>2.7412000000000001</v>
      </c>
      <c r="U181" s="91">
        <v>4901</v>
      </c>
      <c r="V181" s="92">
        <v>-5.866725702900033E-3</v>
      </c>
      <c r="W181" s="92">
        <v>0.36717977686767411</v>
      </c>
      <c r="X181" s="185">
        <f t="shared" si="133"/>
        <v>2.6570446006927539E-2</v>
      </c>
      <c r="Y181" s="185">
        <f t="shared" si="139"/>
        <v>-6.63163616597209E-3</v>
      </c>
      <c r="Z181" s="185">
        <f t="shared" si="140"/>
        <v>0</v>
      </c>
      <c r="AA181" s="185">
        <f t="shared" si="141"/>
        <v>-4.6066725702900033E-2</v>
      </c>
      <c r="AB181" s="186">
        <f t="shared" si="142"/>
        <v>-7.520223132325865E-3</v>
      </c>
    </row>
    <row r="182" spans="1:33">
      <c r="A182" s="195">
        <v>159</v>
      </c>
      <c r="B182" s="83" t="s">
        <v>215</v>
      </c>
      <c r="C182" s="84" t="s">
        <v>29</v>
      </c>
      <c r="D182" s="171" t="s">
        <v>332</v>
      </c>
      <c r="E182" s="106">
        <v>1213251460.71</v>
      </c>
      <c r="F182" s="90">
        <f t="shared" si="129"/>
        <v>8.3991227064617521E-3</v>
      </c>
      <c r="G182" s="171" t="s">
        <v>332</v>
      </c>
      <c r="H182" s="89">
        <v>291.07819999999998</v>
      </c>
      <c r="I182" s="171" t="s">
        <v>332</v>
      </c>
      <c r="J182" s="89">
        <v>292.78140000000002</v>
      </c>
      <c r="K182" s="91">
        <v>195</v>
      </c>
      <c r="L182" s="92">
        <v>9.9609999999999994E-3</v>
      </c>
      <c r="M182" s="92">
        <v>0.37909999999999999</v>
      </c>
      <c r="N182" s="171" t="s">
        <v>332</v>
      </c>
      <c r="O182" s="106">
        <v>1287118342.52</v>
      </c>
      <c r="P182" s="112">
        <f t="shared" si="130"/>
        <v>8.7205137080905194E-3</v>
      </c>
      <c r="Q182" s="171" t="s">
        <v>332</v>
      </c>
      <c r="R182" s="89">
        <v>292.75029999999998</v>
      </c>
      <c r="S182" s="171" t="s">
        <v>332</v>
      </c>
      <c r="T182" s="89">
        <v>294.37400000000002</v>
      </c>
      <c r="U182" s="91">
        <v>205</v>
      </c>
      <c r="V182" s="92">
        <v>1.0549999999999999E-3</v>
      </c>
      <c r="W182" s="92">
        <v>0.38700000000000001</v>
      </c>
      <c r="X182" s="185">
        <f t="shared" si="133"/>
        <v>6.0883406451266685E-2</v>
      </c>
      <c r="Y182" s="185">
        <f t="shared" si="139"/>
        <v>5.439553195660668E-3</v>
      </c>
      <c r="Z182" s="185">
        <f t="shared" si="140"/>
        <v>5.128205128205128E-2</v>
      </c>
      <c r="AA182" s="185">
        <f t="shared" si="141"/>
        <v>-8.905999999999999E-3</v>
      </c>
      <c r="AB182" s="186">
        <f t="shared" si="142"/>
        <v>7.9000000000000181E-3</v>
      </c>
    </row>
    <row r="183" spans="1:33">
      <c r="A183" s="195">
        <v>160</v>
      </c>
      <c r="B183" s="83" t="s">
        <v>216</v>
      </c>
      <c r="C183" s="84" t="s">
        <v>75</v>
      </c>
      <c r="D183" s="171" t="s">
        <v>332</v>
      </c>
      <c r="E183" s="106">
        <v>1984268115.46</v>
      </c>
      <c r="F183" s="90">
        <f t="shared" si="129"/>
        <v>1.3736733005468689E-2</v>
      </c>
      <c r="G183" s="171" t="s">
        <v>332</v>
      </c>
      <c r="H183" s="89">
        <v>217.6</v>
      </c>
      <c r="I183" s="171" t="s">
        <v>332</v>
      </c>
      <c r="J183" s="89">
        <v>218.03</v>
      </c>
      <c r="K183" s="91">
        <v>137</v>
      </c>
      <c r="L183" s="92">
        <v>5.6399999999999999E-2</v>
      </c>
      <c r="M183" s="92">
        <v>0.28220000000000001</v>
      </c>
      <c r="N183" s="171" t="s">
        <v>332</v>
      </c>
      <c r="O183" s="106">
        <v>2064652182.96</v>
      </c>
      <c r="P183" s="112">
        <f t="shared" si="130"/>
        <v>1.3988478812826742E-2</v>
      </c>
      <c r="Q183" s="171" t="s">
        <v>332</v>
      </c>
      <c r="R183" s="89">
        <v>215.43</v>
      </c>
      <c r="S183" s="171" t="s">
        <v>332</v>
      </c>
      <c r="T183" s="89">
        <v>215.92</v>
      </c>
      <c r="U183" s="91">
        <v>137</v>
      </c>
      <c r="V183" s="92">
        <v>-1.26E-2</v>
      </c>
      <c r="W183" s="92">
        <v>0.26960000000000001</v>
      </c>
      <c r="X183" s="185">
        <f t="shared" si="133"/>
        <v>4.0510688486956353E-2</v>
      </c>
      <c r="Y183" s="185">
        <f t="shared" si="139"/>
        <v>-9.6775673072513578E-3</v>
      </c>
      <c r="Z183" s="185">
        <f t="shared" si="140"/>
        <v>0</v>
      </c>
      <c r="AA183" s="185">
        <f t="shared" si="141"/>
        <v>-6.9000000000000006E-2</v>
      </c>
      <c r="AB183" s="186">
        <f t="shared" si="142"/>
        <v>-1.26E-2</v>
      </c>
    </row>
    <row r="184" spans="1:33" ht="15.75" customHeight="1">
      <c r="A184" s="195">
        <v>161</v>
      </c>
      <c r="B184" s="83" t="s">
        <v>217</v>
      </c>
      <c r="C184" s="84" t="s">
        <v>78</v>
      </c>
      <c r="D184" s="171" t="s">
        <v>332</v>
      </c>
      <c r="E184" s="95">
        <v>1136540210.04</v>
      </c>
      <c r="F184" s="90">
        <f t="shared" si="129"/>
        <v>7.8680644483769633E-3</v>
      </c>
      <c r="G184" s="171" t="s">
        <v>332</v>
      </c>
      <c r="H184" s="89">
        <v>2.6800999999999999</v>
      </c>
      <c r="I184" s="171" t="s">
        <v>332</v>
      </c>
      <c r="J184" s="89">
        <v>2.7092000000000001</v>
      </c>
      <c r="K184" s="91">
        <v>177</v>
      </c>
      <c r="L184" s="92">
        <v>0</v>
      </c>
      <c r="M184" s="92">
        <v>0.4657</v>
      </c>
      <c r="N184" s="171" t="s">
        <v>332</v>
      </c>
      <c r="O184" s="95">
        <v>1136540210.04</v>
      </c>
      <c r="P184" s="112">
        <f t="shared" si="130"/>
        <v>7.700313292129073E-3</v>
      </c>
      <c r="Q184" s="171" t="s">
        <v>332</v>
      </c>
      <c r="R184" s="89">
        <v>2.61117</v>
      </c>
      <c r="S184" s="171" t="s">
        <v>332</v>
      </c>
      <c r="T184" s="89">
        <v>2.6386799999999999</v>
      </c>
      <c r="U184" s="91">
        <v>181</v>
      </c>
      <c r="V184" s="92">
        <v>0</v>
      </c>
      <c r="W184" s="92">
        <v>0.43740000000000001</v>
      </c>
      <c r="X184" s="185">
        <f t="shared" si="133"/>
        <v>0</v>
      </c>
      <c r="Y184" s="185">
        <f t="shared" si="139"/>
        <v>-2.6029824302377137E-2</v>
      </c>
      <c r="Z184" s="185">
        <f t="shared" si="140"/>
        <v>2.2598870056497175E-2</v>
      </c>
      <c r="AA184" s="185">
        <f t="shared" si="141"/>
        <v>0</v>
      </c>
      <c r="AB184" s="186">
        <f t="shared" si="142"/>
        <v>-2.8299999999999992E-2</v>
      </c>
      <c r="AD184" s="40"/>
    </row>
    <row r="185" spans="1:33">
      <c r="A185" s="195">
        <v>162</v>
      </c>
      <c r="B185" s="83" t="s">
        <v>327</v>
      </c>
      <c r="C185" s="84" t="s">
        <v>79</v>
      </c>
      <c r="D185" s="171" t="s">
        <v>332</v>
      </c>
      <c r="E185" s="89">
        <v>20425642567.32</v>
      </c>
      <c r="F185" s="90">
        <f t="shared" si="129"/>
        <v>0.14140306757253185</v>
      </c>
      <c r="G185" s="171" t="s">
        <v>332</v>
      </c>
      <c r="H185" s="89">
        <v>610.12</v>
      </c>
      <c r="I185" s="171" t="s">
        <v>332</v>
      </c>
      <c r="J185" s="89">
        <v>616.41</v>
      </c>
      <c r="K185" s="91">
        <v>5622</v>
      </c>
      <c r="L185" s="92">
        <v>6.0299999999999999E-2</v>
      </c>
      <c r="M185" s="92">
        <v>0.4254</v>
      </c>
      <c r="N185" s="171" t="s">
        <v>332</v>
      </c>
      <c r="O185" s="89">
        <v>20432515462.830002</v>
      </c>
      <c r="P185" s="112">
        <f t="shared" si="130"/>
        <v>0.13843484728492386</v>
      </c>
      <c r="Q185" s="171" t="s">
        <v>332</v>
      </c>
      <c r="R185" s="89">
        <v>607.09</v>
      </c>
      <c r="S185" s="171" t="s">
        <v>332</v>
      </c>
      <c r="T185" s="89">
        <v>612.74</v>
      </c>
      <c r="U185" s="91">
        <v>5640</v>
      </c>
      <c r="V185" s="92">
        <v>-5.5999999999999999E-3</v>
      </c>
      <c r="W185" s="92">
        <v>0.41739999999999999</v>
      </c>
      <c r="X185" s="185">
        <f t="shared" si="133"/>
        <v>3.3648368649113753E-4</v>
      </c>
      <c r="Y185" s="185">
        <f t="shared" si="139"/>
        <v>-5.9538294317093478E-3</v>
      </c>
      <c r="Z185" s="185">
        <f t="shared" si="140"/>
        <v>3.2017075773745998E-3</v>
      </c>
      <c r="AA185" s="185">
        <f t="shared" si="141"/>
        <v>-6.59E-2</v>
      </c>
      <c r="AB185" s="186">
        <f t="shared" si="142"/>
        <v>-8.0000000000000071E-3</v>
      </c>
    </row>
    <row r="186" spans="1:33">
      <c r="A186" s="195">
        <v>163</v>
      </c>
      <c r="B186" s="83" t="s">
        <v>218</v>
      </c>
      <c r="C186" s="84" t="s">
        <v>87</v>
      </c>
      <c r="D186" s="171" t="s">
        <v>332</v>
      </c>
      <c r="E186" s="89">
        <v>6530683487.6999998</v>
      </c>
      <c r="F186" s="90">
        <f t="shared" si="129"/>
        <v>4.5210752879008491E-2</v>
      </c>
      <c r="G186" s="171" t="s">
        <v>332</v>
      </c>
      <c r="H186" s="89">
        <v>3.9580000000000002</v>
      </c>
      <c r="I186" s="171" t="s">
        <v>332</v>
      </c>
      <c r="J186" s="89">
        <v>4.0349000000000004</v>
      </c>
      <c r="K186" s="91">
        <v>10201</v>
      </c>
      <c r="L186" s="92">
        <v>3.4200000000000001E-2</v>
      </c>
      <c r="M186" s="92">
        <v>0.29310000000000003</v>
      </c>
      <c r="N186" s="171" t="s">
        <v>332</v>
      </c>
      <c r="O186" s="89">
        <v>6753920723.7700005</v>
      </c>
      <c r="P186" s="112">
        <f t="shared" si="130"/>
        <v>4.5759318556271557E-2</v>
      </c>
      <c r="Q186" s="171" t="s">
        <v>332</v>
      </c>
      <c r="R186" s="89">
        <v>3.9407999999999999</v>
      </c>
      <c r="S186" s="171" t="s">
        <v>332</v>
      </c>
      <c r="T186" s="89">
        <v>4.0194999999999999</v>
      </c>
      <c r="U186" s="91">
        <v>10201</v>
      </c>
      <c r="V186" s="92">
        <v>-4.0752037601880604E-3</v>
      </c>
      <c r="W186" s="92">
        <v>0.28786654165723696</v>
      </c>
      <c r="X186" s="185">
        <f t="shared" si="133"/>
        <v>3.4182828870890691E-2</v>
      </c>
      <c r="Y186" s="185">
        <f t="shared" si="139"/>
        <v>-3.8166992986196739E-3</v>
      </c>
      <c r="Z186" s="185">
        <f t="shared" si="140"/>
        <v>0</v>
      </c>
      <c r="AA186" s="185">
        <f t="shared" si="141"/>
        <v>-3.8275203760188059E-2</v>
      </c>
      <c r="AB186" s="186">
        <f t="shared" si="142"/>
        <v>-5.2334583427630643E-3</v>
      </c>
    </row>
    <row r="187" spans="1:33">
      <c r="A187" s="195">
        <v>164</v>
      </c>
      <c r="B187" s="83" t="s">
        <v>219</v>
      </c>
      <c r="C187" s="84" t="s">
        <v>89</v>
      </c>
      <c r="D187" s="171" t="s">
        <v>332</v>
      </c>
      <c r="E187" s="89">
        <v>351309775.44</v>
      </c>
      <c r="F187" s="90">
        <f t="shared" si="129"/>
        <v>2.4320546955478826E-3</v>
      </c>
      <c r="G187" s="171" t="s">
        <v>332</v>
      </c>
      <c r="H187" s="89">
        <v>397.05670859999998</v>
      </c>
      <c r="I187" s="171" t="s">
        <v>332</v>
      </c>
      <c r="J187" s="89">
        <v>397.05670859999998</v>
      </c>
      <c r="K187" s="91">
        <v>35</v>
      </c>
      <c r="L187" s="92">
        <v>-7.2999999999999995E-2</v>
      </c>
      <c r="M187" s="92">
        <v>0.49869999999999998</v>
      </c>
      <c r="N187" s="171" t="s">
        <v>332</v>
      </c>
      <c r="O187" s="89">
        <v>394857864.91000003</v>
      </c>
      <c r="P187" s="112">
        <f t="shared" si="130"/>
        <v>2.6752500604982285E-3</v>
      </c>
      <c r="Q187" s="171" t="s">
        <v>332</v>
      </c>
      <c r="R187" s="89">
        <v>402.25382772</v>
      </c>
      <c r="S187" s="171" t="s">
        <v>332</v>
      </c>
      <c r="T187" s="89">
        <v>402.25382772</v>
      </c>
      <c r="U187" s="91">
        <v>35</v>
      </c>
      <c r="V187" s="92">
        <v>1.2576E-2</v>
      </c>
      <c r="W187" s="92">
        <v>0.50675899999999996</v>
      </c>
      <c r="X187" s="185">
        <f t="shared" si="133"/>
        <v>0.12395923061195199</v>
      </c>
      <c r="Y187" s="185">
        <f t="shared" si="139"/>
        <v>1.3089110465668191E-2</v>
      </c>
      <c r="Z187" s="185">
        <f t="shared" si="140"/>
        <v>0</v>
      </c>
      <c r="AA187" s="185">
        <f t="shared" si="141"/>
        <v>8.5575999999999999E-2</v>
      </c>
      <c r="AB187" s="186">
        <f t="shared" si="142"/>
        <v>8.0589999999999828E-3</v>
      </c>
    </row>
    <row r="188" spans="1:33">
      <c r="A188" s="195">
        <v>165</v>
      </c>
      <c r="B188" s="83" t="s">
        <v>220</v>
      </c>
      <c r="C188" s="83" t="s">
        <v>91</v>
      </c>
      <c r="D188" s="171" t="s">
        <v>332</v>
      </c>
      <c r="E188" s="111">
        <v>92482063.640000001</v>
      </c>
      <c r="F188" s="90">
        <f t="shared" si="129"/>
        <v>6.4023677350826891E-4</v>
      </c>
      <c r="G188" s="171" t="s">
        <v>332</v>
      </c>
      <c r="H188" s="89">
        <v>1.7923</v>
      </c>
      <c r="I188" s="171" t="s">
        <v>332</v>
      </c>
      <c r="J188" s="89">
        <v>1.7923</v>
      </c>
      <c r="K188" s="91">
        <v>30</v>
      </c>
      <c r="L188" s="92">
        <v>2.8500000000000001E-2</v>
      </c>
      <c r="M188" s="92">
        <v>0.2482</v>
      </c>
      <c r="N188" s="171" t="s">
        <v>332</v>
      </c>
      <c r="O188" s="111">
        <v>90501096.5</v>
      </c>
      <c r="P188" s="112">
        <f t="shared" si="130"/>
        <v>6.1316510421279273E-4</v>
      </c>
      <c r="Q188" s="171" t="s">
        <v>332</v>
      </c>
      <c r="R188" s="89">
        <v>1.75393</v>
      </c>
      <c r="S188" s="171" t="s">
        <v>332</v>
      </c>
      <c r="T188" s="89">
        <v>1.75393</v>
      </c>
      <c r="U188" s="91">
        <v>30</v>
      </c>
      <c r="V188" s="92">
        <v>-2.1600000000000001E-2</v>
      </c>
      <c r="W188" s="92">
        <v>0.22153600000000001</v>
      </c>
      <c r="X188" s="185">
        <f t="shared" si="133"/>
        <v>-2.1420014455032121E-2</v>
      </c>
      <c r="Y188" s="185">
        <f t="shared" si="139"/>
        <v>-2.1408246387323557E-2</v>
      </c>
      <c r="Z188" s="185">
        <f t="shared" si="140"/>
        <v>0</v>
      </c>
      <c r="AA188" s="185">
        <f t="shared" si="141"/>
        <v>-5.0100000000000006E-2</v>
      </c>
      <c r="AB188" s="186">
        <f t="shared" si="142"/>
        <v>-2.6663999999999993E-2</v>
      </c>
    </row>
    <row r="189" spans="1:33" ht="13.5" customHeight="1">
      <c r="A189" s="195">
        <v>166</v>
      </c>
      <c r="B189" s="83" t="s">
        <v>221</v>
      </c>
      <c r="C189" s="84" t="s">
        <v>35</v>
      </c>
      <c r="D189" s="171" t="s">
        <v>332</v>
      </c>
      <c r="E189" s="95">
        <v>13609285823.92</v>
      </c>
      <c r="F189" s="90">
        <f t="shared" si="129"/>
        <v>9.4214649876062873E-2</v>
      </c>
      <c r="G189" s="171" t="s">
        <v>332</v>
      </c>
      <c r="H189" s="89">
        <v>8.2017989999999994</v>
      </c>
      <c r="I189" s="171" t="s">
        <v>332</v>
      </c>
      <c r="J189" s="89">
        <v>8.3072660000000003</v>
      </c>
      <c r="K189" s="91">
        <v>10285</v>
      </c>
      <c r="L189" s="92">
        <v>3.0200000000000001E-2</v>
      </c>
      <c r="M189" s="92">
        <v>0.32079999999999997</v>
      </c>
      <c r="N189" s="171" t="s">
        <v>332</v>
      </c>
      <c r="O189" s="95">
        <v>14429263716.57</v>
      </c>
      <c r="P189" s="112">
        <f t="shared" si="130"/>
        <v>9.7761478398049162E-2</v>
      </c>
      <c r="Q189" s="171" t="s">
        <v>332</v>
      </c>
      <c r="R189" s="89">
        <v>8.1134140000000006</v>
      </c>
      <c r="S189" s="171" t="s">
        <v>332</v>
      </c>
      <c r="T189" s="89">
        <v>8.2163129999999995</v>
      </c>
      <c r="U189" s="91">
        <v>11062</v>
      </c>
      <c r="V189" s="92">
        <v>-1.0776294322745406E-2</v>
      </c>
      <c r="W189" s="92">
        <v>0.30654302619732299</v>
      </c>
      <c r="X189" s="185">
        <f t="shared" si="133"/>
        <v>6.0251353616865566E-2</v>
      </c>
      <c r="Y189" s="185">
        <f t="shared" si="139"/>
        <v>-1.0948608122094649E-2</v>
      </c>
      <c r="Z189" s="185">
        <f t="shared" si="140"/>
        <v>7.5546912980068062E-2</v>
      </c>
      <c r="AA189" s="185">
        <f t="shared" si="141"/>
        <v>-4.097629432274541E-2</v>
      </c>
      <c r="AB189" s="186">
        <f t="shared" si="142"/>
        <v>-1.4256973802676987E-2</v>
      </c>
      <c r="AD189" s="40"/>
    </row>
    <row r="190" spans="1:33" ht="13.5" customHeight="1">
      <c r="A190" s="195">
        <v>167</v>
      </c>
      <c r="B190" s="83" t="s">
        <v>222</v>
      </c>
      <c r="C190" s="84" t="s">
        <v>223</v>
      </c>
      <c r="D190" s="171" t="s">
        <v>332</v>
      </c>
      <c r="E190" s="95">
        <v>158285410.47</v>
      </c>
      <c r="F190" s="90">
        <f t="shared" si="129"/>
        <v>1.0957815656798722E-3</v>
      </c>
      <c r="G190" s="171" t="s">
        <v>332</v>
      </c>
      <c r="H190" s="89">
        <v>3.2263999999999999</v>
      </c>
      <c r="I190" s="171" t="s">
        <v>332</v>
      </c>
      <c r="J190" s="89">
        <v>3.2483</v>
      </c>
      <c r="K190" s="91">
        <v>121</v>
      </c>
      <c r="L190" s="92">
        <v>1.06E-2</v>
      </c>
      <c r="M190" s="92">
        <v>0.1583</v>
      </c>
      <c r="N190" s="171" t="s">
        <v>332</v>
      </c>
      <c r="O190" s="95">
        <v>164869595.58000001</v>
      </c>
      <c r="P190" s="112">
        <f t="shared" si="130"/>
        <v>1.1170282644623174E-3</v>
      </c>
      <c r="Q190" s="171" t="s">
        <v>332</v>
      </c>
      <c r="R190" s="89">
        <v>3.3504999999999998</v>
      </c>
      <c r="S190" s="171" t="s">
        <v>332</v>
      </c>
      <c r="T190" s="89">
        <v>3.3738000000000001</v>
      </c>
      <c r="U190" s="91">
        <v>122</v>
      </c>
      <c r="V190" s="92">
        <v>1.38E-2</v>
      </c>
      <c r="W190" s="92">
        <v>0.20300000000000001</v>
      </c>
      <c r="X190" s="185">
        <f t="shared" si="133"/>
        <v>4.1596917179223675E-2</v>
      </c>
      <c r="Y190" s="185">
        <f t="shared" si="139"/>
        <v>3.8635594003017013E-2</v>
      </c>
      <c r="Z190" s="185">
        <f t="shared" si="140"/>
        <v>8.2644628099173556E-3</v>
      </c>
      <c r="AA190" s="185">
        <f t="shared" si="141"/>
        <v>3.1999999999999997E-3</v>
      </c>
      <c r="AB190" s="186">
        <f t="shared" si="142"/>
        <v>4.4700000000000017E-2</v>
      </c>
    </row>
    <row r="191" spans="1:33">
      <c r="A191" s="195">
        <v>168</v>
      </c>
      <c r="B191" s="83" t="s">
        <v>224</v>
      </c>
      <c r="C191" s="84" t="s">
        <v>143</v>
      </c>
      <c r="D191" s="171" t="s">
        <v>332</v>
      </c>
      <c r="E191" s="95">
        <v>2098088529.5899999</v>
      </c>
      <c r="F191" s="90">
        <f t="shared" si="129"/>
        <v>1.4524691360135504E-2</v>
      </c>
      <c r="G191" s="171" t="s">
        <v>332</v>
      </c>
      <c r="H191" s="89">
        <v>494.72</v>
      </c>
      <c r="I191" s="171" t="s">
        <v>332</v>
      </c>
      <c r="J191" s="89">
        <v>499.95</v>
      </c>
      <c r="K191" s="91">
        <v>158</v>
      </c>
      <c r="L191" s="92">
        <v>1.37E-2</v>
      </c>
      <c r="M191" s="92">
        <v>0.39019999999999999</v>
      </c>
      <c r="N191" s="171" t="s">
        <v>332</v>
      </c>
      <c r="O191" s="95">
        <v>2081265686.97</v>
      </c>
      <c r="P191" s="112">
        <f t="shared" si="130"/>
        <v>1.410103900614585E-2</v>
      </c>
      <c r="Q191" s="171" t="s">
        <v>332</v>
      </c>
      <c r="R191" s="89">
        <v>486.77</v>
      </c>
      <c r="S191" s="171" t="s">
        <v>332</v>
      </c>
      <c r="T191" s="89">
        <v>491.75</v>
      </c>
      <c r="U191" s="91">
        <v>158</v>
      </c>
      <c r="V191" s="92">
        <v>1.37E-2</v>
      </c>
      <c r="W191" s="92">
        <v>0.36780000000000002</v>
      </c>
      <c r="X191" s="185">
        <f t="shared" si="133"/>
        <v>-8.0181757741592235E-3</v>
      </c>
      <c r="Y191" s="185">
        <f t="shared" si="139"/>
        <v>-1.6401640164016379E-2</v>
      </c>
      <c r="Z191" s="185">
        <f t="shared" si="140"/>
        <v>0</v>
      </c>
      <c r="AA191" s="185">
        <f t="shared" si="141"/>
        <v>0</v>
      </c>
      <c r="AB191" s="186">
        <f t="shared" si="142"/>
        <v>-2.2399999999999975E-2</v>
      </c>
    </row>
    <row r="192" spans="1:33">
      <c r="A192" s="195">
        <v>169</v>
      </c>
      <c r="B192" s="83" t="s">
        <v>314</v>
      </c>
      <c r="C192" s="84" t="s">
        <v>313</v>
      </c>
      <c r="D192" s="171" t="s">
        <v>332</v>
      </c>
      <c r="E192" s="89">
        <v>50131001.740000002</v>
      </c>
      <c r="F192" s="90">
        <f t="shared" si="129"/>
        <v>3.4704795225690767E-4</v>
      </c>
      <c r="G192" s="171" t="s">
        <v>332</v>
      </c>
      <c r="H192" s="89">
        <v>1.002</v>
      </c>
      <c r="I192" s="171" t="s">
        <v>332</v>
      </c>
      <c r="J192" s="89">
        <v>1.0129999999999999</v>
      </c>
      <c r="K192" s="91">
        <v>1</v>
      </c>
      <c r="L192" s="92">
        <v>2.4631000000000002E-3</v>
      </c>
      <c r="M192" s="92">
        <v>0</v>
      </c>
      <c r="N192" s="171" t="s">
        <v>332</v>
      </c>
      <c r="O192" s="89">
        <v>50227850.869999997</v>
      </c>
      <c r="P192" s="112">
        <f t="shared" si="130"/>
        <v>3.4030488694784111E-4</v>
      </c>
      <c r="Q192" s="171" t="s">
        <v>332</v>
      </c>
      <c r="R192" s="89">
        <v>1.0035529999999999</v>
      </c>
      <c r="S192" s="171" t="s">
        <v>332</v>
      </c>
      <c r="T192" s="89">
        <v>1.017962</v>
      </c>
      <c r="U192" s="91">
        <v>1</v>
      </c>
      <c r="V192" s="92">
        <v>1.9319209000110416E-3</v>
      </c>
      <c r="W192" s="92">
        <v>0</v>
      </c>
      <c r="X192" s="185">
        <f t="shared" ref="X192" si="143">((O192-E192)/E192)</f>
        <v>1.9319209000110283E-3</v>
      </c>
      <c r="Y192" s="185">
        <f t="shared" ref="Y192" si="144">((T192-J192)/J192)</f>
        <v>4.8983218163871009E-3</v>
      </c>
      <c r="Z192" s="185">
        <f t="shared" ref="Z192" si="145">((U192-K192)/K192)</f>
        <v>0</v>
      </c>
      <c r="AA192" s="185">
        <f t="shared" ref="AA192" si="146">V192-L192</f>
        <v>-5.3117909998895863E-4</v>
      </c>
      <c r="AB192" s="186">
        <f t="shared" ref="AB192" si="147">W192-M192</f>
        <v>0</v>
      </c>
    </row>
    <row r="193" spans="1:28">
      <c r="A193" s="195">
        <v>170</v>
      </c>
      <c r="B193" s="83" t="s">
        <v>225</v>
      </c>
      <c r="C193" s="84" t="s">
        <v>31</v>
      </c>
      <c r="D193" s="171" t="s">
        <v>332</v>
      </c>
      <c r="E193" s="95">
        <v>3149446469.0599999</v>
      </c>
      <c r="F193" s="90">
        <f t="shared" ref="F193:F202" si="148">(E193/$E$203)</f>
        <v>2.1803054195860982E-2</v>
      </c>
      <c r="G193" s="171" t="s">
        <v>332</v>
      </c>
      <c r="H193" s="89">
        <v>552.22</v>
      </c>
      <c r="I193" s="171" t="s">
        <v>332</v>
      </c>
      <c r="J193" s="89">
        <v>552.22</v>
      </c>
      <c r="K193" s="91">
        <v>823</v>
      </c>
      <c r="L193" s="92">
        <v>4.8399999999999999E-2</v>
      </c>
      <c r="M193" s="92">
        <v>0.46189999999999998</v>
      </c>
      <c r="N193" s="171" t="s">
        <v>332</v>
      </c>
      <c r="O193" s="95">
        <v>3107161875.04</v>
      </c>
      <c r="P193" s="112">
        <f t="shared" si="130"/>
        <v>2.1051714383536979E-2</v>
      </c>
      <c r="Q193" s="171" t="s">
        <v>332</v>
      </c>
      <c r="R193" s="89">
        <v>552.22</v>
      </c>
      <c r="S193" s="171" t="s">
        <v>332</v>
      </c>
      <c r="T193" s="89">
        <v>552.22</v>
      </c>
      <c r="U193" s="91">
        <v>823</v>
      </c>
      <c r="V193" s="92">
        <v>0.10159</v>
      </c>
      <c r="W193" s="92">
        <v>0.39001999999999998</v>
      </c>
      <c r="X193" s="185">
        <f t="shared" si="133"/>
        <v>-1.3426039920157925E-2</v>
      </c>
      <c r="Y193" s="185">
        <f t="shared" ref="Y193:Z195" si="149">((T193-J193)/J193)</f>
        <v>0</v>
      </c>
      <c r="Z193" s="185">
        <f t="shared" si="149"/>
        <v>0</v>
      </c>
      <c r="AA193" s="185">
        <f t="shared" ref="AA193:AB195" si="150">V193-L193</f>
        <v>5.3190000000000001E-2</v>
      </c>
      <c r="AB193" s="186">
        <f t="shared" si="150"/>
        <v>-7.1879999999999999E-2</v>
      </c>
    </row>
    <row r="194" spans="1:28">
      <c r="A194" s="195">
        <v>171</v>
      </c>
      <c r="B194" s="83" t="s">
        <v>226</v>
      </c>
      <c r="C194" s="84" t="s">
        <v>100</v>
      </c>
      <c r="D194" s="171" t="s">
        <v>332</v>
      </c>
      <c r="E194" s="89">
        <v>65385370.520000003</v>
      </c>
      <c r="F194" s="90">
        <f t="shared" si="148"/>
        <v>4.5265121698972815E-4</v>
      </c>
      <c r="G194" s="171" t="s">
        <v>332</v>
      </c>
      <c r="H194" s="89">
        <v>3.62</v>
      </c>
      <c r="I194" s="171" t="s">
        <v>332</v>
      </c>
      <c r="J194" s="89">
        <v>3.62</v>
      </c>
      <c r="K194" s="91">
        <v>9</v>
      </c>
      <c r="L194" s="92">
        <v>7.0900000000000005E-2</v>
      </c>
      <c r="M194" s="92">
        <v>0.3795</v>
      </c>
      <c r="N194" s="171" t="s">
        <v>332</v>
      </c>
      <c r="O194" s="89">
        <v>64517824.210000001</v>
      </c>
      <c r="P194" s="112">
        <f t="shared" si="130"/>
        <v>4.3712264199260054E-4</v>
      </c>
      <c r="Q194" s="171" t="s">
        <v>332</v>
      </c>
      <c r="R194" s="89">
        <v>3.57</v>
      </c>
      <c r="S194" s="171" t="s">
        <v>332</v>
      </c>
      <c r="T194" s="89">
        <v>3.57</v>
      </c>
      <c r="U194" s="91">
        <v>11</v>
      </c>
      <c r="V194" s="92">
        <v>-1.6199999999999999E-2</v>
      </c>
      <c r="W194" s="92">
        <v>0.3584</v>
      </c>
      <c r="X194" s="185">
        <f t="shared" si="133"/>
        <v>-1.3268202093228765E-2</v>
      </c>
      <c r="Y194" s="185">
        <f t="shared" si="149"/>
        <v>-1.3812154696132671E-2</v>
      </c>
      <c r="Z194" s="185">
        <f t="shared" si="149"/>
        <v>0.22222222222222221</v>
      </c>
      <c r="AA194" s="185">
        <f t="shared" si="150"/>
        <v>-8.7100000000000011E-2</v>
      </c>
      <c r="AB194" s="186">
        <f t="shared" si="150"/>
        <v>-2.1100000000000008E-2</v>
      </c>
    </row>
    <row r="195" spans="1:28">
      <c r="A195" s="195">
        <v>172</v>
      </c>
      <c r="B195" s="83" t="s">
        <v>227</v>
      </c>
      <c r="C195" s="84" t="s">
        <v>42</v>
      </c>
      <c r="D195" s="171" t="s">
        <v>332</v>
      </c>
      <c r="E195" s="89">
        <v>736423541.10000002</v>
      </c>
      <c r="F195" s="90">
        <f t="shared" si="148"/>
        <v>5.0981283649197571E-3</v>
      </c>
      <c r="G195" s="171" t="s">
        <v>332</v>
      </c>
      <c r="H195" s="89">
        <v>4.7712459999999997</v>
      </c>
      <c r="I195" s="171" t="s">
        <v>332</v>
      </c>
      <c r="J195" s="89">
        <v>4.8168369999999996</v>
      </c>
      <c r="K195" s="91">
        <v>141</v>
      </c>
      <c r="L195" s="92">
        <v>2.8899999999999999E-2</v>
      </c>
      <c r="M195" s="92">
        <v>0.34839999999999999</v>
      </c>
      <c r="N195" s="171" t="s">
        <v>332</v>
      </c>
      <c r="O195" s="89">
        <v>734295952.23000002</v>
      </c>
      <c r="P195" s="112">
        <f t="shared" si="130"/>
        <v>4.9750187730834821E-3</v>
      </c>
      <c r="Q195" s="171" t="s">
        <v>332</v>
      </c>
      <c r="R195" s="89">
        <v>4.7</v>
      </c>
      <c r="S195" s="171" t="s">
        <v>332</v>
      </c>
      <c r="T195" s="89">
        <v>4.75</v>
      </c>
      <c r="U195" s="91">
        <v>139</v>
      </c>
      <c r="V195" s="92">
        <v>-1.9199999999999998E-2</v>
      </c>
      <c r="W195" s="92">
        <v>0.32919999999999999</v>
      </c>
      <c r="X195" s="185">
        <f t="shared" si="133"/>
        <v>-2.8890831855022088E-3</v>
      </c>
      <c r="Y195" s="185">
        <f t="shared" si="149"/>
        <v>-1.387570308067298E-2</v>
      </c>
      <c r="Z195" s="185">
        <f t="shared" si="149"/>
        <v>-1.4184397163120567E-2</v>
      </c>
      <c r="AA195" s="185">
        <f t="shared" si="150"/>
        <v>-4.8099999999999997E-2</v>
      </c>
      <c r="AB195" s="186">
        <f t="shared" si="150"/>
        <v>-1.9199999999999995E-2</v>
      </c>
    </row>
    <row r="196" spans="1:28">
      <c r="A196" s="195">
        <v>173</v>
      </c>
      <c r="B196" s="83" t="s">
        <v>301</v>
      </c>
      <c r="C196" s="84" t="s">
        <v>302</v>
      </c>
      <c r="D196" s="171" t="s">
        <v>332</v>
      </c>
      <c r="E196" s="89">
        <v>233872511.659554</v>
      </c>
      <c r="F196" s="90">
        <f t="shared" si="148"/>
        <v>1.6190575381194842E-3</v>
      </c>
      <c r="G196" s="171" t="s">
        <v>332</v>
      </c>
      <c r="H196" s="89">
        <v>138.87643839819501</v>
      </c>
      <c r="I196" s="171" t="s">
        <v>332</v>
      </c>
      <c r="J196" s="89">
        <v>137.93064946420901</v>
      </c>
      <c r="K196" s="91">
        <v>114</v>
      </c>
      <c r="L196" s="92">
        <v>-3.8199999999999998E-2</v>
      </c>
      <c r="M196" s="92">
        <v>0.1966</v>
      </c>
      <c r="N196" s="171" t="s">
        <v>332</v>
      </c>
      <c r="O196" s="89">
        <v>233872511.65955362</v>
      </c>
      <c r="P196" s="90">
        <f t="shared" si="130"/>
        <v>1.5845384037334596E-3</v>
      </c>
      <c r="Q196" s="171" t="s">
        <v>332</v>
      </c>
      <c r="R196" s="89">
        <v>138.87643839819484</v>
      </c>
      <c r="S196" s="171" t="s">
        <v>332</v>
      </c>
      <c r="T196" s="89">
        <v>137.93064946420949</v>
      </c>
      <c r="U196" s="91">
        <v>115</v>
      </c>
      <c r="V196" s="92">
        <v>1.2095774897755041E-2</v>
      </c>
      <c r="W196" s="92">
        <v>0.21099103255256857</v>
      </c>
      <c r="X196" s="185">
        <f t="shared" ref="X196" si="151">((O196-E196)/E196)</f>
        <v>-1.6565871221497699E-15</v>
      </c>
      <c r="Y196" s="185">
        <f t="shared" ref="Y196" si="152">((T196-J196)/J196)</f>
        <v>3.5029854654765723E-15</v>
      </c>
      <c r="Z196" s="185">
        <f t="shared" ref="Z196" si="153">((U196-K196)/K196)</f>
        <v>8.771929824561403E-3</v>
      </c>
      <c r="AA196" s="185">
        <f t="shared" ref="AA196" si="154">V196-L196</f>
        <v>5.0295774897755038E-2</v>
      </c>
      <c r="AB196" s="186">
        <f t="shared" ref="AB196" si="155">W196-M196</f>
        <v>1.4391032552568572E-2</v>
      </c>
    </row>
    <row r="197" spans="1:28">
      <c r="A197" s="194">
        <v>174</v>
      </c>
      <c r="B197" s="83" t="s">
        <v>228</v>
      </c>
      <c r="C197" s="84" t="s">
        <v>46</v>
      </c>
      <c r="D197" s="171" t="s">
        <v>332</v>
      </c>
      <c r="E197" s="95">
        <v>13443064702.879999</v>
      </c>
      <c r="F197" s="90">
        <f t="shared" si="148"/>
        <v>9.3063930806494569E-2</v>
      </c>
      <c r="G197" s="171" t="s">
        <v>332</v>
      </c>
      <c r="H197" s="89">
        <v>13656.95</v>
      </c>
      <c r="I197" s="171" t="s">
        <v>332</v>
      </c>
      <c r="J197" s="89">
        <v>13785.18</v>
      </c>
      <c r="K197" s="91">
        <v>6925</v>
      </c>
      <c r="L197" s="92">
        <v>3.5299999999999998E-2</v>
      </c>
      <c r="M197" s="92">
        <v>0.41660000000000003</v>
      </c>
      <c r="N197" s="171" t="s">
        <v>332</v>
      </c>
      <c r="O197" s="95">
        <v>13443064702.879999</v>
      </c>
      <c r="P197" s="90">
        <f t="shared" si="130"/>
        <v>9.1079760226780576E-2</v>
      </c>
      <c r="Q197" s="171" t="s">
        <v>332</v>
      </c>
      <c r="R197" s="89">
        <v>13656.95</v>
      </c>
      <c r="S197" s="171" t="s">
        <v>332</v>
      </c>
      <c r="T197" s="89">
        <v>13785.18</v>
      </c>
      <c r="U197" s="91">
        <v>6925</v>
      </c>
      <c r="V197" s="92">
        <v>3.5299999999999998E-2</v>
      </c>
      <c r="W197" s="92">
        <v>0.41660000000000003</v>
      </c>
      <c r="X197" s="185">
        <f t="shared" si="133"/>
        <v>0</v>
      </c>
      <c r="Y197" s="185">
        <f t="shared" ref="Y197:Z202" si="156">((T197-J197)/J197)</f>
        <v>0</v>
      </c>
      <c r="Z197" s="185">
        <f t="shared" si="156"/>
        <v>0</v>
      </c>
      <c r="AA197" s="185">
        <f t="shared" ref="AA197:AB202" si="157">V197-L197</f>
        <v>0</v>
      </c>
      <c r="AB197" s="186">
        <f t="shared" si="157"/>
        <v>0</v>
      </c>
    </row>
    <row r="198" spans="1:28">
      <c r="A198" s="195">
        <v>175</v>
      </c>
      <c r="B198" s="83" t="s">
        <v>229</v>
      </c>
      <c r="C198" s="83" t="s">
        <v>110</v>
      </c>
      <c r="D198" s="171" t="s">
        <v>332</v>
      </c>
      <c r="E198" s="95">
        <v>227784081.56999999</v>
      </c>
      <c r="F198" s="90">
        <f t="shared" si="148"/>
        <v>1.5769084263583064E-3</v>
      </c>
      <c r="G198" s="171" t="s">
        <v>332</v>
      </c>
      <c r="H198" s="89">
        <v>1836.4943000000001</v>
      </c>
      <c r="I198" s="171" t="s">
        <v>332</v>
      </c>
      <c r="J198" s="89">
        <v>1869.3467000000001</v>
      </c>
      <c r="K198" s="91">
        <v>109</v>
      </c>
      <c r="L198" s="92">
        <v>2.0400000000000001E-2</v>
      </c>
      <c r="M198" s="92">
        <v>0.27450000000000002</v>
      </c>
      <c r="N198" s="171" t="s">
        <v>332</v>
      </c>
      <c r="O198" s="95">
        <v>249269874.33000001</v>
      </c>
      <c r="P198" s="90">
        <f t="shared" si="130"/>
        <v>1.6888589683624906E-3</v>
      </c>
      <c r="Q198" s="171" t="s">
        <v>332</v>
      </c>
      <c r="R198" s="89">
        <v>1845.2216000000001</v>
      </c>
      <c r="S198" s="171" t="s">
        <v>332</v>
      </c>
      <c r="T198" s="89">
        <v>1875.4797000000001</v>
      </c>
      <c r="U198" s="91">
        <v>119</v>
      </c>
      <c r="V198" s="92">
        <v>4.7999999999999996E-3</v>
      </c>
      <c r="W198" s="92">
        <v>0.27729999999999999</v>
      </c>
      <c r="X198" s="185">
        <f t="shared" si="133"/>
        <v>9.4325260184598331E-2</v>
      </c>
      <c r="Y198" s="185">
        <f t="shared" si="156"/>
        <v>3.2808253279073582E-3</v>
      </c>
      <c r="Z198" s="185">
        <f t="shared" si="156"/>
        <v>9.1743119266055051E-2</v>
      </c>
      <c r="AA198" s="185">
        <f t="shared" si="157"/>
        <v>-1.5600000000000003E-2</v>
      </c>
      <c r="AB198" s="186">
        <f t="shared" si="157"/>
        <v>2.7999999999999692E-3</v>
      </c>
    </row>
    <row r="199" spans="1:28">
      <c r="A199" s="195">
        <v>176</v>
      </c>
      <c r="B199" s="83" t="s">
        <v>230</v>
      </c>
      <c r="C199" s="83" t="s">
        <v>91</v>
      </c>
      <c r="D199" s="171" t="s">
        <v>332</v>
      </c>
      <c r="E199" s="95">
        <v>844524387.19000006</v>
      </c>
      <c r="F199" s="90">
        <f t="shared" si="148"/>
        <v>5.8464911737730087E-3</v>
      </c>
      <c r="G199" s="171" t="s">
        <v>332</v>
      </c>
      <c r="H199" s="89">
        <v>1.605</v>
      </c>
      <c r="I199" s="171" t="s">
        <v>332</v>
      </c>
      <c r="J199" s="89">
        <v>1.605</v>
      </c>
      <c r="K199" s="91">
        <v>47</v>
      </c>
      <c r="L199" s="92">
        <v>2.0999999999999999E-3</v>
      </c>
      <c r="M199" s="92">
        <v>5.0200000000000002E-2</v>
      </c>
      <c r="N199" s="171" t="s">
        <v>332</v>
      </c>
      <c r="O199" s="95">
        <v>846852863.70000005</v>
      </c>
      <c r="P199" s="90">
        <f t="shared" si="130"/>
        <v>5.7376169406247197E-3</v>
      </c>
      <c r="Q199" s="171" t="s">
        <v>332</v>
      </c>
      <c r="R199" s="89">
        <v>1.609</v>
      </c>
      <c r="S199" s="171" t="s">
        <v>332</v>
      </c>
      <c r="T199" s="89">
        <v>1.609</v>
      </c>
      <c r="U199" s="91">
        <v>47</v>
      </c>
      <c r="V199" s="92">
        <v>1.91E-3</v>
      </c>
      <c r="W199" s="92">
        <v>5.3108000000000002E-2</v>
      </c>
      <c r="X199" s="185">
        <f t="shared" si="133"/>
        <v>2.757145377112873E-3</v>
      </c>
      <c r="Y199" s="185">
        <f t="shared" si="156"/>
        <v>2.4922118380062328E-3</v>
      </c>
      <c r="Z199" s="185">
        <f t="shared" si="156"/>
        <v>0</v>
      </c>
      <c r="AA199" s="185">
        <f t="shared" si="157"/>
        <v>-1.8999999999999985E-4</v>
      </c>
      <c r="AB199" s="186">
        <f t="shared" si="157"/>
        <v>2.9080000000000009E-3</v>
      </c>
    </row>
    <row r="200" spans="1:28">
      <c r="A200" s="195">
        <v>177</v>
      </c>
      <c r="B200" s="83" t="s">
        <v>231</v>
      </c>
      <c r="C200" s="84" t="s">
        <v>49</v>
      </c>
      <c r="D200" s="171" t="s">
        <v>332</v>
      </c>
      <c r="E200" s="89">
        <v>7953374460.3100004</v>
      </c>
      <c r="F200" s="90">
        <f t="shared" si="148"/>
        <v>5.5059787839439531E-2</v>
      </c>
      <c r="G200" s="171" t="s">
        <v>332</v>
      </c>
      <c r="H200" s="89">
        <v>3.0529199999999999</v>
      </c>
      <c r="I200" s="171" t="s">
        <v>332</v>
      </c>
      <c r="J200" s="89">
        <v>3.07328</v>
      </c>
      <c r="K200" s="91">
        <v>3417</v>
      </c>
      <c r="L200" s="92">
        <v>4.0300000000000002E-2</v>
      </c>
      <c r="M200" s="92">
        <v>0.3745</v>
      </c>
      <c r="N200" s="171" t="s">
        <v>332</v>
      </c>
      <c r="O200" s="89">
        <v>8503013821.0200005</v>
      </c>
      <c r="P200" s="112">
        <f t="shared" si="130"/>
        <v>5.7609814215770806E-2</v>
      </c>
      <c r="Q200" s="171" t="s">
        <v>332</v>
      </c>
      <c r="R200" s="89">
        <v>3.0075799999999999</v>
      </c>
      <c r="S200" s="171" t="s">
        <v>332</v>
      </c>
      <c r="T200" s="89">
        <v>3.0257000000000001</v>
      </c>
      <c r="U200" s="91">
        <v>3447</v>
      </c>
      <c r="V200" s="92">
        <v>-0.49469999999999997</v>
      </c>
      <c r="W200" s="92">
        <v>0.35410000000000003</v>
      </c>
      <c r="X200" s="185">
        <f t="shared" si="133"/>
        <v>6.910769302424831E-2</v>
      </c>
      <c r="Y200" s="185">
        <f t="shared" si="156"/>
        <v>-1.5481830487296944E-2</v>
      </c>
      <c r="Z200" s="185">
        <f t="shared" si="156"/>
        <v>8.7796312554872698E-3</v>
      </c>
      <c r="AA200" s="185">
        <f t="shared" si="157"/>
        <v>-0.53499999999999992</v>
      </c>
      <c r="AB200" s="186">
        <f t="shared" si="157"/>
        <v>-2.0399999999999974E-2</v>
      </c>
    </row>
    <row r="201" spans="1:28">
      <c r="A201" s="195">
        <v>178</v>
      </c>
      <c r="B201" s="83" t="s">
        <v>232</v>
      </c>
      <c r="C201" s="84" t="s">
        <v>49</v>
      </c>
      <c r="D201" s="171" t="s">
        <v>332</v>
      </c>
      <c r="E201" s="89">
        <v>4833341038.1999998</v>
      </c>
      <c r="F201" s="90">
        <f t="shared" si="148"/>
        <v>3.3460354903065342E-2</v>
      </c>
      <c r="G201" s="171" t="s">
        <v>332</v>
      </c>
      <c r="H201" s="89">
        <v>2.5404100000000001</v>
      </c>
      <c r="I201" s="171" t="s">
        <v>332</v>
      </c>
      <c r="J201" s="89">
        <v>2.55931</v>
      </c>
      <c r="K201" s="91">
        <v>1960</v>
      </c>
      <c r="L201" s="92">
        <v>5.1900000000000002E-2</v>
      </c>
      <c r="M201" s="92">
        <v>0.42109999999999997</v>
      </c>
      <c r="N201" s="171" t="s">
        <v>332</v>
      </c>
      <c r="O201" s="89">
        <v>4897550253.8900003</v>
      </c>
      <c r="P201" s="112">
        <f t="shared" si="130"/>
        <v>3.3181994781840592E-2</v>
      </c>
      <c r="Q201" s="171" t="s">
        <v>332</v>
      </c>
      <c r="R201" s="89">
        <v>2.4638900000000001</v>
      </c>
      <c r="S201" s="171" t="s">
        <v>332</v>
      </c>
      <c r="T201" s="89">
        <v>2.4817999999999998</v>
      </c>
      <c r="U201" s="91">
        <v>2031</v>
      </c>
      <c r="V201" s="92">
        <v>-0.75229999999999997</v>
      </c>
      <c r="W201" s="92">
        <v>0.37830000000000003</v>
      </c>
      <c r="X201" s="185">
        <f t="shared" si="133"/>
        <v>1.3284644137983878E-2</v>
      </c>
      <c r="Y201" s="185">
        <f t="shared" si="156"/>
        <v>-3.028550664046176E-2</v>
      </c>
      <c r="Z201" s="185">
        <f t="shared" si="156"/>
        <v>3.6224489795918365E-2</v>
      </c>
      <c r="AA201" s="185">
        <f t="shared" si="157"/>
        <v>-0.80420000000000003</v>
      </c>
      <c r="AB201" s="186">
        <f t="shared" si="157"/>
        <v>-4.2799999999999949E-2</v>
      </c>
    </row>
    <row r="202" spans="1:28">
      <c r="A202" s="195">
        <v>179</v>
      </c>
      <c r="B202" s="83" t="s">
        <v>233</v>
      </c>
      <c r="C202" s="84" t="s">
        <v>115</v>
      </c>
      <c r="D202" s="171" t="s">
        <v>332</v>
      </c>
      <c r="E202" s="116">
        <v>14120852180.940001</v>
      </c>
      <c r="F202" s="90">
        <f t="shared" si="148"/>
        <v>9.7756132202071494E-2</v>
      </c>
      <c r="G202" s="171" t="s">
        <v>332</v>
      </c>
      <c r="H202" s="89">
        <v>893.33</v>
      </c>
      <c r="I202" s="171" t="s">
        <v>332</v>
      </c>
      <c r="J202" s="89">
        <v>903.4</v>
      </c>
      <c r="K202" s="91">
        <v>41</v>
      </c>
      <c r="L202" s="92">
        <v>9.2999999999999992E-3</v>
      </c>
      <c r="M202" s="92">
        <v>0.29930000000000001</v>
      </c>
      <c r="N202" s="171" t="s">
        <v>332</v>
      </c>
      <c r="O202" s="116">
        <v>14069680106.370001</v>
      </c>
      <c r="P202" s="112">
        <f t="shared" si="130"/>
        <v>9.5325219276906972E-2</v>
      </c>
      <c r="Q202" s="171" t="s">
        <v>332</v>
      </c>
      <c r="R202" s="89">
        <v>889.97</v>
      </c>
      <c r="S202" s="171" t="s">
        <v>332</v>
      </c>
      <c r="T202" s="89">
        <v>900</v>
      </c>
      <c r="U202" s="91">
        <v>41</v>
      </c>
      <c r="V202" s="92">
        <v>-3.8E-3</v>
      </c>
      <c r="W202" s="92">
        <v>0.2944</v>
      </c>
      <c r="X202" s="185">
        <f t="shared" si="133"/>
        <v>-3.6238658909743832E-3</v>
      </c>
      <c r="Y202" s="185">
        <f t="shared" si="156"/>
        <v>-3.7635598848793196E-3</v>
      </c>
      <c r="Z202" s="185">
        <f t="shared" si="156"/>
        <v>0</v>
      </c>
      <c r="AA202" s="185">
        <f t="shared" si="157"/>
        <v>-1.3099999999999999E-2</v>
      </c>
      <c r="AB202" s="186">
        <f t="shared" si="157"/>
        <v>-4.9000000000000155E-3</v>
      </c>
    </row>
    <row r="203" spans="1:28">
      <c r="B203" s="98"/>
      <c r="C203" s="99" t="s">
        <v>52</v>
      </c>
      <c r="D203" s="170" t="s">
        <v>332</v>
      </c>
      <c r="E203" s="128">
        <f>SUM(E173:E202)</f>
        <v>144449783996.67877</v>
      </c>
      <c r="F203" s="101">
        <f>(E203/$E$238)</f>
        <v>1.6309687643385511E-2</v>
      </c>
      <c r="G203" s="171"/>
      <c r="H203" s="102"/>
      <c r="I203" s="171" t="s">
        <v>332</v>
      </c>
      <c r="J203" s="129"/>
      <c r="K203" s="104">
        <f>SUM(K173:K202)</f>
        <v>92303</v>
      </c>
      <c r="L203" s="130"/>
      <c r="M203" s="130"/>
      <c r="N203" s="171" t="s">
        <v>332</v>
      </c>
      <c r="O203" s="128">
        <f>SUM(O173:O202)</f>
        <v>147596619374.13925</v>
      </c>
      <c r="P203" s="101">
        <f>(O203/$O$238)</f>
        <v>1.6650520578575974E-2</v>
      </c>
      <c r="Q203" s="171" t="s">
        <v>332</v>
      </c>
      <c r="R203" s="102"/>
      <c r="S203" s="171" t="s">
        <v>332</v>
      </c>
      <c r="T203" s="129"/>
      <c r="U203" s="104">
        <f>SUM(U173:U202)</f>
        <v>93416</v>
      </c>
      <c r="V203" s="130"/>
      <c r="W203" s="130"/>
      <c r="X203" s="185">
        <f t="shared" ref="X203" si="158">((O203-E203)/E203)</f>
        <v>2.1784978076068516E-2</v>
      </c>
      <c r="Y203" s="185" t="e">
        <f t="shared" ref="Y203" si="159">((T203-J203)/J203)</f>
        <v>#DIV/0!</v>
      </c>
      <c r="Z203" s="185">
        <f t="shared" ref="Z203" si="160">((U203-K203)/K203)</f>
        <v>1.2058112954075165E-2</v>
      </c>
      <c r="AA203" s="185">
        <f t="shared" ref="AA203" si="161">V203-L203</f>
        <v>0</v>
      </c>
      <c r="AB203" s="186">
        <f t="shared" ref="AB203" si="162">W203-M203</f>
        <v>0</v>
      </c>
    </row>
    <row r="204" spans="1:28" ht="5.25" customHeight="1"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</row>
    <row r="205" spans="1:28" ht="15" customHeight="1">
      <c r="A205" s="193"/>
      <c r="B205" s="215" t="s">
        <v>234</v>
      </c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</row>
    <row r="206" spans="1:28" ht="15" customHeight="1">
      <c r="A206" s="195">
        <v>180</v>
      </c>
      <c r="B206" s="83" t="s">
        <v>306</v>
      </c>
      <c r="C206" s="84" t="s">
        <v>130</v>
      </c>
      <c r="D206" s="171" t="s">
        <v>332</v>
      </c>
      <c r="E206" s="131">
        <v>599996942.53999996</v>
      </c>
      <c r="F206" s="90">
        <v>0</v>
      </c>
      <c r="G206" s="171" t="s">
        <v>332</v>
      </c>
      <c r="H206" s="132">
        <v>1039.3599999999999</v>
      </c>
      <c r="I206" s="171" t="s">
        <v>332</v>
      </c>
      <c r="J206" s="132">
        <v>1039.3599999999999</v>
      </c>
      <c r="K206" s="91">
        <v>33</v>
      </c>
      <c r="L206" s="92">
        <v>1.73E-3</v>
      </c>
      <c r="M206" s="92">
        <v>3.8240000000000003E-2</v>
      </c>
      <c r="N206" s="171" t="s">
        <v>332</v>
      </c>
      <c r="O206" s="131">
        <v>601893711.48000002</v>
      </c>
      <c r="P206" s="112">
        <f>(O206/$O$209)</f>
        <v>3.0770174065282641E-2</v>
      </c>
      <c r="Q206" s="171" t="s">
        <v>332</v>
      </c>
      <c r="R206" s="132">
        <v>1043</v>
      </c>
      <c r="S206" s="171" t="s">
        <v>332</v>
      </c>
      <c r="T206" s="132">
        <v>1043</v>
      </c>
      <c r="U206" s="91">
        <v>32</v>
      </c>
      <c r="V206" s="92">
        <v>3.15E-3</v>
      </c>
      <c r="W206" s="92">
        <v>4.1880000000000001E-2</v>
      </c>
      <c r="X206" s="185">
        <f>((O206-E206)/E206)</f>
        <v>3.1612976759020825E-3</v>
      </c>
      <c r="Y206" s="185">
        <f t="shared" ref="Y206" si="163">((T206-J206)/J206)</f>
        <v>3.5021551724138899E-3</v>
      </c>
      <c r="Z206" s="185">
        <f t="shared" ref="Z206" si="164">((U206-K206)/K206)</f>
        <v>-3.0303030303030304E-2</v>
      </c>
      <c r="AA206" s="185">
        <f t="shared" ref="AA206" si="165">V206-L206</f>
        <v>1.42E-3</v>
      </c>
      <c r="AB206" s="186">
        <f t="shared" ref="AB206" si="166">W206-M206</f>
        <v>3.6399999999999974E-3</v>
      </c>
    </row>
    <row r="207" spans="1:28">
      <c r="A207" s="195">
        <v>181</v>
      </c>
      <c r="B207" s="83" t="s">
        <v>235</v>
      </c>
      <c r="C207" s="84" t="s">
        <v>236</v>
      </c>
      <c r="D207" s="171" t="s">
        <v>332</v>
      </c>
      <c r="E207" s="131">
        <v>1913876373.03</v>
      </c>
      <c r="F207" s="90">
        <f>(E207/$E$209)</f>
        <v>9.8079395259995983E-2</v>
      </c>
      <c r="G207" s="171" t="s">
        <v>332</v>
      </c>
      <c r="H207" s="132">
        <v>52.961300000000001</v>
      </c>
      <c r="I207" s="171" t="s">
        <v>332</v>
      </c>
      <c r="J207" s="132">
        <v>53.509300000000003</v>
      </c>
      <c r="K207" s="91">
        <v>1334</v>
      </c>
      <c r="L207" s="92">
        <v>1.9900000000000001E-2</v>
      </c>
      <c r="M207" s="92">
        <v>0.32500000000000001</v>
      </c>
      <c r="N207" s="171" t="s">
        <v>332</v>
      </c>
      <c r="O207" s="131">
        <v>1959383807.03</v>
      </c>
      <c r="P207" s="112">
        <f>(O207/$O$209)</f>
        <v>0.10016815203927019</v>
      </c>
      <c r="Q207" s="171" t="s">
        <v>332</v>
      </c>
      <c r="R207" s="132">
        <v>53.505899999999997</v>
      </c>
      <c r="S207" s="171" t="s">
        <v>332</v>
      </c>
      <c r="T207" s="132">
        <v>54.064799999999998</v>
      </c>
      <c r="U207" s="91">
        <v>1553</v>
      </c>
      <c r="V207" s="92">
        <v>1.5599999999999999E-2</v>
      </c>
      <c r="W207" s="92">
        <v>0.33860000000000001</v>
      </c>
      <c r="X207" s="185">
        <f>((O207-E207)/E207)</f>
        <v>2.3777624637245403E-2</v>
      </c>
      <c r="Y207" s="185">
        <f t="shared" ref="Y207:Z209" si="167">((T207-J207)/J207)</f>
        <v>1.0381372957597931E-2</v>
      </c>
      <c r="Z207" s="185">
        <f t="shared" si="167"/>
        <v>0.164167916041979</v>
      </c>
      <c r="AA207" s="185">
        <f t="shared" ref="AA207:AB209" si="168">V207-L207</f>
        <v>-4.3000000000000017E-3</v>
      </c>
      <c r="AB207" s="186">
        <f t="shared" si="168"/>
        <v>1.3600000000000001E-2</v>
      </c>
    </row>
    <row r="208" spans="1:28">
      <c r="A208" s="195">
        <v>182</v>
      </c>
      <c r="B208" s="83" t="s">
        <v>237</v>
      </c>
      <c r="C208" s="84" t="s">
        <v>46</v>
      </c>
      <c r="D208" s="171" t="s">
        <v>332</v>
      </c>
      <c r="E208" s="106">
        <v>16999668422.290001</v>
      </c>
      <c r="F208" s="90">
        <f>(E208/$E$209)</f>
        <v>0.87117288346007404</v>
      </c>
      <c r="G208" s="171" t="s">
        <v>332</v>
      </c>
      <c r="H208" s="132">
        <v>7.18</v>
      </c>
      <c r="I208" s="171" t="s">
        <v>332</v>
      </c>
      <c r="J208" s="132">
        <v>7.28</v>
      </c>
      <c r="K208" s="91">
        <v>15180</v>
      </c>
      <c r="L208" s="92">
        <v>5.3499999999999999E-2</v>
      </c>
      <c r="M208" s="92">
        <v>0.60709999999999997</v>
      </c>
      <c r="N208" s="171" t="s">
        <v>332</v>
      </c>
      <c r="O208" s="106">
        <v>16999668422.290001</v>
      </c>
      <c r="P208" s="112">
        <f>(O208/$O$209)</f>
        <v>0.86906167389544708</v>
      </c>
      <c r="Q208" s="171" t="s">
        <v>332</v>
      </c>
      <c r="R208" s="132">
        <v>7.18</v>
      </c>
      <c r="S208" s="171" t="s">
        <v>332</v>
      </c>
      <c r="T208" s="132">
        <v>7.28</v>
      </c>
      <c r="U208" s="91">
        <v>15180</v>
      </c>
      <c r="V208" s="92">
        <v>5.3499999999999999E-2</v>
      </c>
      <c r="W208" s="92">
        <v>0.60709999999999997</v>
      </c>
      <c r="X208" s="185">
        <f>((O208-E208)/E208)</f>
        <v>0</v>
      </c>
      <c r="Y208" s="185">
        <f t="shared" si="167"/>
        <v>0</v>
      </c>
      <c r="Z208" s="185">
        <f t="shared" si="167"/>
        <v>0</v>
      </c>
      <c r="AA208" s="185">
        <f t="shared" si="168"/>
        <v>0</v>
      </c>
      <c r="AB208" s="186">
        <f t="shared" si="168"/>
        <v>0</v>
      </c>
    </row>
    <row r="209" spans="1:30">
      <c r="B209" s="98"/>
      <c r="C209" s="122" t="s">
        <v>52</v>
      </c>
      <c r="D209" s="122"/>
      <c r="E209" s="128">
        <f>SUM(E206:E208)</f>
        <v>19513541737.860001</v>
      </c>
      <c r="F209" s="101">
        <f>(E209/$E$238)</f>
        <v>2.2032554272838523E-3</v>
      </c>
      <c r="G209" s="189"/>
      <c r="H209" s="102"/>
      <c r="I209" s="102"/>
      <c r="J209" s="129"/>
      <c r="K209" s="104">
        <f>SUM(K206:K208)</f>
        <v>16547</v>
      </c>
      <c r="L209" s="130"/>
      <c r="M209" s="130"/>
      <c r="N209" s="171" t="s">
        <v>332</v>
      </c>
      <c r="O209" s="128">
        <f>SUM(O206:O208)</f>
        <v>19560945940.800003</v>
      </c>
      <c r="P209" s="101">
        <f>(O209/$O$238)</f>
        <v>2.2066896539011736E-3</v>
      </c>
      <c r="Q209" s="171" t="s">
        <v>332</v>
      </c>
      <c r="R209" s="102"/>
      <c r="S209" s="171" t="s">
        <v>332</v>
      </c>
      <c r="T209" s="129"/>
      <c r="U209" s="104">
        <f>SUM(U206:U208)</f>
        <v>16765</v>
      </c>
      <c r="V209" s="130"/>
      <c r="W209" s="130"/>
      <c r="X209" s="185">
        <f>((O209-E209)/E209)</f>
        <v>2.4292977449618604E-3</v>
      </c>
      <c r="Y209" s="185" t="e">
        <f t="shared" si="167"/>
        <v>#DIV/0!</v>
      </c>
      <c r="Z209" s="185">
        <f t="shared" si="167"/>
        <v>1.3174593581918172E-2</v>
      </c>
      <c r="AA209" s="185">
        <f t="shared" si="168"/>
        <v>0</v>
      </c>
      <c r="AB209" s="186">
        <f t="shared" si="168"/>
        <v>0</v>
      </c>
    </row>
    <row r="210" spans="1:30" ht="6" customHeight="1">
      <c r="B210" s="214"/>
      <c r="C210" s="214"/>
      <c r="D210" s="214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4"/>
    </row>
    <row r="211" spans="1:30" ht="15" customHeight="1">
      <c r="A211" s="193"/>
      <c r="B211" s="215" t="s">
        <v>341</v>
      </c>
      <c r="C211" s="215"/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</row>
    <row r="212" spans="1:30">
      <c r="A212" s="208"/>
      <c r="B212" s="225" t="s">
        <v>340</v>
      </c>
      <c r="C212" s="225"/>
      <c r="D212" s="225"/>
      <c r="E212" s="225"/>
      <c r="F212" s="225"/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5"/>
    </row>
    <row r="213" spans="1:30">
      <c r="A213" s="195">
        <v>183</v>
      </c>
      <c r="B213" s="83" t="s">
        <v>238</v>
      </c>
      <c r="C213" s="84" t="s">
        <v>239</v>
      </c>
      <c r="D213" s="171" t="s">
        <v>332</v>
      </c>
      <c r="E213" s="108">
        <v>16721261244.440001</v>
      </c>
      <c r="F213" s="90">
        <f>(E213/$E$237)</f>
        <v>0.12484658780483313</v>
      </c>
      <c r="G213" s="171" t="s">
        <v>332</v>
      </c>
      <c r="H213" s="133">
        <v>4.25</v>
      </c>
      <c r="I213" s="171" t="s">
        <v>332</v>
      </c>
      <c r="J213" s="133">
        <v>4.32</v>
      </c>
      <c r="K213" s="109">
        <v>16241</v>
      </c>
      <c r="L213" s="110">
        <v>6.8599999999999994E-2</v>
      </c>
      <c r="M213" s="110">
        <v>0.43940000000000001</v>
      </c>
      <c r="N213" s="171" t="s">
        <v>332</v>
      </c>
      <c r="O213" s="108">
        <v>17482432256.41</v>
      </c>
      <c r="P213" s="90">
        <f>(O213/$O$237)</f>
        <v>0.12796430081121993</v>
      </c>
      <c r="Q213" s="171" t="s">
        <v>332</v>
      </c>
      <c r="R213" s="133">
        <v>4.1900000000000004</v>
      </c>
      <c r="S213" s="171" t="s">
        <v>332</v>
      </c>
      <c r="T213" s="133">
        <v>4.2699999999999996</v>
      </c>
      <c r="U213" s="109">
        <v>16445</v>
      </c>
      <c r="V213" s="110">
        <v>-1.23E-2</v>
      </c>
      <c r="W213" s="110">
        <v>0.42159999999999997</v>
      </c>
      <c r="X213" s="187">
        <f>((O213-E213)/E213)</f>
        <v>4.5521148246104752E-2</v>
      </c>
      <c r="Y213" s="187">
        <f>((T213-J213)/J213)</f>
        <v>-1.1574074074074238E-2</v>
      </c>
      <c r="Z213" s="187">
        <f>((U213-K213)/K213)</f>
        <v>1.2560802906224987E-2</v>
      </c>
      <c r="AA213" s="187">
        <f>V213-L213</f>
        <v>-8.09E-2</v>
      </c>
      <c r="AB213" s="188">
        <f>W213-M213</f>
        <v>-1.7800000000000038E-2</v>
      </c>
    </row>
    <row r="214" spans="1:30">
      <c r="A214" s="195">
        <v>184</v>
      </c>
      <c r="B214" s="83" t="s">
        <v>240</v>
      </c>
      <c r="C214" s="84" t="s">
        <v>46</v>
      </c>
      <c r="D214" s="171" t="s">
        <v>332</v>
      </c>
      <c r="E214" s="108">
        <v>33994011307.759998</v>
      </c>
      <c r="F214" s="90">
        <f>(E214/$E$237)</f>
        <v>0.25381077752038211</v>
      </c>
      <c r="G214" s="171" t="s">
        <v>332</v>
      </c>
      <c r="H214" s="133">
        <v>1559.87</v>
      </c>
      <c r="I214" s="171" t="s">
        <v>332</v>
      </c>
      <c r="J214" s="133">
        <v>1579.32</v>
      </c>
      <c r="K214" s="109">
        <v>7003</v>
      </c>
      <c r="L214" s="110">
        <v>8.8999999999999996E-2</v>
      </c>
      <c r="M214" s="110">
        <v>0.66100000000000003</v>
      </c>
      <c r="N214" s="171" t="s">
        <v>332</v>
      </c>
      <c r="O214" s="108">
        <v>33994011307.759998</v>
      </c>
      <c r="P214" s="90">
        <f>(O214/$O$237)</f>
        <v>0.24882235062980218</v>
      </c>
      <c r="Q214" s="171" t="s">
        <v>332</v>
      </c>
      <c r="R214" s="133">
        <v>1559.87</v>
      </c>
      <c r="S214" s="171" t="s">
        <v>332</v>
      </c>
      <c r="T214" s="133">
        <v>1579.32</v>
      </c>
      <c r="U214" s="109">
        <v>7003</v>
      </c>
      <c r="V214" s="110">
        <v>8.8999999999999996E-2</v>
      </c>
      <c r="W214" s="110">
        <v>0.66100000000000003</v>
      </c>
      <c r="X214" s="187">
        <f>((O214-E214)/E214)</f>
        <v>0</v>
      </c>
      <c r="Y214" s="187">
        <f>((T214-J214)/J214)</f>
        <v>0</v>
      </c>
      <c r="Z214" s="187">
        <f>((U214-K214)/K214)</f>
        <v>0</v>
      </c>
      <c r="AA214" s="187">
        <f>V214-L214</f>
        <v>0</v>
      </c>
      <c r="AB214" s="188">
        <f>W214-M214</f>
        <v>0</v>
      </c>
    </row>
    <row r="215" spans="1:30" ht="6" customHeight="1"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  <c r="R215" s="214"/>
      <c r="S215" s="214"/>
      <c r="T215" s="214"/>
      <c r="U215" s="214"/>
      <c r="V215" s="214"/>
      <c r="W215" s="214"/>
      <c r="X215" s="214"/>
      <c r="Y215" s="214"/>
      <c r="Z215" s="214"/>
      <c r="AA215" s="214"/>
      <c r="AB215" s="214"/>
    </row>
    <row r="216" spans="1:30" ht="15" customHeight="1">
      <c r="A216" s="208"/>
      <c r="B216" s="225" t="s">
        <v>338</v>
      </c>
      <c r="C216" s="225"/>
      <c r="D216" s="225"/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</row>
    <row r="217" spans="1:30">
      <c r="A217" s="195">
        <v>185</v>
      </c>
      <c r="B217" s="83" t="s">
        <v>241</v>
      </c>
      <c r="C217" s="84" t="s">
        <v>23</v>
      </c>
      <c r="D217" s="171" t="s">
        <v>332</v>
      </c>
      <c r="E217" s="95">
        <v>1492755880.0999999</v>
      </c>
      <c r="F217" s="90">
        <f>(E217/$E$237)</f>
        <v>1.1145419913707414E-2</v>
      </c>
      <c r="G217" s="171" t="s">
        <v>332</v>
      </c>
      <c r="H217" s="132">
        <v>1.1768000000000001</v>
      </c>
      <c r="I217" s="171" t="s">
        <v>332</v>
      </c>
      <c r="J217" s="132">
        <v>1.1768000000000001</v>
      </c>
      <c r="K217" s="91">
        <v>905</v>
      </c>
      <c r="L217" s="92">
        <v>0.1555</v>
      </c>
      <c r="M217" s="92">
        <v>0.1119</v>
      </c>
      <c r="N217" s="171" t="s">
        <v>332</v>
      </c>
      <c r="O217" s="95">
        <v>1464443459.1900001</v>
      </c>
      <c r="P217" s="90">
        <f t="shared" ref="P217:P230" si="169">(O217/$O$237)</f>
        <v>1.0719131101686553E-2</v>
      </c>
      <c r="Q217" s="171" t="s">
        <v>332</v>
      </c>
      <c r="R217" s="132">
        <v>1.18</v>
      </c>
      <c r="S217" s="171" t="s">
        <v>332</v>
      </c>
      <c r="T217" s="132">
        <v>1.18</v>
      </c>
      <c r="U217" s="91">
        <v>901</v>
      </c>
      <c r="V217" s="92">
        <v>0.14180000000000001</v>
      </c>
      <c r="W217" s="92">
        <v>0.1138</v>
      </c>
      <c r="X217" s="185">
        <f>((O217-E217)/E217)</f>
        <v>-1.8966544555231089E-2</v>
      </c>
      <c r="Y217" s="185">
        <f>((T217-J217)/J217)</f>
        <v>2.7192386131881965E-3</v>
      </c>
      <c r="Z217" s="185">
        <f>((U217-K217)/K217)</f>
        <v>-4.4198895027624313E-3</v>
      </c>
      <c r="AA217" s="185">
        <f>V217-L217</f>
        <v>-1.369999999999999E-2</v>
      </c>
      <c r="AB217" s="186">
        <f>W217-M217</f>
        <v>1.8999999999999989E-3</v>
      </c>
      <c r="AD217" s="30"/>
    </row>
    <row r="218" spans="1:30">
      <c r="A218" s="195">
        <v>186</v>
      </c>
      <c r="B218" s="83" t="s">
        <v>242</v>
      </c>
      <c r="C218" s="84" t="s">
        <v>243</v>
      </c>
      <c r="D218" s="171" t="s">
        <v>332</v>
      </c>
      <c r="E218" s="95">
        <v>373574114.08999997</v>
      </c>
      <c r="F218" s="90">
        <f>(E218/$E$237)</f>
        <v>2.7892305941848764E-3</v>
      </c>
      <c r="G218" s="171" t="s">
        <v>332</v>
      </c>
      <c r="H218" s="132">
        <v>1141.32</v>
      </c>
      <c r="I218" s="171" t="s">
        <v>332</v>
      </c>
      <c r="J218" s="132">
        <v>1141.32</v>
      </c>
      <c r="K218" s="91">
        <v>19</v>
      </c>
      <c r="L218" s="92">
        <v>2.5999999999999999E-3</v>
      </c>
      <c r="M218" s="92">
        <v>3.9800000000000002E-2</v>
      </c>
      <c r="N218" s="171" t="s">
        <v>332</v>
      </c>
      <c r="O218" s="201">
        <v>374374092.31</v>
      </c>
      <c r="P218" s="90">
        <f t="shared" si="169"/>
        <v>2.7402662433723521E-3</v>
      </c>
      <c r="Q218" s="171" t="s">
        <v>332</v>
      </c>
      <c r="R218" s="132">
        <v>1143.76</v>
      </c>
      <c r="S218" s="171" t="s">
        <v>332</v>
      </c>
      <c r="T218" s="132">
        <v>1143.76</v>
      </c>
      <c r="U218" s="91">
        <v>19</v>
      </c>
      <c r="V218" s="92">
        <v>2.5000000000000001E-3</v>
      </c>
      <c r="W218" s="92">
        <v>4.2299999999999997E-2</v>
      </c>
      <c r="X218" s="185">
        <f>((O218-E218)/E218)</f>
        <v>2.1414176995339165E-3</v>
      </c>
      <c r="Y218" s="185">
        <f>((T218-J218)/J218)</f>
        <v>2.1378754424701703E-3</v>
      </c>
      <c r="Z218" s="185">
        <f>((U218-K218)/K218)</f>
        <v>0</v>
      </c>
      <c r="AA218" s="185">
        <f>V218-L218</f>
        <v>-9.9999999999999829E-5</v>
      </c>
      <c r="AB218" s="186">
        <f>W218-M218</f>
        <v>2.4999999999999953E-3</v>
      </c>
      <c r="AD218" s="30"/>
    </row>
    <row r="219" spans="1:30">
      <c r="A219" s="195">
        <v>187</v>
      </c>
      <c r="B219" s="83" t="s">
        <v>244</v>
      </c>
      <c r="C219" s="84" t="s">
        <v>69</v>
      </c>
      <c r="D219" s="171" t="s">
        <v>332</v>
      </c>
      <c r="E219" s="95">
        <v>355554330.18000001</v>
      </c>
      <c r="F219" s="90">
        <f>(E219/$E$237)</f>
        <v>2.6546887972918949E-3</v>
      </c>
      <c r="G219" s="171" t="s">
        <v>332</v>
      </c>
      <c r="H219" s="132">
        <v>128.44</v>
      </c>
      <c r="I219" s="171" t="s">
        <v>332</v>
      </c>
      <c r="J219" s="132">
        <v>128.44</v>
      </c>
      <c r="K219" s="91">
        <v>82</v>
      </c>
      <c r="L219" s="92">
        <v>2.0999999999999999E-3</v>
      </c>
      <c r="M219" s="92">
        <v>0.15770000000000001</v>
      </c>
      <c r="N219" s="171" t="s">
        <v>332</v>
      </c>
      <c r="O219" s="95">
        <v>355767397.51999998</v>
      </c>
      <c r="P219" s="90">
        <f t="shared" si="169"/>
        <v>2.6040727976155624E-3</v>
      </c>
      <c r="Q219" s="171" t="s">
        <v>332</v>
      </c>
      <c r="R219" s="132">
        <v>128.52000000000001</v>
      </c>
      <c r="S219" s="171" t="s">
        <v>332</v>
      </c>
      <c r="T219" s="132">
        <v>128.52000000000001</v>
      </c>
      <c r="U219" s="91">
        <v>83</v>
      </c>
      <c r="V219" s="92">
        <v>5.9999999999999995E-4</v>
      </c>
      <c r="W219" s="92">
        <v>0.15770000000000001</v>
      </c>
      <c r="X219" s="185">
        <f t="shared" ref="X219:X238" si="170">((O219-E219)/E219)</f>
        <v>5.9925395900004388E-4</v>
      </c>
      <c r="Y219" s="185">
        <f t="shared" ref="Y219:Y237" si="171">((T219-J219)/J219)</f>
        <v>6.2285892245416156E-4</v>
      </c>
      <c r="Z219" s="185">
        <f t="shared" ref="Z219:Z237" si="172">((U219-K219)/K219)</f>
        <v>1.2195121951219513E-2</v>
      </c>
      <c r="AA219" s="185">
        <f t="shared" ref="AA219:AA237" si="173">V219-L219</f>
        <v>-1.5E-3</v>
      </c>
      <c r="AB219" s="186">
        <f t="shared" ref="AB219:AB237" si="174">W219-M219</f>
        <v>0</v>
      </c>
    </row>
    <row r="220" spans="1:30">
      <c r="A220" s="195">
        <v>188</v>
      </c>
      <c r="B220" s="199" t="s">
        <v>245</v>
      </c>
      <c r="C220" s="84" t="s">
        <v>246</v>
      </c>
      <c r="D220" s="171" t="s">
        <v>332</v>
      </c>
      <c r="E220" s="95">
        <v>53812935.210794203</v>
      </c>
      <c r="F220" s="90">
        <v>0</v>
      </c>
      <c r="G220" s="171" t="s">
        <v>332</v>
      </c>
      <c r="H220" s="132">
        <v>105.229582371817</v>
      </c>
      <c r="I220" s="171" t="s">
        <v>332</v>
      </c>
      <c r="J220" s="132">
        <v>105.27208204125699</v>
      </c>
      <c r="K220" s="91">
        <v>14</v>
      </c>
      <c r="L220" s="92">
        <v>-4.0000000000000002E-4</v>
      </c>
      <c r="M220" s="92">
        <v>5.2299999999999999E-2</v>
      </c>
      <c r="N220" s="171" t="s">
        <v>332</v>
      </c>
      <c r="O220" s="95">
        <v>53974889.868766837</v>
      </c>
      <c r="P220" s="90">
        <f t="shared" si="169"/>
        <v>3.9507426324428746E-4</v>
      </c>
      <c r="Q220" s="171" t="s">
        <v>332</v>
      </c>
      <c r="R220" s="132">
        <v>105.54627985272737</v>
      </c>
      <c r="S220" s="171" t="s">
        <v>332</v>
      </c>
      <c r="T220" s="132">
        <v>105.54627985272737</v>
      </c>
      <c r="U220" s="91">
        <v>14</v>
      </c>
      <c r="V220" s="92">
        <v>2.8E-3</v>
      </c>
      <c r="W220" s="92">
        <v>5.5500000000000001E-2</v>
      </c>
      <c r="X220" s="185">
        <f t="shared" si="170"/>
        <v>3.0095860286793604E-3</v>
      </c>
      <c r="Y220" s="185">
        <f t="shared" si="171"/>
        <v>2.6046583876142234E-3</v>
      </c>
      <c r="Z220" s="185">
        <f t="shared" si="172"/>
        <v>0</v>
      </c>
      <c r="AA220" s="185">
        <f t="shared" si="173"/>
        <v>3.2000000000000002E-3</v>
      </c>
      <c r="AB220" s="186">
        <f t="shared" si="174"/>
        <v>3.2000000000000015E-3</v>
      </c>
    </row>
    <row r="221" spans="1:30">
      <c r="A221" s="195">
        <v>189</v>
      </c>
      <c r="B221" s="199" t="s">
        <v>247</v>
      </c>
      <c r="C221" s="84" t="s">
        <v>75</v>
      </c>
      <c r="D221" s="171" t="s">
        <v>332</v>
      </c>
      <c r="E221" s="106">
        <v>85207373.329999998</v>
      </c>
      <c r="F221" s="90">
        <f>(E221/$E$237)</f>
        <v>6.3618704717027493E-4</v>
      </c>
      <c r="G221" s="171" t="s">
        <v>332</v>
      </c>
      <c r="H221" s="132">
        <v>114.38</v>
      </c>
      <c r="I221" s="171" t="s">
        <v>332</v>
      </c>
      <c r="J221" s="132">
        <v>114.38</v>
      </c>
      <c r="K221" s="91">
        <v>20</v>
      </c>
      <c r="L221" s="92">
        <v>3.6299999999999999E-2</v>
      </c>
      <c r="M221" s="92">
        <v>0.15909999999999999</v>
      </c>
      <c r="N221" s="171" t="s">
        <v>332</v>
      </c>
      <c r="O221" s="106">
        <v>85334147.849999994</v>
      </c>
      <c r="P221" s="90">
        <f t="shared" si="169"/>
        <v>6.2461129005334816E-4</v>
      </c>
      <c r="Q221" s="171" t="s">
        <v>332</v>
      </c>
      <c r="R221" s="132">
        <v>113.25</v>
      </c>
      <c r="S221" s="171" t="s">
        <v>332</v>
      </c>
      <c r="T221" s="132">
        <v>113.25</v>
      </c>
      <c r="U221" s="91">
        <v>20</v>
      </c>
      <c r="V221" s="92">
        <v>-1.1900000000000001E-2</v>
      </c>
      <c r="W221" s="92">
        <v>0.1472</v>
      </c>
      <c r="X221" s="185">
        <f t="shared" si="170"/>
        <v>1.4878350903860193E-3</v>
      </c>
      <c r="Y221" s="185">
        <f t="shared" si="171"/>
        <v>-9.8793495366322395E-3</v>
      </c>
      <c r="Z221" s="185">
        <f t="shared" si="172"/>
        <v>0</v>
      </c>
      <c r="AA221" s="185">
        <f t="shared" si="173"/>
        <v>-4.82E-2</v>
      </c>
      <c r="AB221" s="186">
        <f t="shared" si="174"/>
        <v>-1.1899999999999994E-2</v>
      </c>
    </row>
    <row r="222" spans="1:30">
      <c r="A222" s="195">
        <v>190</v>
      </c>
      <c r="B222" s="83" t="s">
        <v>248</v>
      </c>
      <c r="C222" s="84" t="s">
        <v>78</v>
      </c>
      <c r="D222" s="171" t="s">
        <v>332</v>
      </c>
      <c r="E222" s="106">
        <v>332236210.81999999</v>
      </c>
      <c r="F222" s="90">
        <v>0</v>
      </c>
      <c r="G222" s="171" t="s">
        <v>332</v>
      </c>
      <c r="H222" s="132">
        <v>1.22</v>
      </c>
      <c r="I222" s="171" t="s">
        <v>332</v>
      </c>
      <c r="J222" s="132">
        <v>1.22</v>
      </c>
      <c r="K222" s="91">
        <v>59</v>
      </c>
      <c r="L222" s="92">
        <v>0</v>
      </c>
      <c r="M222" s="92">
        <v>0.16930000000000001</v>
      </c>
      <c r="N222" s="171" t="s">
        <v>332</v>
      </c>
      <c r="O222" s="106">
        <v>332236210.81999999</v>
      </c>
      <c r="P222" s="90">
        <f t="shared" si="169"/>
        <v>2.4318340719531352E-3</v>
      </c>
      <c r="Q222" s="171" t="s">
        <v>332</v>
      </c>
      <c r="R222" s="132">
        <v>1.22034</v>
      </c>
      <c r="S222" s="171" t="s">
        <v>332</v>
      </c>
      <c r="T222" s="132">
        <v>1.22034</v>
      </c>
      <c r="U222" s="91">
        <v>58</v>
      </c>
      <c r="V222" s="92">
        <v>0</v>
      </c>
      <c r="W222" s="92">
        <v>0.1658</v>
      </c>
      <c r="X222" s="185">
        <f t="shared" ref="X222:X223" si="175">((O222-E222)/E222)</f>
        <v>0</v>
      </c>
      <c r="Y222" s="185">
        <f t="shared" ref="Y222:Y223" si="176">((T222-J222)/J222)</f>
        <v>2.7868852459016967E-4</v>
      </c>
      <c r="Z222" s="185">
        <f t="shared" ref="Z222" si="177">((U222-K222)/K222)</f>
        <v>-1.6949152542372881E-2</v>
      </c>
      <c r="AA222" s="185">
        <f t="shared" ref="AA222" si="178">V222-L222</f>
        <v>0</v>
      </c>
      <c r="AB222" s="186">
        <f t="shared" ref="AB222" si="179">W222-M222</f>
        <v>-3.5000000000000031E-3</v>
      </c>
    </row>
    <row r="223" spans="1:30">
      <c r="A223" s="195">
        <v>191</v>
      </c>
      <c r="B223" s="83" t="s">
        <v>328</v>
      </c>
      <c r="C223" s="84" t="s">
        <v>79</v>
      </c>
      <c r="D223" s="171" t="s">
        <v>332</v>
      </c>
      <c r="E223" s="95">
        <v>5684684412.5799999</v>
      </c>
      <c r="F223" s="90">
        <f t="shared" ref="F223:F230" si="180">(E223/$E$237)</f>
        <v>4.2443775100632589E-2</v>
      </c>
      <c r="G223" s="171" t="s">
        <v>332</v>
      </c>
      <c r="H223" s="132">
        <v>148.69999999999999</v>
      </c>
      <c r="I223" s="171" t="s">
        <v>332</v>
      </c>
      <c r="J223" s="132">
        <v>148.69999999999999</v>
      </c>
      <c r="K223" s="91">
        <v>807</v>
      </c>
      <c r="L223" s="92">
        <v>2.2000000000000001E-3</v>
      </c>
      <c r="M223" s="92">
        <v>4.4999999999999998E-2</v>
      </c>
      <c r="N223" s="171" t="s">
        <v>332</v>
      </c>
      <c r="O223" s="95">
        <v>5435609063.2700005</v>
      </c>
      <c r="P223" s="90">
        <f t="shared" si="169"/>
        <v>3.978644979501892E-2</v>
      </c>
      <c r="Q223" s="171" t="s">
        <v>332</v>
      </c>
      <c r="R223" s="132">
        <v>149.16</v>
      </c>
      <c r="S223" s="171" t="s">
        <v>332</v>
      </c>
      <c r="T223" s="132">
        <v>149.16</v>
      </c>
      <c r="U223" s="91">
        <v>809</v>
      </c>
      <c r="V223" s="92">
        <v>2.7000000000000001E-3</v>
      </c>
      <c r="W223" s="92">
        <v>4.8300000000000003E-2</v>
      </c>
      <c r="X223" s="185">
        <f t="shared" si="175"/>
        <v>-4.3815158631991036E-2</v>
      </c>
      <c r="Y223" s="185">
        <f t="shared" si="176"/>
        <v>3.0934767989240618E-3</v>
      </c>
      <c r="Z223" s="185">
        <f t="shared" si="172"/>
        <v>2.4783147459727386E-3</v>
      </c>
      <c r="AA223" s="185">
        <f t="shared" si="173"/>
        <v>5.0000000000000001E-4</v>
      </c>
      <c r="AB223" s="186">
        <f t="shared" si="174"/>
        <v>3.3000000000000043E-3</v>
      </c>
    </row>
    <row r="224" spans="1:30">
      <c r="A224" s="195">
        <v>192</v>
      </c>
      <c r="B224" s="83" t="s">
        <v>249</v>
      </c>
      <c r="C224" s="84" t="s">
        <v>67</v>
      </c>
      <c r="D224" s="171" t="s">
        <v>332</v>
      </c>
      <c r="E224" s="95">
        <v>1006203685.60886</v>
      </c>
      <c r="F224" s="90">
        <f t="shared" si="180"/>
        <v>7.5126567875783657E-3</v>
      </c>
      <c r="G224" s="171" t="s">
        <v>332</v>
      </c>
      <c r="H224" s="94">
        <v>1377.4037973310401</v>
      </c>
      <c r="I224" s="171" t="s">
        <v>332</v>
      </c>
      <c r="J224" s="94">
        <v>1377.4037973310401</v>
      </c>
      <c r="K224" s="91">
        <v>351</v>
      </c>
      <c r="L224" s="92">
        <v>0.13669999999999999</v>
      </c>
      <c r="M224" s="92">
        <v>0.1196</v>
      </c>
      <c r="N224" s="171" t="s">
        <v>332</v>
      </c>
      <c r="O224" s="95">
        <v>969247985.29892099</v>
      </c>
      <c r="P224" s="90">
        <f t="shared" si="169"/>
        <v>7.0945014362051514E-3</v>
      </c>
      <c r="Q224" s="171" t="s">
        <v>332</v>
      </c>
      <c r="R224" s="94">
        <v>1380.9781386985001</v>
      </c>
      <c r="S224" s="171" t="s">
        <v>332</v>
      </c>
      <c r="T224" s="94">
        <v>1380.9781386985001</v>
      </c>
      <c r="U224" s="91">
        <v>364</v>
      </c>
      <c r="V224" s="92">
        <v>7.1886181197260396E-2</v>
      </c>
      <c r="W224" s="92">
        <v>7.00388905244827E-2</v>
      </c>
      <c r="X224" s="185">
        <f t="shared" si="170"/>
        <v>-3.6727852261420516E-2</v>
      </c>
      <c r="Y224" s="185">
        <f t="shared" si="171"/>
        <v>2.5949844006426252E-3</v>
      </c>
      <c r="Z224" s="185">
        <f t="shared" si="172"/>
        <v>3.7037037037037035E-2</v>
      </c>
      <c r="AA224" s="185">
        <f t="shared" si="173"/>
        <v>-6.4813818802739592E-2</v>
      </c>
      <c r="AB224" s="186">
        <f t="shared" si="174"/>
        <v>-4.9561109475517298E-2</v>
      </c>
    </row>
    <row r="225" spans="1:32">
      <c r="A225" s="195">
        <v>193</v>
      </c>
      <c r="B225" s="83" t="s">
        <v>250</v>
      </c>
      <c r="C225" s="84" t="s">
        <v>239</v>
      </c>
      <c r="D225" s="171" t="s">
        <v>332</v>
      </c>
      <c r="E225" s="95">
        <v>45315738812.57</v>
      </c>
      <c r="F225" s="90">
        <f t="shared" si="180"/>
        <v>0.33834262152238004</v>
      </c>
      <c r="G225" s="171" t="s">
        <v>332</v>
      </c>
      <c r="H225" s="94">
        <v>1286.26</v>
      </c>
      <c r="I225" s="171" t="s">
        <v>332</v>
      </c>
      <c r="J225" s="94">
        <v>1286.26</v>
      </c>
      <c r="K225" s="91">
        <v>13004</v>
      </c>
      <c r="L225" s="92">
        <v>2.5999999999999999E-3</v>
      </c>
      <c r="M225" s="92">
        <v>5.0599999999999999E-2</v>
      </c>
      <c r="N225" s="171" t="s">
        <v>332</v>
      </c>
      <c r="O225" s="95">
        <v>45271892433.839996</v>
      </c>
      <c r="P225" s="90">
        <f t="shared" si="169"/>
        <v>0.33137185814479558</v>
      </c>
      <c r="Q225" s="171" t="s">
        <v>332</v>
      </c>
      <c r="R225" s="94">
        <v>1290.3699999999999</v>
      </c>
      <c r="S225" s="171" t="s">
        <v>332</v>
      </c>
      <c r="T225" s="94">
        <v>1290.3699999999999</v>
      </c>
      <c r="U225" s="91">
        <v>13094</v>
      </c>
      <c r="V225" s="92">
        <v>3.2000000000000002E-3</v>
      </c>
      <c r="W225" s="92">
        <v>5.3800000000000001E-2</v>
      </c>
      <c r="X225" s="185">
        <f t="shared" si="170"/>
        <v>-9.6757506065069251E-4</v>
      </c>
      <c r="Y225" s="185">
        <f t="shared" si="171"/>
        <v>3.1953104349042184E-3</v>
      </c>
      <c r="Z225" s="185">
        <f t="shared" si="172"/>
        <v>6.9209474007997538E-3</v>
      </c>
      <c r="AA225" s="185">
        <f t="shared" si="173"/>
        <v>6.0000000000000027E-4</v>
      </c>
      <c r="AB225" s="186">
        <f t="shared" si="174"/>
        <v>3.2000000000000015E-3</v>
      </c>
    </row>
    <row r="226" spans="1:32">
      <c r="A226" s="195">
        <v>194</v>
      </c>
      <c r="B226" s="83" t="s">
        <v>251</v>
      </c>
      <c r="C226" s="84" t="s">
        <v>252</v>
      </c>
      <c r="D226" s="171" t="s">
        <v>332</v>
      </c>
      <c r="E226" s="95">
        <v>547980625.65999997</v>
      </c>
      <c r="F226" s="90">
        <f t="shared" si="180"/>
        <v>4.0914085544567881E-3</v>
      </c>
      <c r="G226" s="171" t="s">
        <v>332</v>
      </c>
      <c r="H226" s="133">
        <v>139.05000000000001</v>
      </c>
      <c r="I226" s="171" t="s">
        <v>332</v>
      </c>
      <c r="J226" s="133">
        <v>139.05000000000001</v>
      </c>
      <c r="K226" s="109">
        <v>139</v>
      </c>
      <c r="L226" s="92">
        <v>1.01E-2</v>
      </c>
      <c r="M226" s="92">
        <v>0.14399999999999999</v>
      </c>
      <c r="N226" s="171" t="s">
        <v>332</v>
      </c>
      <c r="O226" s="95">
        <v>569191222.22000003</v>
      </c>
      <c r="P226" s="90">
        <f t="shared" si="169"/>
        <v>4.1662484779576578E-3</v>
      </c>
      <c r="Q226" s="171" t="s">
        <v>332</v>
      </c>
      <c r="R226" s="133">
        <v>140.57</v>
      </c>
      <c r="S226" s="171" t="s">
        <v>332</v>
      </c>
      <c r="T226" s="133">
        <v>141.05000000000001</v>
      </c>
      <c r="U226" s="109">
        <v>140</v>
      </c>
      <c r="V226" s="92">
        <v>1.0699999999999999E-2</v>
      </c>
      <c r="W226" s="92">
        <v>0.15629999999999999</v>
      </c>
      <c r="X226" s="185">
        <f>((O226-E226)/E226)</f>
        <v>3.8706836641265466E-2</v>
      </c>
      <c r="Y226" s="185">
        <f t="shared" si="171"/>
        <v>1.4383315354189139E-2</v>
      </c>
      <c r="Z226" s="185">
        <f t="shared" si="172"/>
        <v>7.1942446043165471E-3</v>
      </c>
      <c r="AA226" s="185">
        <f t="shared" si="173"/>
        <v>5.9999999999999984E-4</v>
      </c>
      <c r="AB226" s="186">
        <f t="shared" si="174"/>
        <v>1.2300000000000005E-2</v>
      </c>
    </row>
    <row r="227" spans="1:32">
      <c r="A227" s="195">
        <v>195</v>
      </c>
      <c r="B227" s="83" t="s">
        <v>253</v>
      </c>
      <c r="C227" s="84" t="s">
        <v>252</v>
      </c>
      <c r="D227" s="171" t="s">
        <v>332</v>
      </c>
      <c r="E227" s="95">
        <v>939390310.10000002</v>
      </c>
      <c r="F227" s="90">
        <f t="shared" si="180"/>
        <v>7.0138055448362678E-3</v>
      </c>
      <c r="G227" s="171" t="s">
        <v>332</v>
      </c>
      <c r="H227" s="133">
        <v>144.21</v>
      </c>
      <c r="I227" s="171" t="s">
        <v>332</v>
      </c>
      <c r="J227" s="133">
        <v>144.21</v>
      </c>
      <c r="K227" s="109">
        <v>130</v>
      </c>
      <c r="L227" s="92">
        <v>4.5999999999999999E-3</v>
      </c>
      <c r="M227" s="92">
        <v>6.3299999999999995E-2</v>
      </c>
      <c r="N227" s="171" t="s">
        <v>332</v>
      </c>
      <c r="O227" s="95">
        <v>947492258.78999996</v>
      </c>
      <c r="P227" s="90">
        <f t="shared" si="169"/>
        <v>6.9352583577522971E-3</v>
      </c>
      <c r="Q227" s="171" t="s">
        <v>332</v>
      </c>
      <c r="R227" s="133">
        <v>145.21</v>
      </c>
      <c r="S227" s="171" t="s">
        <v>332</v>
      </c>
      <c r="T227" s="133">
        <v>145.21</v>
      </c>
      <c r="U227" s="109">
        <v>132</v>
      </c>
      <c r="V227" s="92">
        <v>5.8999999999999999E-3</v>
      </c>
      <c r="W227" s="92">
        <v>7.0699999999999999E-2</v>
      </c>
      <c r="X227" s="185">
        <f t="shared" si="170"/>
        <v>8.6246883780794689E-3</v>
      </c>
      <c r="Y227" s="185">
        <f t="shared" si="171"/>
        <v>6.9343318771236387E-3</v>
      </c>
      <c r="Z227" s="185">
        <f t="shared" si="172"/>
        <v>1.5384615384615385E-2</v>
      </c>
      <c r="AA227" s="185">
        <f t="shared" si="173"/>
        <v>1.2999999999999999E-3</v>
      </c>
      <c r="AB227" s="186">
        <f t="shared" si="174"/>
        <v>7.4000000000000038E-3</v>
      </c>
    </row>
    <row r="228" spans="1:32" ht="13.5" customHeight="1">
      <c r="A228" s="195">
        <v>196</v>
      </c>
      <c r="B228" s="83" t="s">
        <v>254</v>
      </c>
      <c r="C228" s="84" t="s">
        <v>98</v>
      </c>
      <c r="D228" s="171" t="s">
        <v>332</v>
      </c>
      <c r="E228" s="95">
        <v>3183338067</v>
      </c>
      <c r="F228" s="90">
        <f t="shared" si="180"/>
        <v>2.3767877894159007E-2</v>
      </c>
      <c r="G228" s="171" t="s">
        <v>332</v>
      </c>
      <c r="H228" s="115">
        <v>106.16</v>
      </c>
      <c r="I228" s="171" t="s">
        <v>332</v>
      </c>
      <c r="J228" s="115">
        <v>106.16</v>
      </c>
      <c r="K228" s="91">
        <v>893</v>
      </c>
      <c r="L228" s="92">
        <v>5.4999999999999997E-3</v>
      </c>
      <c r="M228" s="92">
        <v>0.18279999999999999</v>
      </c>
      <c r="N228" s="171" t="s">
        <v>332</v>
      </c>
      <c r="O228" s="95">
        <v>3181309799</v>
      </c>
      <c r="P228" s="90">
        <f t="shared" si="169"/>
        <v>2.3285895127301583E-2</v>
      </c>
      <c r="Q228" s="171" t="s">
        <v>332</v>
      </c>
      <c r="R228" s="115">
        <v>106.58</v>
      </c>
      <c r="S228" s="171" t="s">
        <v>332</v>
      </c>
      <c r="T228" s="115">
        <v>106.58</v>
      </c>
      <c r="U228" s="91">
        <v>898</v>
      </c>
      <c r="V228" s="92">
        <v>3.8999999999999998E-3</v>
      </c>
      <c r="W228" s="92">
        <v>0.18279999999999999</v>
      </c>
      <c r="X228" s="185">
        <f t="shared" si="170"/>
        <v>-6.371513038549041E-4</v>
      </c>
      <c r="Y228" s="185">
        <f t="shared" si="171"/>
        <v>3.9562923888470398E-3</v>
      </c>
      <c r="Z228" s="185">
        <f t="shared" si="172"/>
        <v>5.5991041433370659E-3</v>
      </c>
      <c r="AA228" s="185">
        <f t="shared" si="173"/>
        <v>-1.5999999999999999E-3</v>
      </c>
      <c r="AB228" s="186">
        <f t="shared" si="174"/>
        <v>0</v>
      </c>
    </row>
    <row r="229" spans="1:32" ht="15.75" customHeight="1">
      <c r="A229" s="195">
        <v>197</v>
      </c>
      <c r="B229" s="83" t="s">
        <v>255</v>
      </c>
      <c r="C229" s="84" t="s">
        <v>46</v>
      </c>
      <c r="D229" s="171" t="s">
        <v>332</v>
      </c>
      <c r="E229" s="95">
        <v>2605471951.7600002</v>
      </c>
      <c r="F229" s="90">
        <f t="shared" si="180"/>
        <v>1.9453334173975382E-2</v>
      </c>
      <c r="G229" s="171" t="s">
        <v>332</v>
      </c>
      <c r="H229" s="115">
        <v>152.44</v>
      </c>
      <c r="I229" s="171" t="s">
        <v>332</v>
      </c>
      <c r="J229" s="115">
        <v>152.44</v>
      </c>
      <c r="K229" s="91">
        <v>2812</v>
      </c>
      <c r="L229" s="92">
        <v>2.9999999999999997E-4</v>
      </c>
      <c r="M229" s="92">
        <v>0.16889999999999999</v>
      </c>
      <c r="N229" s="171" t="s">
        <v>332</v>
      </c>
      <c r="O229" s="95">
        <v>2605471951.7600002</v>
      </c>
      <c r="P229" s="90">
        <f t="shared" si="169"/>
        <v>1.9070996054794832E-2</v>
      </c>
      <c r="Q229" s="171" t="s">
        <v>332</v>
      </c>
      <c r="R229" s="115">
        <v>152.44</v>
      </c>
      <c r="S229" s="171" t="s">
        <v>332</v>
      </c>
      <c r="T229" s="115">
        <v>152.44</v>
      </c>
      <c r="U229" s="91">
        <v>2812</v>
      </c>
      <c r="V229" s="92">
        <v>2.9999999999999997E-4</v>
      </c>
      <c r="W229" s="92">
        <v>0.16889999999999999</v>
      </c>
      <c r="X229" s="185">
        <f t="shared" si="170"/>
        <v>0</v>
      </c>
      <c r="Y229" s="185">
        <f t="shared" si="171"/>
        <v>0</v>
      </c>
      <c r="Z229" s="185">
        <f t="shared" si="172"/>
        <v>0</v>
      </c>
      <c r="AA229" s="185">
        <f t="shared" si="173"/>
        <v>0</v>
      </c>
      <c r="AB229" s="186">
        <f t="shared" si="174"/>
        <v>0</v>
      </c>
    </row>
    <row r="230" spans="1:32">
      <c r="A230" s="195">
        <v>198</v>
      </c>
      <c r="B230" s="83" t="s">
        <v>256</v>
      </c>
      <c r="C230" s="84" t="s">
        <v>49</v>
      </c>
      <c r="D230" s="171" t="s">
        <v>332</v>
      </c>
      <c r="E230" s="95">
        <v>4112797397.75</v>
      </c>
      <c r="F230" s="90">
        <f t="shared" si="180"/>
        <v>3.0707535390753996E-2</v>
      </c>
      <c r="G230" s="171" t="s">
        <v>332</v>
      </c>
      <c r="H230" s="115">
        <v>1.26644</v>
      </c>
      <c r="I230" s="171" t="s">
        <v>332</v>
      </c>
      <c r="J230" s="115">
        <v>1.26644</v>
      </c>
      <c r="K230" s="91">
        <v>2223</v>
      </c>
      <c r="L230" s="92">
        <v>1.9E-3</v>
      </c>
      <c r="M230" s="92">
        <v>9.2100000000000001E-2</v>
      </c>
      <c r="N230" s="171" t="s">
        <v>332</v>
      </c>
      <c r="O230" s="95">
        <v>4124837732.27</v>
      </c>
      <c r="P230" s="90">
        <f t="shared" si="169"/>
        <v>3.0192136232996811E-2</v>
      </c>
      <c r="Q230" s="171" t="s">
        <v>332</v>
      </c>
      <c r="R230" s="115">
        <v>1.2689600000000001</v>
      </c>
      <c r="S230" s="171" t="s">
        <v>332</v>
      </c>
      <c r="T230" s="115">
        <v>1.2689600000000001</v>
      </c>
      <c r="U230" s="91">
        <v>2233</v>
      </c>
      <c r="V230" s="92">
        <v>9.4799999999999995E-2</v>
      </c>
      <c r="W230" s="92">
        <v>9.2200000000000004E-2</v>
      </c>
      <c r="X230" s="185">
        <f t="shared" si="170"/>
        <v>2.9275292107962627E-3</v>
      </c>
      <c r="Y230" s="185">
        <f t="shared" si="171"/>
        <v>1.9898297590095681E-3</v>
      </c>
      <c r="Z230" s="185">
        <f t="shared" si="172"/>
        <v>4.49842555105713E-3</v>
      </c>
      <c r="AA230" s="185">
        <f t="shared" si="173"/>
        <v>9.2899999999999996E-2</v>
      </c>
      <c r="AB230" s="186">
        <f t="shared" si="174"/>
        <v>1.0000000000000286E-4</v>
      </c>
    </row>
    <row r="231" spans="1:32" ht="4.8" customHeight="1">
      <c r="B231" s="214"/>
      <c r="C231" s="214"/>
      <c r="D231" s="214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  <c r="AA231" s="214"/>
      <c r="AB231" s="214"/>
    </row>
    <row r="232" spans="1:32">
      <c r="A232" s="208"/>
      <c r="B232" s="225" t="s">
        <v>339</v>
      </c>
      <c r="C232" s="225"/>
      <c r="D232" s="225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</row>
    <row r="233" spans="1:32">
      <c r="A233" s="195">
        <v>199</v>
      </c>
      <c r="B233" s="83" t="s">
        <v>257</v>
      </c>
      <c r="C233" s="84" t="s">
        <v>19</v>
      </c>
      <c r="D233" s="171" t="s">
        <v>332</v>
      </c>
      <c r="E233" s="131">
        <v>556428720.67999995</v>
      </c>
      <c r="F233" s="90">
        <f>(E233/$E$209)</f>
        <v>2.85150039985013E-2</v>
      </c>
      <c r="G233" s="171" t="s">
        <v>332</v>
      </c>
      <c r="H233" s="132">
        <v>118.7752</v>
      </c>
      <c r="I233" s="171" t="s">
        <v>332</v>
      </c>
      <c r="J233" s="132">
        <v>118.7752</v>
      </c>
      <c r="K233" s="87">
        <v>110</v>
      </c>
      <c r="L233" s="88">
        <v>1.89E-2</v>
      </c>
      <c r="M233" s="88">
        <v>0.13250000000000001</v>
      </c>
      <c r="N233" s="171" t="s">
        <v>332</v>
      </c>
      <c r="O233" s="131">
        <v>552254594.30999994</v>
      </c>
      <c r="P233" s="112">
        <f>(O233/O234)</f>
        <v>3.0345259147325568E-2</v>
      </c>
      <c r="Q233" s="171" t="s">
        <v>332</v>
      </c>
      <c r="R233" s="132">
        <v>118.4542</v>
      </c>
      <c r="S233" s="171" t="s">
        <v>332</v>
      </c>
      <c r="T233" s="132">
        <v>118.4542</v>
      </c>
      <c r="U233" s="87">
        <v>110</v>
      </c>
      <c r="V233" s="88">
        <v>-2.7000000000000001E-3</v>
      </c>
      <c r="W233" s="88">
        <v>0.12939999999999999</v>
      </c>
      <c r="X233" s="185">
        <f>((O233-E233)/E233)</f>
        <v>-7.501637163694376E-3</v>
      </c>
      <c r="Y233" s="185">
        <f t="shared" ref="Y233" si="181">((T233-J233)/J233)</f>
        <v>-2.7025843778835813E-3</v>
      </c>
      <c r="Z233" s="185">
        <f t="shared" ref="Z233" si="182">((U233-K233)/K233)</f>
        <v>0</v>
      </c>
      <c r="AA233" s="185">
        <f t="shared" ref="AA233" si="183">V233-L233</f>
        <v>-2.1600000000000001E-2</v>
      </c>
      <c r="AB233" s="186">
        <f t="shared" ref="AB233" si="184">W233-M233</f>
        <v>-3.1000000000000194E-3</v>
      </c>
      <c r="AE233" s="51"/>
    </row>
    <row r="234" spans="1:32">
      <c r="A234" s="203">
        <v>200</v>
      </c>
      <c r="B234" s="83" t="s">
        <v>258</v>
      </c>
      <c r="C234" s="84" t="s">
        <v>23</v>
      </c>
      <c r="D234" s="171" t="s">
        <v>332</v>
      </c>
      <c r="E234" s="131">
        <v>15945770612.709999</v>
      </c>
      <c r="F234" s="90">
        <f>(E234/$E$209)</f>
        <v>0.81716434806768867</v>
      </c>
      <c r="G234" s="171" t="s">
        <v>332</v>
      </c>
      <c r="H234" s="132">
        <v>153.37430000000001</v>
      </c>
      <c r="I234" s="171" t="s">
        <v>332</v>
      </c>
      <c r="J234" s="132">
        <v>157.99860000000001</v>
      </c>
      <c r="K234" s="87">
        <v>6456</v>
      </c>
      <c r="L234" s="88">
        <v>0.10480187510313921</v>
      </c>
      <c r="M234" s="88">
        <v>0.48182821707287582</v>
      </c>
      <c r="N234" s="171" t="s">
        <v>332</v>
      </c>
      <c r="O234" s="131">
        <v>18199040305.73</v>
      </c>
      <c r="P234" s="112">
        <f>(O234/$O$209)</f>
        <v>0.93037628961341001</v>
      </c>
      <c r="Q234" s="171" t="s">
        <v>332</v>
      </c>
      <c r="R234" s="132">
        <v>151.38069999999999</v>
      </c>
      <c r="S234" s="171" t="s">
        <v>332</v>
      </c>
      <c r="T234" s="132">
        <v>155.94489999999999</v>
      </c>
      <c r="U234" s="87">
        <v>6820</v>
      </c>
      <c r="V234" s="88">
        <v>-0.67779999999999996</v>
      </c>
      <c r="W234" s="88">
        <v>0.45372265849311272</v>
      </c>
      <c r="X234" s="185">
        <f>((O234-E234)/E234)</f>
        <v>0.14130829721230106</v>
      </c>
      <c r="Y234" s="185">
        <f t="shared" ref="Y234" si="185">((T234-J234)/J234)</f>
        <v>-1.2998216439892634E-2</v>
      </c>
      <c r="Z234" s="185">
        <f t="shared" ref="Z234" si="186">((U234-K234)/K234)</f>
        <v>5.6381660470879801E-2</v>
      </c>
      <c r="AA234" s="185">
        <f t="shared" ref="AA234" si="187">V234-L234</f>
        <v>-0.78260187510313917</v>
      </c>
      <c r="AB234" s="186">
        <f t="shared" ref="AB234" si="188">W234-M234</f>
        <v>-2.8105558579763101E-2</v>
      </c>
      <c r="AD234" s="40"/>
      <c r="AE234" s="40"/>
      <c r="AF234" s="51"/>
    </row>
    <row r="235" spans="1:32">
      <c r="A235" s="195">
        <v>201</v>
      </c>
      <c r="B235" s="83" t="s">
        <v>259</v>
      </c>
      <c r="C235" s="84" t="s">
        <v>239</v>
      </c>
      <c r="D235" s="171" t="s">
        <v>332</v>
      </c>
      <c r="E235" s="95">
        <v>429862754.29000002</v>
      </c>
      <c r="F235" s="90">
        <f t="shared" ref="F235" si="189">(E235/$E$237)</f>
        <v>3.2095006060226896E-3</v>
      </c>
      <c r="G235" s="171" t="s">
        <v>332</v>
      </c>
      <c r="H235" s="94">
        <v>1771.26</v>
      </c>
      <c r="I235" s="171" t="s">
        <v>332</v>
      </c>
      <c r="J235" s="94">
        <v>1771.26</v>
      </c>
      <c r="K235" s="91">
        <v>146</v>
      </c>
      <c r="L235" s="92">
        <v>8.1199999999999994E-2</v>
      </c>
      <c r="M235" s="92">
        <v>0.41920000000000002</v>
      </c>
      <c r="N235" s="171" t="s">
        <v>332</v>
      </c>
      <c r="O235" s="95">
        <v>418162389.48000002</v>
      </c>
      <c r="P235" s="90">
        <f t="shared" ref="P235" si="190">(O235/$O$237)</f>
        <v>3.0607787869870134E-3</v>
      </c>
      <c r="Q235" s="171" t="s">
        <v>332</v>
      </c>
      <c r="R235" s="94">
        <v>1720.74</v>
      </c>
      <c r="S235" s="171" t="s">
        <v>332</v>
      </c>
      <c r="T235" s="94">
        <v>1720.74</v>
      </c>
      <c r="U235" s="91">
        <v>172</v>
      </c>
      <c r="V235" s="92">
        <v>-2.6800000000000001E-2</v>
      </c>
      <c r="W235" s="92">
        <v>0.38109999999999999</v>
      </c>
      <c r="X235" s="185">
        <f t="shared" ref="X235" si="191">((O235-E235)/E235)</f>
        <v>-2.7218838322769733E-2</v>
      </c>
      <c r="Y235" s="185">
        <f t="shared" ref="Y235" si="192">((T235-J235)/J235)</f>
        <v>-2.8522069035601765E-2</v>
      </c>
      <c r="Z235" s="185">
        <f t="shared" ref="Z235" si="193">((U235-K235)/K235)</f>
        <v>0.17808219178082191</v>
      </c>
      <c r="AA235" s="185">
        <f t="shared" ref="AA235" si="194">V235-L235</f>
        <v>-0.108</v>
      </c>
      <c r="AB235" s="186">
        <f t="shared" ref="AB235" si="195">W235-M235</f>
        <v>-3.8100000000000023E-2</v>
      </c>
    </row>
    <row r="236" spans="1:32">
      <c r="A236" s="195">
        <v>202</v>
      </c>
      <c r="B236" s="83" t="s">
        <v>260</v>
      </c>
      <c r="C236" s="84" t="s">
        <v>261</v>
      </c>
      <c r="D236" s="171" t="s">
        <v>332</v>
      </c>
      <c r="E236" s="95">
        <v>198386654.09999999</v>
      </c>
      <c r="F236" s="90">
        <f t="shared" ref="F236" si="196">(E236/$E$237)</f>
        <v>1.4812218090688761E-3</v>
      </c>
      <c r="G236" s="171" t="s">
        <v>332</v>
      </c>
      <c r="H236" s="94">
        <v>127.29</v>
      </c>
      <c r="I236" s="171" t="s">
        <v>332</v>
      </c>
      <c r="J236" s="94">
        <v>129.91</v>
      </c>
      <c r="K236" s="91">
        <v>310</v>
      </c>
      <c r="L236" s="92">
        <v>1.4800000000000001E-2</v>
      </c>
      <c r="M236" s="92">
        <v>0.16500000000000001</v>
      </c>
      <c r="N236" s="171" t="s">
        <v>332</v>
      </c>
      <c r="O236" s="95">
        <v>202521701.41999999</v>
      </c>
      <c r="P236" s="90">
        <f t="shared" ref="P236" si="197">(O236/$O$237)</f>
        <v>1.4823765675858354E-3</v>
      </c>
      <c r="Q236" s="171" t="s">
        <v>332</v>
      </c>
      <c r="R236" s="94">
        <v>129.02000000000001</v>
      </c>
      <c r="S236" s="171" t="s">
        <v>332</v>
      </c>
      <c r="T236" s="94">
        <v>131.68</v>
      </c>
      <c r="U236" s="91">
        <v>313</v>
      </c>
      <c r="V236" s="92">
        <v>1.3599999999999999E-2</v>
      </c>
      <c r="W236" s="92">
        <v>0.17649999999999999</v>
      </c>
      <c r="X236" s="185">
        <f t="shared" ref="X236" si="198">((O236-E236)/E236)</f>
        <v>2.0843374463665562E-2</v>
      </c>
      <c r="Y236" s="185">
        <f t="shared" ref="Y236" si="199">((T236-J236)/J236)</f>
        <v>1.3624817181125473E-2</v>
      </c>
      <c r="Z236" s="185">
        <f t="shared" ref="Z236" si="200">((U236-K236)/K236)</f>
        <v>9.6774193548387101E-3</v>
      </c>
      <c r="AA236" s="185">
        <f t="shared" ref="AA236" si="201">V236-L236</f>
        <v>-1.2000000000000014E-3</v>
      </c>
      <c r="AB236" s="186">
        <f t="shared" ref="AB236" si="202">W236-M236</f>
        <v>1.1499999999999982E-2</v>
      </c>
    </row>
    <row r="237" spans="1:32">
      <c r="B237" s="98"/>
      <c r="C237" s="122" t="s">
        <v>52</v>
      </c>
      <c r="D237" s="170" t="s">
        <v>332</v>
      </c>
      <c r="E237" s="113">
        <f>SUM(E213:E236)</f>
        <v>133934467400.73964</v>
      </c>
      <c r="F237" s="101">
        <f>(E237/$E$238)</f>
        <v>1.5122413253587749E-2</v>
      </c>
      <c r="G237" s="189" t="s">
        <v>332</v>
      </c>
      <c r="H237" s="102"/>
      <c r="I237" s="189" t="s">
        <v>332</v>
      </c>
      <c r="J237" s="126"/>
      <c r="K237" s="134">
        <f>SUM(K213:K236)</f>
        <v>51724</v>
      </c>
      <c r="L237" s="127"/>
      <c r="M237" s="127"/>
      <c r="N237" s="171" t="s">
        <v>332</v>
      </c>
      <c r="O237" s="113">
        <f>SUM(O213:O236)</f>
        <v>136619605199.11766</v>
      </c>
      <c r="P237" s="101">
        <f>(O237/$O$238)</f>
        <v>1.5412192755164178E-2</v>
      </c>
      <c r="Q237" s="171" t="s">
        <v>332</v>
      </c>
      <c r="R237" s="102"/>
      <c r="S237" s="171" t="s">
        <v>332</v>
      </c>
      <c r="T237" s="126"/>
      <c r="U237" s="104">
        <f>SUM(U213:U236)</f>
        <v>52440</v>
      </c>
      <c r="V237" s="127"/>
      <c r="W237" s="127"/>
      <c r="X237" s="185">
        <f t="shared" si="170"/>
        <v>2.0048146309821314E-2</v>
      </c>
      <c r="Y237" s="185" t="e">
        <f t="shared" si="171"/>
        <v>#DIV/0!</v>
      </c>
      <c r="Z237" s="185">
        <f t="shared" si="172"/>
        <v>1.3842703580542881E-2</v>
      </c>
      <c r="AA237" s="185">
        <f t="shared" si="173"/>
        <v>0</v>
      </c>
      <c r="AB237" s="186">
        <f t="shared" si="174"/>
        <v>0</v>
      </c>
    </row>
    <row r="238" spans="1:32">
      <c r="A238" s="209"/>
      <c r="B238" s="135"/>
      <c r="C238" s="136" t="s">
        <v>262</v>
      </c>
      <c r="D238" s="136"/>
      <c r="E238" s="137">
        <f>SUM(E26,E76,E117,E161,E170,E203,E209,E237)</f>
        <v>8856686109207.0781</v>
      </c>
      <c r="F238" s="138"/>
      <c r="G238" s="138"/>
      <c r="H238" s="138"/>
      <c r="I238" s="138"/>
      <c r="J238" s="139"/>
      <c r="K238" s="137">
        <f>SUM(K26,K76,K117,K161,K170,K203,K209,K237)</f>
        <v>1327054</v>
      </c>
      <c r="L238" s="140"/>
      <c r="M238" s="140"/>
      <c r="N238" s="140"/>
      <c r="O238" s="137">
        <f>SUM(O26,O76,O117,O161,O170,O203,O209,O237)</f>
        <v>8864384670594.0273</v>
      </c>
      <c r="P238" s="138"/>
      <c r="Q238" s="138"/>
      <c r="R238" s="138"/>
      <c r="S238" s="138"/>
      <c r="T238" s="139"/>
      <c r="U238" s="137">
        <f>SUM(U26,U76,U117,U161,U170,U203,U209,U237)</f>
        <v>1341019</v>
      </c>
      <c r="V238" s="141"/>
      <c r="W238" s="137"/>
      <c r="X238" s="142">
        <f t="shared" si="170"/>
        <v>8.6923723975563312E-4</v>
      </c>
      <c r="Y238" s="142"/>
      <c r="Z238" s="142"/>
      <c r="AA238" s="142"/>
      <c r="AB238" s="142"/>
    </row>
    <row r="239" spans="1:32" ht="6.75" customHeight="1">
      <c r="B239" s="214"/>
      <c r="C239" s="214"/>
      <c r="D239" s="214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  <c r="P239" s="214"/>
      <c r="Q239" s="214"/>
      <c r="R239" s="214"/>
      <c r="S239" s="214"/>
      <c r="T239" s="214"/>
      <c r="U239" s="214"/>
      <c r="V239" s="214"/>
      <c r="W239" s="214"/>
      <c r="X239" s="214"/>
      <c r="Y239" s="214"/>
      <c r="Z239" s="214"/>
      <c r="AA239" s="214"/>
      <c r="AB239" s="98"/>
    </row>
    <row r="240" spans="1:32" ht="14.4" customHeight="1">
      <c r="A240" s="193"/>
      <c r="B240" s="215" t="s">
        <v>263</v>
      </c>
      <c r="C240" s="215"/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</row>
    <row r="241" spans="1:33" ht="14.4" customHeight="1">
      <c r="A241" s="195">
        <v>1</v>
      </c>
      <c r="B241" s="83" t="s">
        <v>264</v>
      </c>
      <c r="C241" s="84" t="s">
        <v>23</v>
      </c>
      <c r="D241" s="174">
        <v>0</v>
      </c>
      <c r="E241" s="95">
        <f>1736173.24*FX_RATE</f>
        <v>2387139416.7426438</v>
      </c>
      <c r="F241" s="90">
        <f t="shared" ref="F241:F244" si="203">(E241/$E$237)</f>
        <v>1.7823189676785627E-2</v>
      </c>
      <c r="G241" s="174">
        <v>0</v>
      </c>
      <c r="H241" s="94">
        <v>1449.05253309</v>
      </c>
      <c r="I241" s="94">
        <v>0</v>
      </c>
      <c r="J241" s="94">
        <v>1449.05253309</v>
      </c>
      <c r="K241" s="91">
        <v>58</v>
      </c>
      <c r="L241" s="92">
        <v>3.4700000000000002E-2</v>
      </c>
      <c r="M241" s="92">
        <v>5.0299999999999997E-2</v>
      </c>
      <c r="N241" s="174">
        <v>1764689.49</v>
      </c>
      <c r="O241" s="95">
        <f>1764689.49*1360.4524</f>
        <v>2400776051.9252758</v>
      </c>
      <c r="P241" s="90">
        <f t="shared" ref="P241:P246" si="204">(O241/$O$247)</f>
        <v>7.4983135267916626E-2</v>
      </c>
      <c r="Q241" s="174">
        <v>1.0556000000000001</v>
      </c>
      <c r="R241" s="94">
        <f>1.0556*1360.4524</f>
        <v>1436.0935534400001</v>
      </c>
      <c r="S241" s="174">
        <v>1.0556000000000001</v>
      </c>
      <c r="T241" s="94">
        <f>1.0556*1360.4524</f>
        <v>1436.0935534400001</v>
      </c>
      <c r="U241" s="91">
        <v>58</v>
      </c>
      <c r="V241" s="92">
        <v>8.4099999999999994E-2</v>
      </c>
      <c r="W241" s="92">
        <v>5.2299999999999999E-2</v>
      </c>
      <c r="X241" s="185">
        <f t="shared" ref="X241" si="205">((O241-E241)/E241)</f>
        <v>5.7125424208527183E-3</v>
      </c>
      <c r="Y241" s="185">
        <f t="shared" ref="Y241" si="206">((T241-J241)/J241)</f>
        <v>-8.9430709750500607E-3</v>
      </c>
      <c r="Z241" s="185">
        <f t="shared" ref="Z241" si="207">((U241-K241)/K241)</f>
        <v>0</v>
      </c>
      <c r="AA241" s="185">
        <f t="shared" ref="AA241" si="208">V241-L241</f>
        <v>4.9399999999999993E-2</v>
      </c>
      <c r="AB241" s="186">
        <f t="shared" ref="AB241" si="209">W241-M241</f>
        <v>2.0000000000000018E-3</v>
      </c>
    </row>
    <row r="242" spans="1:33" ht="14.4" customHeight="1">
      <c r="A242" s="203">
        <v>2</v>
      </c>
      <c r="B242" s="83" t="s">
        <v>265</v>
      </c>
      <c r="C242" s="84" t="s">
        <v>198</v>
      </c>
      <c r="D242" s="172" t="s">
        <v>332</v>
      </c>
      <c r="E242" s="95">
        <v>15612138455.34</v>
      </c>
      <c r="F242" s="90">
        <f t="shared" ref="F242" si="210">(E242/$E$237)</f>
        <v>0.11656550220659469</v>
      </c>
      <c r="G242" s="172" t="s">
        <v>332</v>
      </c>
      <c r="H242" s="94">
        <v>123.2</v>
      </c>
      <c r="I242" s="94" t="s">
        <v>332</v>
      </c>
      <c r="J242" s="94">
        <v>123.2</v>
      </c>
      <c r="K242" s="91">
        <v>11</v>
      </c>
      <c r="L242" s="92">
        <v>5.1999999999999998E-3</v>
      </c>
      <c r="M242" s="92">
        <v>2.7953999999999999</v>
      </c>
      <c r="N242" s="172" t="s">
        <v>332</v>
      </c>
      <c r="O242" s="95">
        <v>15657680446.360001</v>
      </c>
      <c r="P242" s="90">
        <f t="shared" si="204"/>
        <v>0.48903435618232655</v>
      </c>
      <c r="Q242" s="172" t="s">
        <v>332</v>
      </c>
      <c r="R242" s="94">
        <v>123.2</v>
      </c>
      <c r="S242" s="172" t="s">
        <v>332</v>
      </c>
      <c r="T242" s="94">
        <v>123.2</v>
      </c>
      <c r="U242" s="91">
        <v>11</v>
      </c>
      <c r="V242" s="92">
        <v>1.2999999999999999E-3</v>
      </c>
      <c r="W242" s="92">
        <v>2.8065000000000002</v>
      </c>
      <c r="X242" s="185">
        <f t="shared" ref="X242" si="211">((O242-E242)/E242)</f>
        <v>2.9170885942548892E-3</v>
      </c>
      <c r="Y242" s="185">
        <f t="shared" ref="Y242" si="212">((T242-J242)/J242)</f>
        <v>0</v>
      </c>
      <c r="Z242" s="185">
        <f t="shared" ref="Z242" si="213">((U242-K242)/K242)</f>
        <v>0</v>
      </c>
      <c r="AA242" s="185">
        <f t="shared" ref="AA242" si="214">V242-L242</f>
        <v>-3.8999999999999998E-3</v>
      </c>
      <c r="AB242" s="186">
        <f t="shared" ref="AB242" si="215">W242-M242</f>
        <v>1.1100000000000332E-2</v>
      </c>
      <c r="AD242" s="49"/>
      <c r="AE242" s="33"/>
      <c r="AG242" s="49"/>
    </row>
    <row r="243" spans="1:33" ht="14.4" customHeight="1">
      <c r="A243" s="195">
        <v>3</v>
      </c>
      <c r="B243" s="83" t="s">
        <v>329</v>
      </c>
      <c r="C243" s="84" t="s">
        <v>79</v>
      </c>
      <c r="D243" s="174">
        <v>917352.09</v>
      </c>
      <c r="E243" s="95">
        <f>917352.09*1378</f>
        <v>1264111180.02</v>
      </c>
      <c r="F243" s="90">
        <f>(E243/$E$237)</f>
        <v>9.43828130691487E-3</v>
      </c>
      <c r="G243" s="174">
        <v>112.5</v>
      </c>
      <c r="H243" s="94">
        <v>155025</v>
      </c>
      <c r="I243" s="94">
        <v>112.5</v>
      </c>
      <c r="J243" s="94">
        <v>155025</v>
      </c>
      <c r="K243" s="91">
        <v>18</v>
      </c>
      <c r="L243" s="92">
        <v>-4.0000000000000002E-4</v>
      </c>
      <c r="M243" s="92">
        <v>6.4000000000000003E-3</v>
      </c>
      <c r="N243" s="174">
        <v>921986.52</v>
      </c>
      <c r="O243" s="95">
        <v>1253625075.8099999</v>
      </c>
      <c r="P243" s="90">
        <f t="shared" si="204"/>
        <v>3.9154313689246691E-2</v>
      </c>
      <c r="Q243" s="94">
        <v>113.07</v>
      </c>
      <c r="R243" s="94">
        <f>113.07*1359.7</f>
        <v>153741.27900000001</v>
      </c>
      <c r="S243" s="94">
        <v>113.07</v>
      </c>
      <c r="T243" s="94">
        <f>113.07*1359.7</f>
        <v>153741.27900000001</v>
      </c>
      <c r="U243" s="91">
        <v>18</v>
      </c>
      <c r="V243" s="92">
        <v>5.0000000000000001E-3</v>
      </c>
      <c r="W243" s="92">
        <v>1.15E-2</v>
      </c>
      <c r="X243" s="185">
        <f t="shared" ref="X243:X244" si="216">((O243-E243)/E243)</f>
        <v>-8.2952388806767242E-3</v>
      </c>
      <c r="Y243" s="185">
        <f t="shared" ref="Y243:Y244" si="217">((T243-J243)/J243)</f>
        <v>-8.280735365263605E-3</v>
      </c>
      <c r="Z243" s="185">
        <f t="shared" ref="Z243:Z244" si="218">((U243-K243)/K243)</f>
        <v>0</v>
      </c>
      <c r="AA243" s="185">
        <f t="shared" ref="AA243:AA244" si="219">V243-L243</f>
        <v>5.4000000000000003E-3</v>
      </c>
      <c r="AB243" s="186">
        <f t="shared" ref="AB243:AB244" si="220">W243-M243</f>
        <v>5.0999999999999995E-3</v>
      </c>
      <c r="AD243" s="40"/>
    </row>
    <row r="244" spans="1:33" ht="14.4" customHeight="1">
      <c r="A244" s="195">
        <v>4</v>
      </c>
      <c r="B244" s="83" t="s">
        <v>266</v>
      </c>
      <c r="C244" s="84" t="s">
        <v>38</v>
      </c>
      <c r="D244" s="172" t="s">
        <v>332</v>
      </c>
      <c r="E244" s="95">
        <v>11730822625.459999</v>
      </c>
      <c r="F244" s="90">
        <f t="shared" si="203"/>
        <v>8.758628643634131E-2</v>
      </c>
      <c r="G244" s="172" t="s">
        <v>332</v>
      </c>
      <c r="H244" s="94">
        <v>1.39</v>
      </c>
      <c r="I244" s="94" t="s">
        <v>332</v>
      </c>
      <c r="J244" s="94">
        <v>1.39</v>
      </c>
      <c r="K244" s="91">
        <v>16</v>
      </c>
      <c r="L244" s="92">
        <v>-4.02E-2</v>
      </c>
      <c r="M244" s="92">
        <v>0.2482</v>
      </c>
      <c r="N244" s="172" t="s">
        <v>332</v>
      </c>
      <c r="O244" s="95">
        <v>11749640578.799999</v>
      </c>
      <c r="P244" s="90">
        <f t="shared" si="204"/>
        <v>0.36697504049285828</v>
      </c>
      <c r="Q244" s="172" t="s">
        <v>332</v>
      </c>
      <c r="R244" s="94">
        <v>1.46</v>
      </c>
      <c r="S244" s="172" t="s">
        <v>332</v>
      </c>
      <c r="T244" s="94">
        <v>1.46</v>
      </c>
      <c r="U244" s="91">
        <v>16</v>
      </c>
      <c r="V244" s="92">
        <v>8.0000000000000002E-3</v>
      </c>
      <c r="W244" s="92">
        <v>0.38969999999999999</v>
      </c>
      <c r="X244" s="185">
        <f t="shared" si="216"/>
        <v>1.6041460979180262E-3</v>
      </c>
      <c r="Y244" s="185">
        <f t="shared" si="217"/>
        <v>5.0359712230215875E-2</v>
      </c>
      <c r="Z244" s="185">
        <f t="shared" si="218"/>
        <v>0</v>
      </c>
      <c r="AA244" s="185">
        <f t="shared" si="219"/>
        <v>4.82E-2</v>
      </c>
      <c r="AB244" s="186">
        <f t="shared" si="220"/>
        <v>0.14149999999999999</v>
      </c>
    </row>
    <row r="245" spans="1:33" ht="14.4" customHeight="1">
      <c r="A245" s="195">
        <v>5</v>
      </c>
      <c r="B245" s="83" t="s">
        <v>267</v>
      </c>
      <c r="C245" s="84" t="s">
        <v>49</v>
      </c>
      <c r="D245" s="172" t="s">
        <v>332</v>
      </c>
      <c r="E245" s="95">
        <v>368782246.13</v>
      </c>
      <c r="F245" s="90">
        <f t="shared" ref="F245" si="221">(E245/$E$237)</f>
        <v>2.7534528884680764E-3</v>
      </c>
      <c r="G245" s="172" t="s">
        <v>332</v>
      </c>
      <c r="H245" s="94">
        <v>1.52986</v>
      </c>
      <c r="I245" s="94" t="s">
        <v>332</v>
      </c>
      <c r="J245" s="94">
        <v>1.52986</v>
      </c>
      <c r="K245" s="91">
        <v>28</v>
      </c>
      <c r="L245" s="92">
        <v>1.66E-2</v>
      </c>
      <c r="M245" s="92">
        <v>0.37190000000000001</v>
      </c>
      <c r="N245" s="172" t="s">
        <v>332</v>
      </c>
      <c r="O245" s="95">
        <v>379182012.44</v>
      </c>
      <c r="P245" s="90">
        <f t="shared" si="204"/>
        <v>1.1842943912718736E-2</v>
      </c>
      <c r="Q245" s="172" t="s">
        <v>332</v>
      </c>
      <c r="R245" s="94">
        <v>1.51861</v>
      </c>
      <c r="S245" s="172" t="s">
        <v>332</v>
      </c>
      <c r="T245" s="94">
        <v>1.51861</v>
      </c>
      <c r="U245" s="91">
        <v>28</v>
      </c>
      <c r="V245" s="92">
        <v>-0.32369999999999999</v>
      </c>
      <c r="W245" s="92">
        <v>0.3619</v>
      </c>
      <c r="X245" s="185">
        <f t="shared" ref="X245:X247" si="222">((O245-E245)/E245)</f>
        <v>2.8200290060422174E-2</v>
      </c>
      <c r="Y245" s="185">
        <f t="shared" ref="Y245" si="223">((T245-J245)/J245)</f>
        <v>-7.3536140561881362E-3</v>
      </c>
      <c r="Z245" s="185">
        <f t="shared" ref="Z245" si="224">((U245-K245)/K245)</f>
        <v>0</v>
      </c>
      <c r="AA245" s="185">
        <f t="shared" ref="AA245" si="225">V245-L245</f>
        <v>-0.34029999999999999</v>
      </c>
      <c r="AB245" s="186">
        <f t="shared" ref="AB245" si="226">W245-M245</f>
        <v>-1.0000000000000009E-2</v>
      </c>
      <c r="AD245" s="30"/>
    </row>
    <row r="246" spans="1:33" ht="14.4" customHeight="1">
      <c r="A246" s="195">
        <v>6</v>
      </c>
      <c r="B246" s="83" t="s">
        <v>317</v>
      </c>
      <c r="C246" s="84" t="s">
        <v>115</v>
      </c>
      <c r="D246" s="172" t="s">
        <v>332</v>
      </c>
      <c r="E246" s="95">
        <f>390363.36*S140</f>
        <v>0</v>
      </c>
      <c r="F246" s="90">
        <v>0</v>
      </c>
      <c r="G246" s="172" t="s">
        <v>332</v>
      </c>
      <c r="H246" s="94">
        <v>13584.437828</v>
      </c>
      <c r="I246" s="94" t="s">
        <v>332</v>
      </c>
      <c r="J246" s="94">
        <v>13584.437828</v>
      </c>
      <c r="K246" s="91">
        <v>12</v>
      </c>
      <c r="L246" s="92">
        <v>6.7000000000000002E-3</v>
      </c>
      <c r="M246" s="92">
        <v>-1.1900000000000001E-2</v>
      </c>
      <c r="N246" s="174">
        <v>423567.56</v>
      </c>
      <c r="O246" s="95">
        <f>423567.56*C269</f>
        <v>576642758.34619999</v>
      </c>
      <c r="P246" s="90">
        <f t="shared" si="204"/>
        <v>1.8010210454933125E-2</v>
      </c>
      <c r="Q246" s="174">
        <v>9.9</v>
      </c>
      <c r="R246" s="94">
        <f>9.9*C269</f>
        <v>13477.8105</v>
      </c>
      <c r="S246" s="174">
        <v>9.9</v>
      </c>
      <c r="T246" s="94">
        <f>9.9*C269</f>
        <v>13477.8105</v>
      </c>
      <c r="U246" s="91">
        <v>12</v>
      </c>
      <c r="V246" s="92">
        <v>1.9E-3</v>
      </c>
      <c r="W246" s="92">
        <v>-0.01</v>
      </c>
      <c r="X246" s="185" t="e">
        <f t="shared" ref="X246" si="227">((O246-E246)/E246)</f>
        <v>#DIV/0!</v>
      </c>
      <c r="Y246" s="185">
        <f t="shared" ref="Y246" si="228">((T246-J246)/J246)</f>
        <v>-7.8492263978876004E-3</v>
      </c>
      <c r="Z246" s="185">
        <f t="shared" ref="Z246" si="229">((U246-K246)/K246)</f>
        <v>0</v>
      </c>
      <c r="AA246" s="185">
        <f t="shared" ref="AA246" si="230">V246-L246</f>
        <v>-4.8000000000000004E-3</v>
      </c>
      <c r="AB246" s="186">
        <f t="shared" ref="AB246" si="231">W246-M246</f>
        <v>1.9000000000000006E-3</v>
      </c>
    </row>
    <row r="247" spans="1:33" ht="14.4" customHeight="1">
      <c r="A247" s="209"/>
      <c r="B247" s="143"/>
      <c r="C247" s="143" t="s">
        <v>52</v>
      </c>
      <c r="D247" s="143"/>
      <c r="E247" s="143">
        <f>SUM(E241:E246)</f>
        <v>31362993923.692646</v>
      </c>
      <c r="F247" s="143"/>
      <c r="G247" s="143"/>
      <c r="H247" s="143"/>
      <c r="I247" s="143"/>
      <c r="J247" s="143"/>
      <c r="K247" s="143">
        <f>SUM(K241:K246)</f>
        <v>143</v>
      </c>
      <c r="L247" s="143"/>
      <c r="M247" s="143"/>
      <c r="N247" s="143"/>
      <c r="O247" s="143">
        <f>SUM(O241:O246)</f>
        <v>32017546923.681477</v>
      </c>
      <c r="P247" s="143"/>
      <c r="Q247" s="143"/>
      <c r="R247" s="143"/>
      <c r="S247" s="143"/>
      <c r="T247" s="143"/>
      <c r="U247" s="143">
        <f>SUM(U241:U246)</f>
        <v>143</v>
      </c>
      <c r="V247" s="143"/>
      <c r="W247" s="143"/>
      <c r="X247" s="142">
        <f t="shared" si="222"/>
        <v>2.0870233294097585E-2</v>
      </c>
      <c r="Y247" s="143"/>
      <c r="Z247" s="143"/>
      <c r="AA247" s="143"/>
      <c r="AB247" s="143"/>
    </row>
    <row r="248" spans="1:33" ht="6" customHeight="1">
      <c r="B248" s="144"/>
      <c r="C248" s="122"/>
      <c r="D248" s="122"/>
      <c r="E248" s="144"/>
      <c r="F248" s="144"/>
      <c r="G248" s="170"/>
      <c r="H248" s="144"/>
      <c r="I248" s="170"/>
      <c r="J248" s="144"/>
      <c r="K248" s="144"/>
      <c r="L248" s="144"/>
      <c r="M248" s="144"/>
      <c r="N248" s="170"/>
      <c r="O248" s="144"/>
      <c r="P248" s="144"/>
      <c r="Q248" s="170"/>
      <c r="R248" s="144"/>
      <c r="S248" s="170"/>
      <c r="T248" s="144"/>
      <c r="U248" s="144"/>
      <c r="V248" s="144"/>
      <c r="W248" s="144"/>
      <c r="X248" s="144"/>
      <c r="Y248" s="144"/>
      <c r="Z248" s="144"/>
      <c r="AA248" s="144"/>
      <c r="AB248" s="98"/>
    </row>
    <row r="249" spans="1:33">
      <c r="A249" s="193"/>
      <c r="B249" s="215" t="s">
        <v>347</v>
      </c>
      <c r="C249" s="215"/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5"/>
      <c r="Z249" s="215"/>
      <c r="AA249" s="215"/>
      <c r="AB249" s="215"/>
    </row>
    <row r="250" spans="1:33">
      <c r="A250" s="195">
        <v>1</v>
      </c>
      <c r="B250" s="83" t="s">
        <v>268</v>
      </c>
      <c r="C250" s="84" t="s">
        <v>269</v>
      </c>
      <c r="D250" s="172" t="s">
        <v>332</v>
      </c>
      <c r="E250" s="95">
        <v>130535438849</v>
      </c>
      <c r="F250" s="90">
        <f>(E250/$E$252)</f>
        <v>0.91021667159489039</v>
      </c>
      <c r="G250" s="172" t="s">
        <v>332</v>
      </c>
      <c r="H250" s="111" t="s">
        <v>298</v>
      </c>
      <c r="I250" s="172" t="s">
        <v>332</v>
      </c>
      <c r="J250" s="191" t="s">
        <v>298</v>
      </c>
      <c r="K250" s="91">
        <v>0</v>
      </c>
      <c r="L250" s="92" t="s">
        <v>298</v>
      </c>
      <c r="M250" s="92">
        <v>0.18440000000000001</v>
      </c>
      <c r="N250" s="172" t="s">
        <v>332</v>
      </c>
      <c r="O250" s="95">
        <v>130535438849</v>
      </c>
      <c r="P250" s="90">
        <f>(O250/$O$252)</f>
        <v>0.91012362487296361</v>
      </c>
      <c r="Q250" s="172" t="s">
        <v>332</v>
      </c>
      <c r="R250" s="111" t="s">
        <v>298</v>
      </c>
      <c r="S250" s="172" t="s">
        <v>332</v>
      </c>
      <c r="T250" s="191" t="s">
        <v>298</v>
      </c>
      <c r="U250" s="91">
        <v>0</v>
      </c>
      <c r="V250" s="92" t="s">
        <v>298</v>
      </c>
      <c r="W250" s="92">
        <v>0.18440000000000001</v>
      </c>
      <c r="X250" s="185">
        <f>((O250-E250)/E250)</f>
        <v>0</v>
      </c>
      <c r="Y250" s="185" t="e">
        <f>((T250-J250)/J250)</f>
        <v>#VALUE!</v>
      </c>
      <c r="Z250" s="185" t="e">
        <f>((U250-K250)/K250)</f>
        <v>#DIV/0!</v>
      </c>
      <c r="AA250" s="185" t="e">
        <f>V250-L250</f>
        <v>#VALUE!</v>
      </c>
      <c r="AB250" s="186">
        <f>W250-M250</f>
        <v>0</v>
      </c>
    </row>
    <row r="251" spans="1:33" ht="14.4" customHeight="1">
      <c r="A251" s="195">
        <v>2</v>
      </c>
      <c r="B251" s="83" t="s">
        <v>270</v>
      </c>
      <c r="C251" s="84" t="s">
        <v>49</v>
      </c>
      <c r="D251" s="172" t="s">
        <v>332</v>
      </c>
      <c r="E251" s="95">
        <v>12875952001.790001</v>
      </c>
      <c r="F251" s="90">
        <f>(E251/$E$252)</f>
        <v>8.9783328405109539E-2</v>
      </c>
      <c r="G251" s="172" t="s">
        <v>332</v>
      </c>
      <c r="H251" s="145">
        <v>1000000</v>
      </c>
      <c r="I251" s="172" t="s">
        <v>332</v>
      </c>
      <c r="J251" s="145">
        <v>1000000</v>
      </c>
      <c r="K251" s="91">
        <v>26</v>
      </c>
      <c r="L251" s="92">
        <v>1.8E-3</v>
      </c>
      <c r="M251" s="92">
        <v>0.17649999999999999</v>
      </c>
      <c r="N251" s="172" t="s">
        <v>332</v>
      </c>
      <c r="O251" s="95">
        <v>12890613702.07</v>
      </c>
      <c r="P251" s="90">
        <f>(O251/$O$252)</f>
        <v>8.9876375127036376E-2</v>
      </c>
      <c r="Q251" s="172" t="s">
        <v>332</v>
      </c>
      <c r="R251" s="145">
        <v>1000000</v>
      </c>
      <c r="S251" s="172" t="s">
        <v>332</v>
      </c>
      <c r="T251" s="145">
        <v>1000000</v>
      </c>
      <c r="U251" s="91">
        <v>26</v>
      </c>
      <c r="V251" s="92">
        <v>0.1704</v>
      </c>
      <c r="W251" s="92">
        <v>0.1704</v>
      </c>
      <c r="X251" s="185">
        <f>((O251-E251)/E251)</f>
        <v>1.1386886404951282E-3</v>
      </c>
      <c r="Y251" s="185">
        <f>((T251-J251)/J251)</f>
        <v>0</v>
      </c>
      <c r="Z251" s="185">
        <f>((U251-K251)/K251)</f>
        <v>0</v>
      </c>
      <c r="AA251" s="185">
        <f>V251-L251</f>
        <v>0.1686</v>
      </c>
      <c r="AB251" s="186">
        <f>W251-M251</f>
        <v>-6.0999999999999943E-3</v>
      </c>
    </row>
    <row r="252" spans="1:33" ht="15" customHeight="1">
      <c r="A252" s="209"/>
      <c r="B252" s="135"/>
      <c r="C252" s="136" t="s">
        <v>271</v>
      </c>
      <c r="D252" s="136"/>
      <c r="E252" s="143">
        <f>SUM(E250:E251)</f>
        <v>143411390850.79001</v>
      </c>
      <c r="F252" s="146"/>
      <c r="G252" s="146"/>
      <c r="H252" s="147"/>
      <c r="I252" s="147"/>
      <c r="J252" s="147"/>
      <c r="K252" s="143">
        <f>SUM(K250:K251)</f>
        <v>26</v>
      </c>
      <c r="L252" s="148"/>
      <c r="M252" s="148"/>
      <c r="N252" s="148"/>
      <c r="O252" s="143">
        <f>SUM(O250:O251)</f>
        <v>143426052551.07001</v>
      </c>
      <c r="P252" s="146"/>
      <c r="Q252" s="146"/>
      <c r="R252" s="147"/>
      <c r="S252" s="147"/>
      <c r="T252" s="147"/>
      <c r="U252" s="143">
        <f>SUM(U250:U251)</f>
        <v>26</v>
      </c>
      <c r="V252" s="148"/>
      <c r="W252" s="143"/>
      <c r="X252" s="142">
        <f>((O252-E252)/E252)</f>
        <v>1.022352561607418E-4</v>
      </c>
      <c r="Y252" s="149"/>
      <c r="Z252" s="149"/>
      <c r="AA252" s="142"/>
      <c r="AB252" s="150"/>
    </row>
    <row r="253" spans="1:33" ht="4.5" customHeight="1"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  <c r="M253" s="213"/>
      <c r="N253" s="213"/>
      <c r="O253" s="213"/>
      <c r="P253" s="213"/>
      <c r="Q253" s="213"/>
      <c r="R253" s="213"/>
      <c r="S253" s="213"/>
      <c r="T253" s="213"/>
      <c r="U253" s="213"/>
      <c r="V253" s="213"/>
      <c r="W253" s="213"/>
      <c r="X253" s="213"/>
      <c r="Y253" s="213"/>
      <c r="Z253" s="213"/>
      <c r="AA253" s="213"/>
      <c r="AB253" s="213"/>
    </row>
    <row r="254" spans="1:33">
      <c r="A254" s="193"/>
      <c r="B254" s="215" t="s">
        <v>299</v>
      </c>
      <c r="C254" s="215"/>
      <c r="D254" s="215"/>
      <c r="E254" s="215"/>
      <c r="F254" s="215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15"/>
      <c r="AA254" s="215"/>
      <c r="AB254" s="215"/>
      <c r="AD254" s="204"/>
    </row>
    <row r="255" spans="1:33">
      <c r="A255" s="203">
        <v>1</v>
      </c>
      <c r="B255" s="83" t="s">
        <v>272</v>
      </c>
      <c r="C255" s="84" t="s">
        <v>89</v>
      </c>
      <c r="D255" s="172" t="s">
        <v>332</v>
      </c>
      <c r="E255" s="151">
        <v>2249661372.5</v>
      </c>
      <c r="F255" s="152">
        <f t="shared" ref="F255:F266" si="232">(E255/$E$267)</f>
        <v>7.3444130132632415E-2</v>
      </c>
      <c r="G255" s="172" t="s">
        <v>332</v>
      </c>
      <c r="H255" s="145">
        <v>549.56846015999997</v>
      </c>
      <c r="I255" s="172" t="s">
        <v>332</v>
      </c>
      <c r="J255" s="145">
        <v>549.56846015999997</v>
      </c>
      <c r="K255" s="153">
        <v>2256</v>
      </c>
      <c r="L255" s="105">
        <v>7.7700000000000005E-2</v>
      </c>
      <c r="M255" s="105">
        <v>0.55914792374035382</v>
      </c>
      <c r="N255" s="172" t="s">
        <v>332</v>
      </c>
      <c r="O255" s="151">
        <v>2285362675.6700001</v>
      </c>
      <c r="P255" s="152">
        <f t="shared" ref="P255:P266" si="233">(O255/$O$267)</f>
        <v>7.4181253758578952E-2</v>
      </c>
      <c r="Q255" s="172" t="s">
        <v>332</v>
      </c>
      <c r="R255" s="145">
        <v>558.38023267999995</v>
      </c>
      <c r="S255" s="172" t="s">
        <v>332</v>
      </c>
      <c r="T255" s="145">
        <v>558.38023267999995</v>
      </c>
      <c r="U255" s="153">
        <v>2305</v>
      </c>
      <c r="V255" s="105">
        <v>1.6034E-2</v>
      </c>
      <c r="W255" s="105">
        <v>0.58217225626204216</v>
      </c>
      <c r="X255" s="185">
        <f>((O255-E255)/E255)</f>
        <v>1.5869634250921059E-2</v>
      </c>
      <c r="Y255" s="185">
        <f>((T255-J255)/J255)</f>
        <v>1.603398513341639E-2</v>
      </c>
      <c r="Z255" s="185">
        <f>((U255-K255)/K255)</f>
        <v>2.1719858156028369E-2</v>
      </c>
      <c r="AA255" s="185">
        <f>V255-L255</f>
        <v>-6.1666000000000006E-2</v>
      </c>
      <c r="AB255" s="186">
        <f>W255-M255</f>
        <v>2.302433252168834E-2</v>
      </c>
      <c r="AD255" s="205"/>
      <c r="AF255" s="204"/>
    </row>
    <row r="256" spans="1:33">
      <c r="A256" s="195">
        <v>2</v>
      </c>
      <c r="B256" s="83" t="s">
        <v>273</v>
      </c>
      <c r="C256" s="84" t="s">
        <v>239</v>
      </c>
      <c r="D256" s="172" t="s">
        <v>332</v>
      </c>
      <c r="E256" s="151">
        <v>3883482402.8099999</v>
      </c>
      <c r="F256" s="152">
        <f t="shared" si="232"/>
        <v>0.12678307519802767</v>
      </c>
      <c r="G256" s="172" t="s">
        <v>332</v>
      </c>
      <c r="H256" s="145">
        <v>110.46</v>
      </c>
      <c r="I256" s="172" t="s">
        <v>332</v>
      </c>
      <c r="J256" s="145">
        <v>122.09</v>
      </c>
      <c r="K256" s="153">
        <v>1805</v>
      </c>
      <c r="L256" s="105">
        <v>0.1323</v>
      </c>
      <c r="M256" s="105">
        <v>0.88380000000000003</v>
      </c>
      <c r="N256" s="172" t="s">
        <v>332</v>
      </c>
      <c r="O256" s="151">
        <v>3782311583.5100002</v>
      </c>
      <c r="P256" s="152">
        <f t="shared" si="233"/>
        <v>0.12277115503696201</v>
      </c>
      <c r="Q256" s="172" t="s">
        <v>332</v>
      </c>
      <c r="R256" s="145">
        <v>107.58</v>
      </c>
      <c r="S256" s="172" t="s">
        <v>332</v>
      </c>
      <c r="T256" s="145">
        <v>118.91</v>
      </c>
      <c r="U256" s="153">
        <v>1805</v>
      </c>
      <c r="V256" s="105">
        <v>-2.6100000000000002E-2</v>
      </c>
      <c r="W256" s="105">
        <v>0.8347</v>
      </c>
      <c r="X256" s="185">
        <f t="shared" ref="X256:X267" si="234">((O256-E256)/E256)</f>
        <v>-2.6051571452157168E-2</v>
      </c>
      <c r="Y256" s="185">
        <f t="shared" ref="Y256:Y267" si="235">((T256-J256)/J256)</f>
        <v>-2.6046359243181313E-2</v>
      </c>
      <c r="Z256" s="185">
        <f t="shared" ref="Z256:Z267" si="236">((U256-K256)/K256)</f>
        <v>0</v>
      </c>
      <c r="AA256" s="185">
        <f t="shared" ref="AA256:AA267" si="237">V256-L256</f>
        <v>-0.15840000000000001</v>
      </c>
      <c r="AB256" s="186">
        <f t="shared" ref="AB256:AB267" si="238">W256-M256</f>
        <v>-4.9100000000000033E-2</v>
      </c>
      <c r="AD256" s="206"/>
    </row>
    <row r="257" spans="1:33">
      <c r="A257" s="195">
        <v>3</v>
      </c>
      <c r="B257" s="83" t="s">
        <v>274</v>
      </c>
      <c r="C257" s="84" t="s">
        <v>40</v>
      </c>
      <c r="D257" s="172" t="s">
        <v>332</v>
      </c>
      <c r="E257" s="151">
        <v>809910776.79999995</v>
      </c>
      <c r="F257" s="152">
        <f t="shared" si="232"/>
        <v>2.6440953831650769E-2</v>
      </c>
      <c r="G257" s="172" t="s">
        <v>332</v>
      </c>
      <c r="H257" s="145">
        <v>67.48</v>
      </c>
      <c r="I257" s="172" t="s">
        <v>332</v>
      </c>
      <c r="J257" s="145">
        <v>67.739999999999995</v>
      </c>
      <c r="K257" s="153">
        <v>871</v>
      </c>
      <c r="L257" s="105">
        <v>4.4600000000000001E-2</v>
      </c>
      <c r="M257" s="105">
        <v>0.66900000000000004</v>
      </c>
      <c r="N257" s="172" t="s">
        <v>332</v>
      </c>
      <c r="O257" s="151">
        <v>820642614.45000005</v>
      </c>
      <c r="P257" s="152">
        <f t="shared" si="233"/>
        <v>2.6637478014193968E-2</v>
      </c>
      <c r="Q257" s="172" t="s">
        <v>332</v>
      </c>
      <c r="R257" s="145">
        <v>68.37</v>
      </c>
      <c r="S257" s="172" t="s">
        <v>332</v>
      </c>
      <c r="T257" s="145">
        <v>68.650000000000006</v>
      </c>
      <c r="U257" s="153">
        <v>1269</v>
      </c>
      <c r="V257" s="105">
        <v>1.3299999999999999E-2</v>
      </c>
      <c r="W257" s="105">
        <v>0.69120000000000004</v>
      </c>
      <c r="X257" s="185">
        <f t="shared" si="234"/>
        <v>1.3250641869962701E-2</v>
      </c>
      <c r="Y257" s="185">
        <f t="shared" si="235"/>
        <v>1.3433717153823603E-2</v>
      </c>
      <c r="Z257" s="185">
        <f t="shared" si="236"/>
        <v>0.45694603903559128</v>
      </c>
      <c r="AA257" s="185">
        <f t="shared" si="237"/>
        <v>-3.1300000000000001E-2</v>
      </c>
      <c r="AB257" s="186">
        <f t="shared" si="238"/>
        <v>2.2199999999999998E-2</v>
      </c>
      <c r="AD257" s="207"/>
    </row>
    <row r="258" spans="1:33">
      <c r="A258" s="195">
        <v>4</v>
      </c>
      <c r="B258" s="83" t="s">
        <v>275</v>
      </c>
      <c r="C258" s="84" t="s">
        <v>40</v>
      </c>
      <c r="D258" s="172" t="s">
        <v>332</v>
      </c>
      <c r="E258" s="151">
        <v>1512860770.1600001</v>
      </c>
      <c r="F258" s="152">
        <f t="shared" si="232"/>
        <v>4.9389985814936484E-2</v>
      </c>
      <c r="G258" s="172" t="s">
        <v>332</v>
      </c>
      <c r="H258" s="145">
        <v>128.46874299999999</v>
      </c>
      <c r="I258" s="172" t="s">
        <v>332</v>
      </c>
      <c r="J258" s="145">
        <v>128.98129599999999</v>
      </c>
      <c r="K258" s="153">
        <v>981</v>
      </c>
      <c r="L258" s="105">
        <v>-5.0700000000000002E-2</v>
      </c>
      <c r="M258" s="105">
        <v>0.54210000000000003</v>
      </c>
      <c r="N258" s="172" t="s">
        <v>332</v>
      </c>
      <c r="O258" s="151">
        <v>1524181660.25</v>
      </c>
      <c r="P258" s="152">
        <f t="shared" si="233"/>
        <v>4.9473857132995284E-2</v>
      </c>
      <c r="Q258" s="172" t="s">
        <v>332</v>
      </c>
      <c r="R258" s="145">
        <v>129.43</v>
      </c>
      <c r="S258" s="172" t="s">
        <v>332</v>
      </c>
      <c r="T258" s="145">
        <v>129.97</v>
      </c>
      <c r="U258" s="153">
        <v>1299</v>
      </c>
      <c r="V258" s="105">
        <v>7.4999999999999997E-3</v>
      </c>
      <c r="W258" s="105">
        <v>0.55369999999999997</v>
      </c>
      <c r="X258" s="185">
        <f t="shared" si="234"/>
        <v>7.4831010977980594E-3</v>
      </c>
      <c r="Y258" s="185">
        <f t="shared" si="235"/>
        <v>7.6654835287126655E-3</v>
      </c>
      <c r="Z258" s="185">
        <f t="shared" si="236"/>
        <v>0.32415902140672781</v>
      </c>
      <c r="AA258" s="185">
        <f t="shared" si="237"/>
        <v>5.8200000000000002E-2</v>
      </c>
      <c r="AB258" s="186">
        <f t="shared" si="238"/>
        <v>1.1599999999999944E-2</v>
      </c>
      <c r="AD258" s="207"/>
    </row>
    <row r="259" spans="1:33">
      <c r="A259" s="195">
        <v>5</v>
      </c>
      <c r="B259" s="83" t="s">
        <v>276</v>
      </c>
      <c r="C259" s="84" t="s">
        <v>277</v>
      </c>
      <c r="D259" s="172" t="s">
        <v>332</v>
      </c>
      <c r="E259" s="151">
        <v>1974680481.05</v>
      </c>
      <c r="F259" s="152">
        <f t="shared" si="232"/>
        <v>6.4466897993380276E-2</v>
      </c>
      <c r="G259" s="172" t="s">
        <v>332</v>
      </c>
      <c r="H259" s="145">
        <v>56600</v>
      </c>
      <c r="I259" s="172" t="s">
        <v>332</v>
      </c>
      <c r="J259" s="145">
        <v>62100</v>
      </c>
      <c r="K259" s="153">
        <v>604</v>
      </c>
      <c r="L259" s="105">
        <v>-8.0000000000000002E-3</v>
      </c>
      <c r="M259" s="105">
        <v>0</v>
      </c>
      <c r="N259" s="172" t="s">
        <v>332</v>
      </c>
      <c r="O259" s="151">
        <v>2052729720.3099999</v>
      </c>
      <c r="P259" s="152">
        <f t="shared" si="233"/>
        <v>6.6630152798592759E-2</v>
      </c>
      <c r="Q259" s="172" t="s">
        <v>332</v>
      </c>
      <c r="R259" s="145">
        <v>56950</v>
      </c>
      <c r="S259" s="172" t="s">
        <v>332</v>
      </c>
      <c r="T259" s="145">
        <v>63200</v>
      </c>
      <c r="U259" s="153">
        <v>855</v>
      </c>
      <c r="V259" s="105">
        <v>1.7000000000000001E-2</v>
      </c>
      <c r="W259" s="105">
        <v>0.02</v>
      </c>
      <c r="X259" s="185">
        <f t="shared" si="234"/>
        <v>3.9524996579952391E-2</v>
      </c>
      <c r="Y259" s="185">
        <f t="shared" si="235"/>
        <v>1.7713365539452495E-2</v>
      </c>
      <c r="Z259" s="185">
        <f t="shared" si="236"/>
        <v>0.41556291390728478</v>
      </c>
      <c r="AA259" s="185">
        <f t="shared" si="237"/>
        <v>2.5000000000000001E-2</v>
      </c>
      <c r="AB259" s="186">
        <f t="shared" si="238"/>
        <v>0.02</v>
      </c>
    </row>
    <row r="260" spans="1:33">
      <c r="A260" s="195">
        <v>6</v>
      </c>
      <c r="B260" s="83" t="s">
        <v>278</v>
      </c>
      <c r="C260" s="84" t="s">
        <v>279</v>
      </c>
      <c r="D260" s="172" t="s">
        <v>332</v>
      </c>
      <c r="E260" s="151">
        <v>1626814952.8</v>
      </c>
      <c r="F260" s="152">
        <f t="shared" si="232"/>
        <v>5.3110219411546325E-2</v>
      </c>
      <c r="G260" s="172" t="s">
        <v>332</v>
      </c>
      <c r="H260" s="145">
        <v>5888.48</v>
      </c>
      <c r="I260" s="172" t="s">
        <v>332</v>
      </c>
      <c r="J260" s="145">
        <v>5888.48</v>
      </c>
      <c r="K260" s="153">
        <v>777</v>
      </c>
      <c r="L260" s="105">
        <v>3.5999999999999997E-2</v>
      </c>
      <c r="M260" s="105">
        <v>0.62749999999999995</v>
      </c>
      <c r="N260" s="172" t="s">
        <v>332</v>
      </c>
      <c r="O260" s="151">
        <v>1620722861.5799999</v>
      </c>
      <c r="P260" s="152">
        <f t="shared" si="233"/>
        <v>5.2607516149247149E-2</v>
      </c>
      <c r="Q260" s="172" t="s">
        <v>332</v>
      </c>
      <c r="R260" s="145">
        <v>9349.99</v>
      </c>
      <c r="S260" s="172" t="s">
        <v>332</v>
      </c>
      <c r="T260" s="145">
        <v>9349.99</v>
      </c>
      <c r="U260" s="153">
        <v>1254</v>
      </c>
      <c r="V260" s="105">
        <v>-3.7731031645838399E-3</v>
      </c>
      <c r="W260" s="105">
        <v>0.62140640688748405</v>
      </c>
      <c r="X260" s="185">
        <f t="shared" si="234"/>
        <v>-3.7447966712591363E-3</v>
      </c>
      <c r="Y260" s="185">
        <f t="shared" si="235"/>
        <v>0.58784440127163551</v>
      </c>
      <c r="Z260" s="185">
        <f t="shared" si="236"/>
        <v>0.61389961389961389</v>
      </c>
      <c r="AA260" s="185">
        <f t="shared" si="237"/>
        <v>-3.9773103164583837E-2</v>
      </c>
      <c r="AB260" s="186">
        <f t="shared" si="238"/>
        <v>-6.0935931125158938E-3</v>
      </c>
    </row>
    <row r="261" spans="1:33">
      <c r="A261" s="195">
        <v>7</v>
      </c>
      <c r="B261" s="83" t="s">
        <v>280</v>
      </c>
      <c r="C261" s="84" t="s">
        <v>279</v>
      </c>
      <c r="D261" s="172" t="s">
        <v>332</v>
      </c>
      <c r="E261" s="151">
        <v>1689445726.5599999</v>
      </c>
      <c r="F261" s="152">
        <f t="shared" si="232"/>
        <v>5.5154910561319312E-2</v>
      </c>
      <c r="G261" s="172" t="s">
        <v>332</v>
      </c>
      <c r="H261" s="145">
        <v>3950</v>
      </c>
      <c r="I261" s="172" t="s">
        <v>332</v>
      </c>
      <c r="J261" s="145">
        <v>3950</v>
      </c>
      <c r="K261" s="153">
        <v>5505</v>
      </c>
      <c r="L261" s="105">
        <v>7.22E-2</v>
      </c>
      <c r="M261" s="105">
        <v>0.53490000000000004</v>
      </c>
      <c r="N261" s="172" t="s">
        <v>332</v>
      </c>
      <c r="O261" s="151">
        <v>1700527919.9000001</v>
      </c>
      <c r="P261" s="152">
        <f t="shared" si="233"/>
        <v>5.5197931817394241E-2</v>
      </c>
      <c r="Q261" s="172" t="s">
        <v>332</v>
      </c>
      <c r="R261" s="145">
        <v>4730</v>
      </c>
      <c r="S261" s="172" t="s">
        <v>332</v>
      </c>
      <c r="T261" s="145">
        <v>4730</v>
      </c>
      <c r="U261" s="153">
        <v>7373</v>
      </c>
      <c r="V261" s="105">
        <v>6.5594411274929399E-3</v>
      </c>
      <c r="W261" s="105">
        <v>0.54500009802796301</v>
      </c>
      <c r="X261" s="185">
        <f t="shared" si="234"/>
        <v>6.5596622405653662E-3</v>
      </c>
      <c r="Y261" s="185">
        <f t="shared" si="235"/>
        <v>0.19746835443037974</v>
      </c>
      <c r="Z261" s="185">
        <f t="shared" si="236"/>
        <v>0.33932788374205269</v>
      </c>
      <c r="AA261" s="185">
        <f t="shared" si="237"/>
        <v>-6.5640558872507054E-2</v>
      </c>
      <c r="AB261" s="186">
        <f t="shared" si="238"/>
        <v>1.0100098027962967E-2</v>
      </c>
    </row>
    <row r="262" spans="1:33">
      <c r="A262" s="195">
        <v>8</v>
      </c>
      <c r="B262" s="83" t="s">
        <v>281</v>
      </c>
      <c r="C262" s="84" t="s">
        <v>282</v>
      </c>
      <c r="D262" s="172" t="s">
        <v>332</v>
      </c>
      <c r="E262" s="151">
        <v>678262303.86000001</v>
      </c>
      <c r="F262" s="152">
        <f t="shared" si="232"/>
        <v>2.2143059181122561E-2</v>
      </c>
      <c r="G262" s="172" t="s">
        <v>332</v>
      </c>
      <c r="H262" s="145">
        <v>48.68</v>
      </c>
      <c r="I262" s="172" t="s">
        <v>332</v>
      </c>
      <c r="J262" s="145">
        <v>48.58</v>
      </c>
      <c r="K262" s="153">
        <v>3486</v>
      </c>
      <c r="L262" s="105">
        <v>-3.4599999999999999E-2</v>
      </c>
      <c r="M262" s="105">
        <v>0.28720000000000001</v>
      </c>
      <c r="N262" s="172" t="s">
        <v>332</v>
      </c>
      <c r="O262" s="151">
        <v>690507834.19000006</v>
      </c>
      <c r="P262" s="152">
        <f t="shared" si="233"/>
        <v>2.2413395219784176E-2</v>
      </c>
      <c r="Q262" s="172" t="s">
        <v>332</v>
      </c>
      <c r="R262" s="145">
        <v>49.36</v>
      </c>
      <c r="S262" s="172" t="s">
        <v>332</v>
      </c>
      <c r="T262" s="145">
        <v>49.46</v>
      </c>
      <c r="U262" s="153">
        <v>3851</v>
      </c>
      <c r="V262" s="105">
        <v>5.5800000000000002E-2</v>
      </c>
      <c r="W262" s="105">
        <v>0.35899999999999999</v>
      </c>
      <c r="X262" s="185">
        <f t="shared" si="234"/>
        <v>1.8054269359082116E-2</v>
      </c>
      <c r="Y262" s="185">
        <f t="shared" si="235"/>
        <v>1.8114450391107505E-2</v>
      </c>
      <c r="Z262" s="185">
        <f t="shared" si="236"/>
        <v>0.10470453241537579</v>
      </c>
      <c r="AA262" s="185">
        <f t="shared" si="237"/>
        <v>9.0400000000000008E-2</v>
      </c>
      <c r="AB262" s="186">
        <f t="shared" si="238"/>
        <v>7.1799999999999975E-2</v>
      </c>
    </row>
    <row r="263" spans="1:33">
      <c r="A263" s="195">
        <v>9</v>
      </c>
      <c r="B263" s="83" t="s">
        <v>283</v>
      </c>
      <c r="C263" s="84" t="s">
        <v>282</v>
      </c>
      <c r="D263" s="172" t="s">
        <v>332</v>
      </c>
      <c r="E263" s="154">
        <v>1963564745.04</v>
      </c>
      <c r="F263" s="152">
        <f t="shared" si="232"/>
        <v>6.410400535006161E-2</v>
      </c>
      <c r="G263" s="172" t="s">
        <v>332</v>
      </c>
      <c r="H263" s="145">
        <v>22.76</v>
      </c>
      <c r="I263" s="172" t="s">
        <v>332</v>
      </c>
      <c r="J263" s="145">
        <v>22.86</v>
      </c>
      <c r="K263" s="153">
        <v>3723</v>
      </c>
      <c r="L263" s="105">
        <v>-0.14130000000000001</v>
      </c>
      <c r="M263" s="105">
        <v>0.6</v>
      </c>
      <c r="N263" s="172" t="s">
        <v>332</v>
      </c>
      <c r="O263" s="154">
        <v>1980696343.3199999</v>
      </c>
      <c r="P263" s="152">
        <f t="shared" si="233"/>
        <v>6.4292000401833235E-2</v>
      </c>
      <c r="Q263" s="172" t="s">
        <v>332</v>
      </c>
      <c r="R263" s="145">
        <v>23.2</v>
      </c>
      <c r="S263" s="172" t="s">
        <v>332</v>
      </c>
      <c r="T263" s="145">
        <v>23.3</v>
      </c>
      <c r="U263" s="153">
        <v>4214</v>
      </c>
      <c r="V263" s="105">
        <v>0</v>
      </c>
      <c r="W263" s="105">
        <v>0.6</v>
      </c>
      <c r="X263" s="185">
        <f t="shared" si="234"/>
        <v>8.7247432626169821E-3</v>
      </c>
      <c r="Y263" s="185">
        <f t="shared" si="235"/>
        <v>1.9247594050743715E-2</v>
      </c>
      <c r="Z263" s="185">
        <f t="shared" si="236"/>
        <v>0.13188289014235832</v>
      </c>
      <c r="AA263" s="185">
        <f t="shared" si="237"/>
        <v>0.14130000000000001</v>
      </c>
      <c r="AB263" s="186">
        <f t="shared" si="238"/>
        <v>0</v>
      </c>
    </row>
    <row r="264" spans="1:33" ht="15" customHeight="1">
      <c r="A264" s="195">
        <v>10</v>
      </c>
      <c r="B264" s="83" t="s">
        <v>284</v>
      </c>
      <c r="C264" s="84" t="s">
        <v>282</v>
      </c>
      <c r="D264" s="172" t="s">
        <v>332</v>
      </c>
      <c r="E264" s="151">
        <v>395259755.64999998</v>
      </c>
      <c r="F264" s="152">
        <f t="shared" si="232"/>
        <v>1.2903946027170845E-2</v>
      </c>
      <c r="G264" s="172" t="s">
        <v>332</v>
      </c>
      <c r="H264" s="145">
        <v>146.83000000000001</v>
      </c>
      <c r="I264" s="172" t="s">
        <v>332</v>
      </c>
      <c r="J264" s="145">
        <v>148.83000000000001</v>
      </c>
      <c r="K264" s="153">
        <v>1975</v>
      </c>
      <c r="L264" s="105">
        <v>-3.3500000000000002E-2</v>
      </c>
      <c r="M264" s="105">
        <v>0.2009</v>
      </c>
      <c r="N264" s="172" t="s">
        <v>332</v>
      </c>
      <c r="O264" s="151">
        <v>396294772.10000002</v>
      </c>
      <c r="P264" s="152">
        <f t="shared" si="233"/>
        <v>1.286344761175808E-2</v>
      </c>
      <c r="Q264" s="172" t="s">
        <v>332</v>
      </c>
      <c r="R264" s="145">
        <v>147.22</v>
      </c>
      <c r="S264" s="172" t="s">
        <v>332</v>
      </c>
      <c r="T264" s="145">
        <v>149.22</v>
      </c>
      <c r="U264" s="153">
        <v>1975</v>
      </c>
      <c r="V264" s="105">
        <v>-3.85E-2</v>
      </c>
      <c r="W264" s="105">
        <v>0.1547</v>
      </c>
      <c r="X264" s="185">
        <f t="shared" si="234"/>
        <v>2.6185728124482983E-3</v>
      </c>
      <c r="Y264" s="185">
        <f t="shared" si="235"/>
        <v>2.6204394275346791E-3</v>
      </c>
      <c r="Z264" s="185">
        <f t="shared" si="236"/>
        <v>0</v>
      </c>
      <c r="AA264" s="185">
        <f t="shared" si="237"/>
        <v>-4.9999999999999975E-3</v>
      </c>
      <c r="AB264" s="186">
        <f t="shared" si="238"/>
        <v>-4.6199999999999991E-2</v>
      </c>
      <c r="AD264" s="207"/>
      <c r="AE264" s="204"/>
      <c r="AF264" s="204"/>
      <c r="AG264" s="207"/>
    </row>
    <row r="265" spans="1:33">
      <c r="A265" s="203">
        <v>11</v>
      </c>
      <c r="B265" s="83" t="s">
        <v>285</v>
      </c>
      <c r="C265" s="84" t="s">
        <v>282</v>
      </c>
      <c r="D265" s="172" t="s">
        <v>332</v>
      </c>
      <c r="E265" s="151">
        <v>13202613322.25</v>
      </c>
      <c r="F265" s="152">
        <f t="shared" si="232"/>
        <v>0.4310224030973156</v>
      </c>
      <c r="G265" s="172" t="s">
        <v>332</v>
      </c>
      <c r="H265" s="145">
        <v>88.48</v>
      </c>
      <c r="I265" s="172" t="s">
        <v>332</v>
      </c>
      <c r="J265" s="145">
        <v>88.68</v>
      </c>
      <c r="K265" s="153">
        <v>4310</v>
      </c>
      <c r="L265" s="105">
        <v>7.7700000000000005E-2</v>
      </c>
      <c r="M265" s="105">
        <v>0.79600000000000004</v>
      </c>
      <c r="N265" s="172" t="s">
        <v>332</v>
      </c>
      <c r="O265" s="151">
        <v>13277393401.799999</v>
      </c>
      <c r="P265" s="152">
        <f t="shared" si="233"/>
        <v>0.43097478561150232</v>
      </c>
      <c r="Q265" s="172" t="s">
        <v>332</v>
      </c>
      <c r="R265" s="145">
        <v>89.05</v>
      </c>
      <c r="S265" s="172" t="s">
        <v>332</v>
      </c>
      <c r="T265" s="145">
        <v>89.25</v>
      </c>
      <c r="U265" s="153">
        <v>5001</v>
      </c>
      <c r="V265" s="105">
        <v>0.1338</v>
      </c>
      <c r="W265" s="105">
        <v>0.55325443786982242</v>
      </c>
      <c r="X265" s="185">
        <f t="shared" si="234"/>
        <v>5.6640361816833965E-3</v>
      </c>
      <c r="Y265" s="185">
        <f t="shared" si="235"/>
        <v>6.4276048714478253E-3</v>
      </c>
      <c r="Z265" s="185">
        <f t="shared" si="236"/>
        <v>0.16032482598607889</v>
      </c>
      <c r="AA265" s="185">
        <f t="shared" si="237"/>
        <v>5.6099999999999997E-2</v>
      </c>
      <c r="AB265" s="186">
        <f t="shared" si="238"/>
        <v>-0.24274556213017762</v>
      </c>
      <c r="AD265" s="204"/>
      <c r="AE265" s="205"/>
      <c r="AF265" s="207"/>
      <c r="AG265" s="207"/>
    </row>
    <row r="266" spans="1:33">
      <c r="A266" s="203">
        <v>12</v>
      </c>
      <c r="B266" s="83" t="s">
        <v>286</v>
      </c>
      <c r="C266" s="84" t="s">
        <v>282</v>
      </c>
      <c r="D266" s="172" t="s">
        <v>332</v>
      </c>
      <c r="E266" s="154">
        <v>644364724.01999998</v>
      </c>
      <c r="F266" s="152">
        <f t="shared" si="232"/>
        <v>2.103641340083624E-2</v>
      </c>
      <c r="G266" s="172" t="s">
        <v>332</v>
      </c>
      <c r="H266" s="145">
        <v>112.67</v>
      </c>
      <c r="I266" s="172" t="s">
        <v>332</v>
      </c>
      <c r="J266" s="145">
        <v>112.87</v>
      </c>
      <c r="K266" s="153">
        <v>2967</v>
      </c>
      <c r="L266" s="105">
        <v>7.6899999999999996E-2</v>
      </c>
      <c r="M266" s="105">
        <v>1.0012411347517731</v>
      </c>
      <c r="N266" s="172" t="s">
        <v>332</v>
      </c>
      <c r="O266" s="154">
        <v>676448107.41999996</v>
      </c>
      <c r="P266" s="152">
        <f t="shared" si="233"/>
        <v>2.1957026447157794E-2</v>
      </c>
      <c r="Q266" s="172" t="s">
        <v>332</v>
      </c>
      <c r="R266" s="145">
        <v>118.43</v>
      </c>
      <c r="S266" s="172" t="s">
        <v>332</v>
      </c>
      <c r="T266" s="145">
        <v>118.63</v>
      </c>
      <c r="U266" s="153">
        <v>3172</v>
      </c>
      <c r="V266" s="105">
        <v>0.12139999999999999</v>
      </c>
      <c r="W266" s="105">
        <v>1.0859855811499912</v>
      </c>
      <c r="X266" s="185">
        <f t="shared" si="234"/>
        <v>4.9790719764796064E-2</v>
      </c>
      <c r="Y266" s="185">
        <f t="shared" si="235"/>
        <v>5.1032160893062735E-2</v>
      </c>
      <c r="Z266" s="185">
        <f t="shared" si="236"/>
        <v>6.9093360296595893E-2</v>
      </c>
      <c r="AA266" s="185">
        <f t="shared" si="237"/>
        <v>4.4499999999999998E-2</v>
      </c>
      <c r="AB266" s="186">
        <f t="shared" si="238"/>
        <v>8.4744446398218098E-2</v>
      </c>
      <c r="AD266" s="206"/>
      <c r="AE266" s="206"/>
      <c r="AF266" s="204"/>
      <c r="AG266" s="207"/>
    </row>
    <row r="267" spans="1:33">
      <c r="A267" s="155"/>
      <c r="B267" s="155"/>
      <c r="C267" s="156" t="s">
        <v>287</v>
      </c>
      <c r="D267" s="178"/>
      <c r="E267" s="143">
        <f>SUM(E255:E266)</f>
        <v>30630921333.499996</v>
      </c>
      <c r="F267" s="146"/>
      <c r="G267" s="146"/>
      <c r="H267" s="146"/>
      <c r="I267" s="146"/>
      <c r="J267" s="147"/>
      <c r="K267" s="143">
        <f>SUM(K255:K266)</f>
        <v>29260</v>
      </c>
      <c r="L267" s="148"/>
      <c r="M267" s="148"/>
      <c r="N267" s="148"/>
      <c r="O267" s="143">
        <f>SUM(O255:O266)</f>
        <v>30807819494.5</v>
      </c>
      <c r="P267" s="146"/>
      <c r="Q267" s="146"/>
      <c r="R267" s="146"/>
      <c r="S267" s="146"/>
      <c r="T267" s="147"/>
      <c r="U267" s="143">
        <f>SUM(U255:U266)</f>
        <v>34373</v>
      </c>
      <c r="V267" s="148"/>
      <c r="W267" s="148"/>
      <c r="X267" s="185">
        <f t="shared" si="234"/>
        <v>5.7751498583405751E-3</v>
      </c>
      <c r="Y267" s="185" t="e">
        <f t="shared" si="235"/>
        <v>#DIV/0!</v>
      </c>
      <c r="Z267" s="185">
        <f t="shared" si="236"/>
        <v>0.17474367737525631</v>
      </c>
      <c r="AA267" s="185">
        <f t="shared" si="237"/>
        <v>0</v>
      </c>
      <c r="AB267" s="186">
        <f t="shared" si="238"/>
        <v>0</v>
      </c>
      <c r="AD267" s="207"/>
      <c r="AE267" s="207"/>
      <c r="AF267" s="212"/>
      <c r="AG267" s="207"/>
    </row>
    <row r="268" spans="1:33">
      <c r="A268" s="157"/>
      <c r="B268" s="157"/>
      <c r="C268" s="158" t="s">
        <v>288</v>
      </c>
      <c r="D268" s="177"/>
      <c r="E268" s="159">
        <f>SUM(E238,E247,E252,E267)</f>
        <v>9062091415315.0605</v>
      </c>
      <c r="F268" s="160"/>
      <c r="G268" s="160"/>
      <c r="H268" s="160"/>
      <c r="I268" s="160"/>
      <c r="J268" s="161"/>
      <c r="K268" s="159">
        <f>SUM(K238,K247,K252,K267)</f>
        <v>1356483</v>
      </c>
      <c r="L268" s="162"/>
      <c r="M268" s="162"/>
      <c r="N268" s="162"/>
      <c r="O268" s="159">
        <f>SUM(O238,O247,O252,O267)</f>
        <v>9070636089563.2793</v>
      </c>
      <c r="P268" s="160"/>
      <c r="Q268" s="160"/>
      <c r="R268" s="160"/>
      <c r="S268" s="160"/>
      <c r="T268" s="159"/>
      <c r="U268" s="159">
        <f>SUM(U238,U247,U252,U267)</f>
        <v>1375561</v>
      </c>
      <c r="V268" s="163"/>
      <c r="W268" s="159"/>
      <c r="X268" s="164"/>
      <c r="Y268" s="165"/>
      <c r="Z268" s="165"/>
      <c r="AA268" s="166"/>
      <c r="AB268" s="166"/>
      <c r="AF268" s="23"/>
    </row>
    <row r="269" spans="1:33">
      <c r="A269" s="167"/>
      <c r="B269" s="167" t="s">
        <v>337</v>
      </c>
      <c r="C269" s="176">
        <v>1361.395</v>
      </c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  <c r="AA269" s="168"/>
      <c r="AB269" s="168"/>
    </row>
    <row r="270" spans="1:33">
      <c r="B270" s="31"/>
    </row>
    <row r="271" spans="1:33">
      <c r="B271" s="31"/>
      <c r="D271" s="32"/>
      <c r="E271" s="33"/>
      <c r="O271" s="33"/>
    </row>
    <row r="272" spans="1:33" ht="15">
      <c r="B272" s="34"/>
      <c r="C272" s="35"/>
      <c r="D272" s="35"/>
      <c r="E272" s="36"/>
      <c r="H272" s="37"/>
      <c r="I272" s="37"/>
      <c r="J272" s="37"/>
      <c r="L272" s="38"/>
      <c r="M272" s="39"/>
      <c r="N272" s="39"/>
    </row>
    <row r="273" spans="2:15">
      <c r="C273" s="31"/>
      <c r="D273" s="31"/>
    </row>
    <row r="274" spans="2:15">
      <c r="O274" s="30"/>
    </row>
    <row r="275" spans="2:15">
      <c r="B275" s="32"/>
    </row>
    <row r="276" spans="2:15">
      <c r="O276" s="40"/>
    </row>
  </sheetData>
  <sheetProtection algorithmName="SHA-512" hashValue="wmFqzd9zyuSXc5wYL7xhKLTN3jMehsKJPoPy/F5dPy23MrbeszQpRFGHCGp62vVk4UfYwf3nSJMW2ade8y1fSg==" saltValue="E4xv0dTZxvemDFg7zofjjA==" spinCount="100000" sheet="1" objects="1" scenarios="1"/>
  <mergeCells count="34">
    <mergeCell ref="A1:AB1"/>
    <mergeCell ref="D2:M2"/>
    <mergeCell ref="N2:W2"/>
    <mergeCell ref="X2:Z2"/>
    <mergeCell ref="AA2:AB2"/>
    <mergeCell ref="B4:AB4"/>
    <mergeCell ref="B5:AB5"/>
    <mergeCell ref="B27:AB27"/>
    <mergeCell ref="B28:AB28"/>
    <mergeCell ref="B77:AB77"/>
    <mergeCell ref="B78:AB78"/>
    <mergeCell ref="B118:AB118"/>
    <mergeCell ref="B119:AB119"/>
    <mergeCell ref="B120:AB120"/>
    <mergeCell ref="B139:AB139"/>
    <mergeCell ref="B140:AB140"/>
    <mergeCell ref="B162:AB162"/>
    <mergeCell ref="B163:AB163"/>
    <mergeCell ref="B171:AB171"/>
    <mergeCell ref="B172:AB172"/>
    <mergeCell ref="B204:AB204"/>
    <mergeCell ref="B205:AB205"/>
    <mergeCell ref="B210:AB210"/>
    <mergeCell ref="B211:AB211"/>
    <mergeCell ref="B212:AB212"/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</mergeCells>
  <pageMargins left="0.7" right="0.7" top="0.75" bottom="0.75" header="0.3" footer="0.3"/>
  <pageSetup paperSize="9" orientation="portrait" horizontalDpi="300" verticalDpi="300" r:id="rId1"/>
  <ignoredErrors>
    <ignoredError sqref="F103 F83 P53 P37 F37 P146 F146" formula="1"/>
    <ignoredError sqref="Y170 Y26 Y76 Y117 Y161 Y203 Y209 Y237 Y267 Z250:Z251 X54:Z54 X146 X132:Z132 X49:Z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210"/>
      <c r="B1" s="210"/>
      <c r="C1" s="210"/>
      <c r="D1" s="210"/>
      <c r="E1" s="15"/>
      <c r="F1" s="15"/>
      <c r="G1" s="15"/>
      <c r="H1" s="20"/>
    </row>
    <row r="2" spans="1:8" ht="27.6">
      <c r="A2" s="54" t="s">
        <v>289</v>
      </c>
      <c r="B2" s="55" t="s">
        <v>330</v>
      </c>
      <c r="C2" s="55" t="s">
        <v>345</v>
      </c>
      <c r="D2" s="56"/>
      <c r="F2" s="15"/>
      <c r="G2" s="15"/>
      <c r="H2" s="20"/>
    </row>
    <row r="3" spans="1:8">
      <c r="A3" s="57" t="s">
        <v>17</v>
      </c>
      <c r="B3" s="58">
        <f t="shared" ref="B3:C10" si="0">B13</f>
        <v>234.65650655800678</v>
      </c>
      <c r="C3" s="58">
        <f t="shared" si="0"/>
        <v>246.41309322244683</v>
      </c>
      <c r="D3" s="56"/>
      <c r="F3" s="15"/>
      <c r="G3" s="15"/>
      <c r="H3" s="20"/>
    </row>
    <row r="4" spans="1:8" ht="15.6" customHeight="1">
      <c r="A4" s="54" t="s">
        <v>53</v>
      </c>
      <c r="B4" s="59">
        <f t="shared" si="0"/>
        <v>5710.6440913866309</v>
      </c>
      <c r="C4" s="59">
        <f t="shared" si="0"/>
        <v>5722.0014617762681</v>
      </c>
      <c r="D4" s="56"/>
      <c r="F4" s="15"/>
      <c r="G4" s="15"/>
      <c r="H4" s="20"/>
    </row>
    <row r="5" spans="1:8" ht="16.2" customHeight="1">
      <c r="A5" s="54" t="s">
        <v>290</v>
      </c>
      <c r="B5" s="58">
        <f t="shared" si="0"/>
        <v>235.77329133045038</v>
      </c>
      <c r="C5" s="58">
        <f t="shared" si="0"/>
        <v>234.90360018606745</v>
      </c>
      <c r="D5" s="56"/>
      <c r="F5" s="15"/>
      <c r="G5" s="15"/>
      <c r="H5" s="20"/>
    </row>
    <row r="6" spans="1:8">
      <c r="A6" s="54" t="s">
        <v>164</v>
      </c>
      <c r="B6" s="59">
        <f t="shared" si="0"/>
        <v>1871.0027534872156</v>
      </c>
      <c r="C6" s="59">
        <f t="shared" si="0"/>
        <v>1849.8559300856921</v>
      </c>
      <c r="D6" s="56"/>
      <c r="F6" s="15"/>
      <c r="G6" s="15"/>
      <c r="H6" s="20"/>
    </row>
    <row r="7" spans="1:8">
      <c r="A7" s="54" t="s">
        <v>291</v>
      </c>
      <c r="B7" s="58">
        <f t="shared" si="0"/>
        <v>506.71167330949521</v>
      </c>
      <c r="C7" s="58">
        <f t="shared" si="0"/>
        <v>507.43341480949522</v>
      </c>
      <c r="D7" s="56"/>
      <c r="F7" s="15"/>
      <c r="G7" s="15"/>
      <c r="H7" s="20"/>
    </row>
    <row r="8" spans="1:8">
      <c r="A8" s="54" t="s">
        <v>203</v>
      </c>
      <c r="B8" s="60">
        <f t="shared" si="0"/>
        <v>144.44978399667878</v>
      </c>
      <c r="C8" s="60">
        <f t="shared" si="0"/>
        <v>147.59661937413927</v>
      </c>
      <c r="D8" s="56"/>
      <c r="F8" s="15"/>
      <c r="G8" s="15"/>
      <c r="H8" s="20"/>
    </row>
    <row r="9" spans="1:8">
      <c r="A9" s="54" t="s">
        <v>234</v>
      </c>
      <c r="B9" s="58">
        <f t="shared" si="0"/>
        <v>19.513541737859999</v>
      </c>
      <c r="C9" s="58">
        <f t="shared" si="0"/>
        <v>19.560945940800003</v>
      </c>
      <c r="D9" s="56"/>
      <c r="F9" s="15"/>
      <c r="G9" s="15"/>
      <c r="H9" s="20"/>
    </row>
    <row r="10" spans="1:8">
      <c r="A10" s="54" t="s">
        <v>292</v>
      </c>
      <c r="B10" s="58">
        <f t="shared" si="0"/>
        <v>133.93446740073963</v>
      </c>
      <c r="C10" s="58">
        <f t="shared" si="0"/>
        <v>136.61960519911767</v>
      </c>
      <c r="D10" s="56"/>
      <c r="F10" s="15"/>
      <c r="G10" s="15"/>
      <c r="H10" s="20"/>
    </row>
    <row r="11" spans="1:8">
      <c r="A11" s="54" t="s">
        <v>263</v>
      </c>
      <c r="B11" s="58">
        <f>B21</f>
        <v>31.362993923692645</v>
      </c>
      <c r="C11" s="58">
        <f>C21</f>
        <v>32.017546923681479</v>
      </c>
      <c r="D11" s="56"/>
      <c r="F11" s="15"/>
      <c r="G11" s="15"/>
      <c r="H11" s="20"/>
    </row>
    <row r="12" spans="1:8">
      <c r="A12" s="53"/>
      <c r="B12" s="53"/>
      <c r="C12" s="53"/>
      <c r="D12" s="53"/>
      <c r="F12" s="15"/>
      <c r="G12" s="15"/>
      <c r="H12" s="20"/>
    </row>
    <row r="13" spans="1:8">
      <c r="A13" s="61" t="s">
        <v>17</v>
      </c>
      <c r="B13" s="62">
        <f>'Weekly Valuation'!E26/1000000000</f>
        <v>234.65650655800678</v>
      </c>
      <c r="C13" s="63">
        <f>'Weekly Valuation'!O26/1000000000</f>
        <v>246.41309322244683</v>
      </c>
      <c r="D13" s="53"/>
      <c r="F13" s="15"/>
      <c r="G13" s="15"/>
      <c r="H13" s="20"/>
    </row>
    <row r="14" spans="1:8">
      <c r="A14" s="64" t="s">
        <v>53</v>
      </c>
      <c r="B14" s="62">
        <f>'Weekly Valuation'!E76/1000000000</f>
        <v>5710.6440913866309</v>
      </c>
      <c r="C14" s="65">
        <f>'Weekly Valuation'!O76/1000000000</f>
        <v>5722.0014617762681</v>
      </c>
      <c r="D14" s="53"/>
      <c r="F14" s="15"/>
      <c r="G14" s="15"/>
      <c r="H14" s="20"/>
    </row>
    <row r="15" spans="1:8">
      <c r="A15" s="64" t="s">
        <v>290</v>
      </c>
      <c r="B15" s="62">
        <f>'Weekly Valuation'!E117/1000000000</f>
        <v>235.77329133045038</v>
      </c>
      <c r="C15" s="63">
        <f>'Weekly Valuation'!O117/1000000000</f>
        <v>234.90360018606745</v>
      </c>
      <c r="D15" s="53"/>
      <c r="F15" s="15"/>
      <c r="G15" s="15"/>
      <c r="H15" s="20"/>
    </row>
    <row r="16" spans="1:8">
      <c r="A16" s="64" t="s">
        <v>164</v>
      </c>
      <c r="B16" s="62">
        <f>'Weekly Valuation'!E161/1000000000</f>
        <v>1871.0027534872156</v>
      </c>
      <c r="C16" s="65">
        <f>'Weekly Valuation'!O161/1000000000</f>
        <v>1849.8559300856921</v>
      </c>
      <c r="D16" s="53"/>
      <c r="F16" s="15"/>
      <c r="G16" s="15"/>
      <c r="H16" s="20"/>
    </row>
    <row r="17" spans="1:8">
      <c r="A17" s="64" t="s">
        <v>291</v>
      </c>
      <c r="B17" s="62">
        <f>'Weekly Valuation'!E170/1000000000</f>
        <v>506.71167330949521</v>
      </c>
      <c r="C17" s="63">
        <f>'Weekly Valuation'!O170/1000000000</f>
        <v>507.43341480949522</v>
      </c>
      <c r="D17" s="53"/>
      <c r="F17" s="15"/>
      <c r="G17" s="15"/>
      <c r="H17" s="20"/>
    </row>
    <row r="18" spans="1:8">
      <c r="A18" s="64" t="s">
        <v>203</v>
      </c>
      <c r="B18" s="62">
        <f>'Weekly Valuation'!E203/1000000000</f>
        <v>144.44978399667878</v>
      </c>
      <c r="C18" s="66">
        <f>'Weekly Valuation'!O203/1000000000</f>
        <v>147.59661937413927</v>
      </c>
      <c r="D18" s="53"/>
      <c r="F18" s="15"/>
      <c r="G18" s="15"/>
      <c r="H18" s="20"/>
    </row>
    <row r="19" spans="1:8">
      <c r="A19" s="64" t="s">
        <v>234</v>
      </c>
      <c r="B19" s="62">
        <f>'Weekly Valuation'!E209/1000000000</f>
        <v>19.513541737859999</v>
      </c>
      <c r="C19" s="63">
        <f>'Weekly Valuation'!O209/1000000000</f>
        <v>19.560945940800003</v>
      </c>
      <c r="D19" s="53"/>
      <c r="F19" s="15"/>
      <c r="G19" s="15"/>
      <c r="H19" s="20"/>
    </row>
    <row r="20" spans="1:8">
      <c r="A20" s="64" t="s">
        <v>292</v>
      </c>
      <c r="B20" s="62">
        <f>'Weekly Valuation'!E237/1000000000</f>
        <v>133.93446740073963</v>
      </c>
      <c r="C20" s="63">
        <f>'Weekly Valuation'!O237/1000000000</f>
        <v>136.61960519911767</v>
      </c>
      <c r="D20" s="53"/>
      <c r="F20" s="15"/>
      <c r="G20" s="15"/>
      <c r="H20" s="20"/>
    </row>
    <row r="21" spans="1:8">
      <c r="A21" s="64" t="s">
        <v>263</v>
      </c>
      <c r="B21" s="62">
        <f>'Weekly Valuation'!E247/1000000000</f>
        <v>31.362993923692645</v>
      </c>
      <c r="C21" s="63">
        <f>'Weekly Valuation'!O247/1000000000</f>
        <v>32.017546923681479</v>
      </c>
      <c r="D21" s="53"/>
      <c r="F21" s="15"/>
      <c r="G21" s="15"/>
      <c r="H21" s="20"/>
    </row>
    <row r="22" spans="1:8">
      <c r="A22" s="67"/>
      <c r="B22" s="53"/>
      <c r="C22" s="68"/>
      <c r="D22" s="53"/>
      <c r="F22" s="15"/>
      <c r="G22" s="15"/>
      <c r="H22" s="20"/>
    </row>
    <row r="23" spans="1:8">
      <c r="A23" s="69"/>
      <c r="B23" s="68"/>
      <c r="C23" s="70"/>
      <c r="F23" s="15"/>
      <c r="G23" s="15"/>
      <c r="H23" s="20"/>
    </row>
    <row r="24" spans="1:8">
      <c r="A24" s="69"/>
      <c r="B24" s="68"/>
      <c r="C24" s="68"/>
      <c r="F24" s="15"/>
      <c r="G24" s="15"/>
      <c r="H24" s="20"/>
    </row>
    <row r="25" spans="1:8">
      <c r="A25" s="69"/>
      <c r="B25" s="68"/>
      <c r="C25" s="68"/>
      <c r="F25" s="15"/>
      <c r="G25" s="15"/>
      <c r="H25" s="20"/>
    </row>
    <row r="26" spans="1:8">
      <c r="A26" s="69"/>
      <c r="B26" s="68"/>
      <c r="C26" s="68"/>
      <c r="F26" s="15"/>
      <c r="G26" s="20"/>
      <c r="H26" s="20"/>
    </row>
    <row r="27" spans="1:8">
      <c r="A27" s="69"/>
      <c r="B27" s="68"/>
      <c r="C27" s="68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mK2hnkC3WLZ4EXnm8TuM0FNpMO9m4GUYQmeeCvCi252XTWfqc/4fFjRreJcAG+Sf6ZJHeuY5Y325+WL/a3yJYA==" saltValue="vJWgLcc9k/NZ2fxOdqFWX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4" sqref="I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1" t="s">
        <v>289</v>
      </c>
      <c r="B1" s="72">
        <v>46150</v>
      </c>
      <c r="C1" s="53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67" t="s">
        <v>234</v>
      </c>
      <c r="B2" s="68">
        <f>'Weekly Valuation'!O209</f>
        <v>19560945940.800003</v>
      </c>
      <c r="C2" s="53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67" t="s">
        <v>263</v>
      </c>
      <c r="B3" s="68">
        <f>'Weekly Valuation'!O247</f>
        <v>32017546923.681477</v>
      </c>
      <c r="C3" s="53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67" t="s">
        <v>292</v>
      </c>
      <c r="B4" s="68">
        <f>'Weekly Valuation'!O237</f>
        <v>136619605199.11766</v>
      </c>
      <c r="C4" s="53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67" t="s">
        <v>203</v>
      </c>
      <c r="B5" s="70">
        <f>'Weekly Valuation'!O203</f>
        <v>147596619374.13925</v>
      </c>
      <c r="C5" s="53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67" t="s">
        <v>17</v>
      </c>
      <c r="B6" s="68">
        <f>'Weekly Valuation'!O26</f>
        <v>246413093222.44684</v>
      </c>
      <c r="C6" s="53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67" t="s">
        <v>290</v>
      </c>
      <c r="B7" s="68">
        <f>'Weekly Valuation'!O117</f>
        <v>234903600186.06744</v>
      </c>
      <c r="C7" s="53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67" t="s">
        <v>291</v>
      </c>
      <c r="B8" s="68">
        <f>'Weekly Valuation'!O170</f>
        <v>507433414809.49524</v>
      </c>
      <c r="C8" s="53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67" t="s">
        <v>164</v>
      </c>
      <c r="B9" s="73">
        <f>'Weekly Valuation'!O161</f>
        <v>1849855930085.6921</v>
      </c>
      <c r="C9" s="53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67" t="s">
        <v>53</v>
      </c>
      <c r="B10" s="73">
        <f>'Weekly Valuation'!O76</f>
        <v>5722001461776.2686</v>
      </c>
      <c r="C10" s="53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3"/>
      <c r="B11" s="53"/>
      <c r="C11" s="53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67"/>
      <c r="B12" s="74"/>
      <c r="C12" s="53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67"/>
      <c r="B13" s="53"/>
      <c r="C13" s="53"/>
      <c r="D13" s="20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68"/>
      <c r="B14" s="68"/>
      <c r="C14" s="53"/>
      <c r="D14" s="20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68"/>
      <c r="B15" s="68"/>
      <c r="C15" s="20"/>
      <c r="D15" s="20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69"/>
      <c r="B16" s="70"/>
      <c r="C16" s="20"/>
      <c r="D16" s="20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68"/>
      <c r="B17" s="68"/>
      <c r="C17" s="20"/>
      <c r="D17" s="20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68"/>
      <c r="B18" s="68"/>
      <c r="C18" s="20"/>
      <c r="D18" s="20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7"/>
      <c r="B19" s="21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7"/>
      <c r="B20" s="4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7"/>
      <c r="B21" s="4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6"/>
      <c r="B22" s="4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1"/>
    </row>
    <row r="34" spans="1:17" ht="15" customHeight="1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XyTRfxJVEUXqgtqJmQn6W/iHCTcvJetQ/+y6qqchJ23FMaMsN4HVvJVEBBvHq34vMkFW/6dfB2QdoAToikPadw==" saltValue="6DpWOAPflgBZtZmI7zbRcg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E9" sqref="E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45"/>
    </row>
    <row r="2" spans="1:15">
      <c r="A2" s="75" t="s">
        <v>293</v>
      </c>
      <c r="B2" s="76">
        <v>46099</v>
      </c>
      <c r="C2" s="76">
        <v>46108</v>
      </c>
      <c r="D2" s="76">
        <v>46114</v>
      </c>
      <c r="E2" s="76">
        <v>46122</v>
      </c>
      <c r="F2" s="76">
        <v>46129</v>
      </c>
      <c r="G2" s="76">
        <v>46136</v>
      </c>
      <c r="H2" s="76">
        <v>46142</v>
      </c>
      <c r="I2" s="76">
        <v>46150</v>
      </c>
      <c r="J2" s="20"/>
      <c r="K2" s="20"/>
      <c r="L2" s="20"/>
      <c r="M2" s="15"/>
      <c r="N2" s="15"/>
      <c r="O2" s="45"/>
    </row>
    <row r="3" spans="1:15">
      <c r="A3" s="75" t="s">
        <v>294</v>
      </c>
      <c r="B3" s="77">
        <f t="shared" ref="B3:I3" si="0">B4</f>
        <v>8418.7881429582667</v>
      </c>
      <c r="C3" s="77">
        <f t="shared" si="0"/>
        <v>8440.5567676688224</v>
      </c>
      <c r="D3" s="77">
        <f t="shared" si="0"/>
        <v>8593.7769156229697</v>
      </c>
      <c r="E3" s="77">
        <f t="shared" si="0"/>
        <v>8623.4476305652915</v>
      </c>
      <c r="F3" s="77">
        <f t="shared" si="0"/>
        <v>8682.1345271243354</v>
      </c>
      <c r="G3" s="77">
        <f t="shared" si="0"/>
        <v>8768.912163579158</v>
      </c>
      <c r="H3" s="77">
        <f t="shared" si="0"/>
        <v>8888.5858305390957</v>
      </c>
      <c r="I3" s="77">
        <f t="shared" si="0"/>
        <v>8896.4022175177088</v>
      </c>
      <c r="J3" s="20"/>
      <c r="K3" s="20"/>
      <c r="L3" s="20"/>
      <c r="M3" s="15"/>
      <c r="N3" s="15"/>
      <c r="O3" s="45"/>
    </row>
    <row r="4" spans="1:15">
      <c r="A4" s="20"/>
      <c r="B4" s="78">
        <f>'NAV Trend'!C11/1000000000</f>
        <v>8418.7881429582667</v>
      </c>
      <c r="C4" s="78">
        <f>'NAV Trend'!D11/1000000000</f>
        <v>8440.5567676688224</v>
      </c>
      <c r="D4" s="78">
        <f>'NAV Trend'!E11/1000000000</f>
        <v>8593.7769156229697</v>
      </c>
      <c r="E4" s="78">
        <f>'NAV Trend'!F11/1000000000</f>
        <v>8623.4476305652915</v>
      </c>
      <c r="F4" s="78">
        <f>'NAV Trend'!G11/1000000000</f>
        <v>8682.1345271243354</v>
      </c>
      <c r="G4" s="78">
        <f>'NAV Trend'!H11/1000000000</f>
        <v>8768.912163579158</v>
      </c>
      <c r="H4" s="79">
        <f>'NAV Trend'!I11/1000000000</f>
        <v>8888.5858305390957</v>
      </c>
      <c r="I4" s="79">
        <f>'NAV Trend'!J11/1000000000</f>
        <v>8896.4022175177088</v>
      </c>
      <c r="J4" s="20"/>
      <c r="K4" s="20"/>
      <c r="L4" s="20"/>
      <c r="M4" s="15"/>
      <c r="N4" s="15"/>
      <c r="O4" s="45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45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45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  <c r="O7" s="45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5"/>
      <c r="O8" s="45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4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5"/>
      <c r="O10" s="4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5"/>
      <c r="O11" s="45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5"/>
      <c r="O12" s="45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5"/>
      <c r="O13" s="45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5"/>
      <c r="O14" s="45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5"/>
      <c r="O15" s="45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5"/>
      <c r="N16" s="45"/>
      <c r="O16" s="4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5"/>
      <c r="N17" s="45"/>
      <c r="O17" s="45"/>
    </row>
    <row r="18" spans="1:1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</sheetData>
  <sheetProtection algorithmName="SHA-512" hashValue="1UcapkZJtZDHdCdOOruycuEJP14/PdiDOZwtn21AazIkQH5p4loQvP0RjlT8QzRUoJKLH0QbK+LT8vrEw0mYlA==" saltValue="L9JP/aEcHxMUBsexfgzwP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43"/>
    </row>
    <row r="2" spans="1:16">
      <c r="A2" s="75" t="s">
        <v>293</v>
      </c>
      <c r="B2" s="76">
        <v>46099</v>
      </c>
      <c r="C2" s="76">
        <v>46108</v>
      </c>
      <c r="D2" s="76">
        <v>46114</v>
      </c>
      <c r="E2" s="76">
        <v>46122</v>
      </c>
      <c r="F2" s="76">
        <v>46129</v>
      </c>
      <c r="G2" s="76">
        <v>46136</v>
      </c>
      <c r="H2" s="76">
        <v>46142</v>
      </c>
      <c r="I2" s="76">
        <v>46150</v>
      </c>
      <c r="J2" s="20"/>
      <c r="K2" s="20"/>
      <c r="L2" s="15"/>
      <c r="M2" s="15"/>
      <c r="N2" s="20"/>
      <c r="O2" s="20"/>
      <c r="P2" s="43"/>
    </row>
    <row r="3" spans="1:16">
      <c r="A3" s="75" t="s">
        <v>295</v>
      </c>
      <c r="B3" s="77">
        <f t="shared" ref="B3:I3" si="0">B4</f>
        <v>24.06611184246</v>
      </c>
      <c r="C3" s="77">
        <f t="shared" si="0"/>
        <v>24.226803601379999</v>
      </c>
      <c r="D3" s="77">
        <f t="shared" si="0"/>
        <v>24.882508960419997</v>
      </c>
      <c r="E3" s="77">
        <f t="shared" si="0"/>
        <v>25.247393537559997</v>
      </c>
      <c r="F3" s="77">
        <f t="shared" si="0"/>
        <v>27.644948093229999</v>
      </c>
      <c r="G3" s="77">
        <f t="shared" si="0"/>
        <v>28.90522929934</v>
      </c>
      <c r="H3" s="77">
        <f t="shared" si="0"/>
        <v>30.630921333499995</v>
      </c>
      <c r="I3" s="77">
        <f t="shared" si="0"/>
        <v>30.807819494499999</v>
      </c>
      <c r="J3" s="20"/>
      <c r="K3" s="20"/>
      <c r="L3" s="15"/>
      <c r="M3" s="15"/>
      <c r="N3" s="20"/>
      <c r="O3" s="20"/>
      <c r="P3" s="43"/>
    </row>
    <row r="4" spans="1:16">
      <c r="A4" s="20"/>
      <c r="B4" s="78">
        <f>'NAV Trend'!C17/1000000000</f>
        <v>24.06611184246</v>
      </c>
      <c r="C4" s="78">
        <f>'NAV Trend'!D17/1000000000</f>
        <v>24.226803601379999</v>
      </c>
      <c r="D4" s="78">
        <f>'NAV Trend'!E17/1000000000</f>
        <v>24.882508960419997</v>
      </c>
      <c r="E4" s="78">
        <f>'NAV Trend'!F17/1000000000</f>
        <v>25.247393537559997</v>
      </c>
      <c r="F4" s="78">
        <f>'NAV Trend'!G17/1000000000</f>
        <v>27.644948093229999</v>
      </c>
      <c r="G4" s="78">
        <f>'NAV Trend'!H17/1000000000</f>
        <v>28.90522929934</v>
      </c>
      <c r="H4" s="78">
        <f>'NAV Trend'!I17/1000000000</f>
        <v>30.630921333499995</v>
      </c>
      <c r="I4" s="79">
        <f>'NAV Trend'!J17/1000000000</f>
        <v>30.807819494499999</v>
      </c>
      <c r="J4" s="20"/>
      <c r="K4" s="20"/>
      <c r="L4" s="15"/>
      <c r="M4" s="15"/>
      <c r="N4" s="20"/>
      <c r="O4" s="20"/>
      <c r="P4" s="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20"/>
      <c r="O9" s="20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5"/>
      <c r="M10" s="15"/>
      <c r="N10" s="15"/>
      <c r="O10" s="42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42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2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2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2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2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</row>
    <row r="18" spans="1: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</sheetData>
  <sheetProtection algorithmName="SHA-512" hashValue="ZJUbe2BeftWfidxcn+pXvvU0AhSpxe4kRDtF73CWP2XAdj3h4AkHBuZR1WsZrNZoW5yuWWT4hz0kzeZceXNb7A==" saltValue="X/Ud7o6Kt03M687OgTt5F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289</v>
      </c>
      <c r="B1" s="2">
        <v>46094</v>
      </c>
      <c r="C1" s="2">
        <v>46099</v>
      </c>
      <c r="D1" s="2">
        <v>46108</v>
      </c>
      <c r="E1" s="2">
        <v>46114</v>
      </c>
      <c r="F1" s="2">
        <v>46122</v>
      </c>
      <c r="G1" s="2">
        <v>46129</v>
      </c>
      <c r="H1" s="2">
        <v>46136</v>
      </c>
      <c r="I1" s="2">
        <v>46142</v>
      </c>
      <c r="J1" s="2">
        <v>46150</v>
      </c>
    </row>
    <row r="2" spans="1:11">
      <c r="A2" s="3" t="s">
        <v>17</v>
      </c>
      <c r="B2" s="4">
        <v>163538120041.90128</v>
      </c>
      <c r="C2" s="4">
        <v>167362604727.21579</v>
      </c>
      <c r="D2" s="4">
        <v>170736602967.8475</v>
      </c>
      <c r="E2" s="4">
        <v>176153465596.20389</v>
      </c>
      <c r="F2" s="4">
        <v>183847376318.7514</v>
      </c>
      <c r="G2" s="4">
        <v>198102253974.0199</v>
      </c>
      <c r="H2" s="4">
        <v>216340303668.50018</v>
      </c>
      <c r="I2" s="4">
        <v>234656506558.00677</v>
      </c>
      <c r="J2" s="4">
        <v>246413093222.44684</v>
      </c>
    </row>
    <row r="3" spans="1:11">
      <c r="A3" s="3" t="s">
        <v>53</v>
      </c>
      <c r="B3" s="4">
        <v>5391387940295.4883</v>
      </c>
      <c r="C3" s="4">
        <v>5463853896039.3164</v>
      </c>
      <c r="D3" s="4">
        <v>5448379818849.8945</v>
      </c>
      <c r="E3" s="4">
        <v>5577381495616.4316</v>
      </c>
      <c r="F3" s="4">
        <v>5619001466443.6777</v>
      </c>
      <c r="G3" s="4">
        <v>5663646349610.5918</v>
      </c>
      <c r="H3" s="4">
        <v>5684681458968.9551</v>
      </c>
      <c r="I3" s="4">
        <v>5710644091386.6309</v>
      </c>
      <c r="J3" s="4">
        <v>5722001461776.2686</v>
      </c>
    </row>
    <row r="4" spans="1:11">
      <c r="A4" s="3" t="s">
        <v>290</v>
      </c>
      <c r="B4" s="5">
        <v>242725393719.77261</v>
      </c>
      <c r="C4" s="5">
        <v>241723605867.83209</v>
      </c>
      <c r="D4" s="5">
        <v>241168824723.06894</v>
      </c>
      <c r="E4" s="5">
        <v>240228161185.21439</v>
      </c>
      <c r="F4" s="5">
        <v>237025512543.87482</v>
      </c>
      <c r="G4" s="5">
        <v>237154042743.45844</v>
      </c>
      <c r="H4" s="5">
        <v>235706472228.2908</v>
      </c>
      <c r="I4" s="5">
        <v>235773291330.45038</v>
      </c>
      <c r="J4" s="5">
        <v>234903600186.06744</v>
      </c>
    </row>
    <row r="5" spans="1:11">
      <c r="A5" s="3" t="s">
        <v>164</v>
      </c>
      <c r="B5" s="4">
        <v>1825820397268.7412</v>
      </c>
      <c r="C5" s="4">
        <v>1804490357211.8433</v>
      </c>
      <c r="D5" s="4">
        <v>1836846387271.8889</v>
      </c>
      <c r="E5" s="4">
        <v>1846414762120.1338</v>
      </c>
      <c r="F5" s="4">
        <v>1821179366345.8789</v>
      </c>
      <c r="G5" s="4">
        <v>1809968636474.0674</v>
      </c>
      <c r="H5" s="4">
        <v>1845513937800.6819</v>
      </c>
      <c r="I5" s="4">
        <v>1871002753487.2156</v>
      </c>
      <c r="J5" s="4">
        <v>1849855930085.6921</v>
      </c>
    </row>
    <row r="6" spans="1:11">
      <c r="A6" s="3" t="s">
        <v>291</v>
      </c>
      <c r="B6" s="5">
        <v>492695374746.03168</v>
      </c>
      <c r="C6" s="5">
        <v>493149888469.67896</v>
      </c>
      <c r="D6" s="5">
        <v>493584500319.52655</v>
      </c>
      <c r="E6" s="5">
        <v>502059408571.63251</v>
      </c>
      <c r="F6" s="5">
        <v>504643192934.91315</v>
      </c>
      <c r="G6" s="5">
        <v>505060613754.44171</v>
      </c>
      <c r="H6" s="5">
        <v>505637897315.83008</v>
      </c>
      <c r="I6" s="5">
        <v>506711673309.49524</v>
      </c>
      <c r="J6" s="5">
        <v>507433414809.49524</v>
      </c>
    </row>
    <row r="7" spans="1:11">
      <c r="A7" s="3" t="s">
        <v>203</v>
      </c>
      <c r="B7" s="7">
        <v>120029792761.26135</v>
      </c>
      <c r="C7" s="7">
        <v>121922044985.49959</v>
      </c>
      <c r="D7" s="7">
        <v>122320890754.34761</v>
      </c>
      <c r="E7" s="7">
        <v>121950048807.84406</v>
      </c>
      <c r="F7" s="7">
        <v>125203708589.52214</v>
      </c>
      <c r="G7" s="7">
        <v>130923641116.56393</v>
      </c>
      <c r="H7" s="7">
        <v>137046282636.08223</v>
      </c>
      <c r="I7" s="7">
        <v>144449783996.67877</v>
      </c>
      <c r="J7" s="7">
        <v>147596619374.13925</v>
      </c>
    </row>
    <row r="8" spans="1:11">
      <c r="A8" s="3" t="s">
        <v>234</v>
      </c>
      <c r="B8" s="6">
        <v>14898817340.940001</v>
      </c>
      <c r="C8" s="6">
        <v>14938804220.809999</v>
      </c>
      <c r="D8" s="6">
        <v>14939585769.67</v>
      </c>
      <c r="E8" s="6">
        <v>15037578574.93964</v>
      </c>
      <c r="F8" s="6">
        <v>15435732579.870001</v>
      </c>
      <c r="G8" s="6">
        <v>16713684212.59</v>
      </c>
      <c r="H8" s="6">
        <v>18040731810.32</v>
      </c>
      <c r="I8" s="6">
        <v>19513541737.860001</v>
      </c>
      <c r="J8" s="6">
        <v>19560945940.800003</v>
      </c>
    </row>
    <row r="9" spans="1:11">
      <c r="A9" s="3" t="s">
        <v>292</v>
      </c>
      <c r="B9" s="6">
        <v>111041562562.37579</v>
      </c>
      <c r="C9" s="6">
        <v>111346941436.07184</v>
      </c>
      <c r="D9" s="6">
        <v>112580157012.57768</v>
      </c>
      <c r="E9" s="6">
        <v>114551995150.56964</v>
      </c>
      <c r="F9" s="6">
        <v>117111274808.80344</v>
      </c>
      <c r="G9" s="6">
        <v>120565305238.60492</v>
      </c>
      <c r="H9" s="6">
        <v>125945079150.49832</v>
      </c>
      <c r="I9" s="6">
        <v>133934467400.73964</v>
      </c>
      <c r="J9" s="6">
        <v>136619605199.11766</v>
      </c>
    </row>
    <row r="10" spans="1:11">
      <c r="A10" s="3" t="s">
        <v>263</v>
      </c>
      <c r="B10" s="6">
        <v>30929893185.840004</v>
      </c>
      <c r="C10" s="6">
        <v>30888527279.779999</v>
      </c>
      <c r="D10" s="6">
        <v>31122132963.085693</v>
      </c>
      <c r="E10" s="6">
        <v>31240648592.305443</v>
      </c>
      <c r="F10" s="6">
        <v>31390655001.210625</v>
      </c>
      <c r="G10" s="6">
        <v>31487849239.809494</v>
      </c>
      <c r="H10" s="6">
        <v>31632969925.556732</v>
      </c>
      <c r="I10" s="6">
        <v>31899721332.017464</v>
      </c>
      <c r="J10" s="6">
        <v>32017546923.681477</v>
      </c>
    </row>
    <row r="11" spans="1:11" ht="15.6">
      <c r="A11" s="8" t="s">
        <v>296</v>
      </c>
      <c r="B11" s="9">
        <f t="shared" ref="B11:H11" si="0">SUM(B2:B9)</f>
        <v>8362137398736.5127</v>
      </c>
      <c r="C11" s="9">
        <f t="shared" si="0"/>
        <v>8418788142958.2676</v>
      </c>
      <c r="D11" s="9">
        <f t="shared" si="0"/>
        <v>8440556767668.8223</v>
      </c>
      <c r="E11" s="9">
        <f t="shared" si="0"/>
        <v>8593776915622.9697</v>
      </c>
      <c r="F11" s="9">
        <f t="shared" si="0"/>
        <v>8623447630565.292</v>
      </c>
      <c r="G11" s="9">
        <f t="shared" si="0"/>
        <v>8682134527124.3359</v>
      </c>
      <c r="H11" s="9">
        <f t="shared" si="0"/>
        <v>8768912163579.1582</v>
      </c>
      <c r="I11" s="9">
        <f>SUM(I2:I10)</f>
        <v>8888585830539.0957</v>
      </c>
      <c r="J11" s="9">
        <f>SUM(J2:J10)</f>
        <v>8896402217517.709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297</v>
      </c>
      <c r="B13" s="41" t="s">
        <v>298</v>
      </c>
      <c r="C13" s="13">
        <f>(B11+C11)/2</f>
        <v>8390462770847.3906</v>
      </c>
      <c r="D13" s="14">
        <f t="shared" ref="D13:J13" si="1">(C11+D11)/2</f>
        <v>8429672455313.5449</v>
      </c>
      <c r="E13" s="14">
        <f t="shared" si="1"/>
        <v>8517166841645.8965</v>
      </c>
      <c r="F13" s="14">
        <f t="shared" si="1"/>
        <v>8608612273094.1309</v>
      </c>
      <c r="G13" s="14">
        <f t="shared" si="1"/>
        <v>8652791078844.8145</v>
      </c>
      <c r="H13" s="14">
        <f t="shared" si="1"/>
        <v>8725523345351.7471</v>
      </c>
      <c r="I13" s="14">
        <f t="shared" si="1"/>
        <v>8828748997059.127</v>
      </c>
      <c r="J13" s="14">
        <f t="shared" si="1"/>
        <v>8892494024028.4023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46094</v>
      </c>
      <c r="C16" s="2">
        <v>46099</v>
      </c>
      <c r="D16" s="2">
        <v>46108</v>
      </c>
      <c r="E16" s="2">
        <v>46114</v>
      </c>
      <c r="F16" s="2">
        <v>46122</v>
      </c>
      <c r="G16" s="2">
        <v>46129</v>
      </c>
      <c r="H16" s="2">
        <v>46136</v>
      </c>
      <c r="I16" s="2">
        <v>46142</v>
      </c>
      <c r="J16" s="2">
        <v>46150</v>
      </c>
      <c r="K16" s="15"/>
    </row>
    <row r="17" spans="1:11">
      <c r="A17" s="16" t="s">
        <v>299</v>
      </c>
      <c r="B17" s="17">
        <v>24024073678.48</v>
      </c>
      <c r="C17" s="17">
        <v>24066111842.459999</v>
      </c>
      <c r="D17" s="17">
        <v>24226803601.379997</v>
      </c>
      <c r="E17" s="17">
        <v>24882508960.419998</v>
      </c>
      <c r="F17" s="17">
        <v>25247393537.559998</v>
      </c>
      <c r="G17" s="17">
        <v>27644948093.23</v>
      </c>
      <c r="H17" s="17">
        <v>28905229299.34</v>
      </c>
      <c r="I17" s="17">
        <v>30630921333.499996</v>
      </c>
      <c r="J17" s="17">
        <v>30807819494.5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xdhnqyaRsvKyk5wtvxESwDYLXkxdk9I3uyL4L3M6uvIU0vS9K3BXP10YviX3ZxxSQ4Q8XNo3IMS1Dl88/kq2dg==" saltValue="sPN4KLRXhjBoIRtrLDYsL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2026-05-26T08:45:00Z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