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5856" yWindow="2556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N149" i="1" l="1"/>
  <c r="T137" i="1" l="1"/>
  <c r="R137" i="1"/>
  <c r="O137" i="1"/>
  <c r="T151" i="1"/>
  <c r="R151" i="1"/>
  <c r="O151" i="1"/>
  <c r="T156" i="1"/>
  <c r="R156" i="1"/>
  <c r="O156" i="1"/>
  <c r="R153" i="1"/>
  <c r="T153" i="1"/>
  <c r="O153" i="1"/>
  <c r="T128" i="1"/>
  <c r="R128" i="1"/>
  <c r="O128" i="1"/>
  <c r="O127" i="1"/>
  <c r="T122" i="1"/>
  <c r="R122" i="1"/>
  <c r="O122" i="1"/>
  <c r="T143" i="1"/>
  <c r="R143" i="1"/>
  <c r="O143" i="1"/>
  <c r="O154" i="1"/>
  <c r="R154" i="1"/>
  <c r="T154" i="1"/>
  <c r="O148" i="1"/>
  <c r="T135" i="1"/>
  <c r="O135" i="1"/>
  <c r="T246" i="1"/>
  <c r="R246" i="1"/>
  <c r="O246" i="1"/>
  <c r="O141" i="1"/>
  <c r="T136" i="1"/>
  <c r="R136" i="1"/>
  <c r="O136" i="1"/>
  <c r="T142" i="1"/>
  <c r="R142" i="1"/>
  <c r="O142" i="1"/>
  <c r="T129" i="1"/>
  <c r="R129" i="1"/>
  <c r="O129" i="1"/>
  <c r="T160" i="1"/>
  <c r="R160" i="1"/>
  <c r="O160" i="1"/>
  <c r="O241" i="1"/>
  <c r="R241" i="1"/>
  <c r="T241" i="1"/>
  <c r="X124" i="1"/>
  <c r="O124" i="1"/>
  <c r="T124" i="1"/>
  <c r="R124" i="1"/>
  <c r="O123" i="1"/>
  <c r="R123" i="1"/>
  <c r="T123" i="1"/>
  <c r="O130" i="1"/>
  <c r="T244" i="1"/>
  <c r="R244" i="1"/>
  <c r="O244" i="1"/>
  <c r="O132" i="1"/>
  <c r="R132" i="1"/>
  <c r="T132" i="1"/>
  <c r="T131" i="1"/>
  <c r="R131" i="1"/>
  <c r="O131" i="1"/>
  <c r="T157" i="1"/>
  <c r="R157" i="1"/>
  <c r="O157" i="1"/>
  <c r="T138" i="1"/>
  <c r="R138" i="1"/>
  <c r="O138" i="1"/>
  <c r="O155" i="1"/>
  <c r="T155" i="1"/>
  <c r="R155" i="1"/>
  <c r="O150" i="1"/>
  <c r="T125" i="1"/>
  <c r="R125" i="1"/>
  <c r="O125" i="1"/>
  <c r="R135" i="1"/>
  <c r="R130" i="1" l="1"/>
  <c r="T127" i="1"/>
  <c r="R127" i="1"/>
  <c r="AB201" i="1"/>
  <c r="AA201" i="1"/>
  <c r="Z201" i="1"/>
  <c r="Y201" i="1"/>
  <c r="X201" i="1"/>
  <c r="N152" i="1" l="1"/>
  <c r="R150" i="1"/>
  <c r="T150" i="1"/>
  <c r="T141" i="1"/>
  <c r="R141" i="1"/>
  <c r="X142" i="1" l="1"/>
  <c r="R149" i="1"/>
  <c r="T149" i="1"/>
  <c r="S147" i="1"/>
  <c r="X122" i="1"/>
  <c r="R148" i="1"/>
  <c r="T148" i="1"/>
  <c r="T159" i="1"/>
  <c r="R159" i="1"/>
  <c r="T152" i="1"/>
  <c r="R152" i="1"/>
  <c r="Q147" i="1"/>
  <c r="T146" i="1"/>
  <c r="R146" i="1"/>
  <c r="T144" i="1"/>
  <c r="R144" i="1"/>
  <c r="O159" i="1"/>
  <c r="N147" i="1"/>
  <c r="O146" i="1"/>
  <c r="O144" i="1"/>
  <c r="T130" i="1"/>
  <c r="T134" i="1"/>
  <c r="R134" i="1"/>
  <c r="T133" i="1"/>
  <c r="R133" i="1"/>
  <c r="T126" i="1"/>
  <c r="R126" i="1"/>
  <c r="T121" i="1"/>
  <c r="R121" i="1"/>
  <c r="O134" i="1"/>
  <c r="O133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1" i="1"/>
  <c r="AA191" i="1"/>
  <c r="Z191" i="1"/>
  <c r="Y191" i="1"/>
  <c r="X191" i="1"/>
  <c r="AB59" i="1" l="1"/>
  <c r="AA59" i="1"/>
  <c r="Z59" i="1"/>
  <c r="Y59" i="1"/>
  <c r="X59" i="1"/>
  <c r="O203" i="1" l="1"/>
  <c r="P202" i="1" l="1"/>
  <c r="P201" i="1"/>
  <c r="P191" i="1"/>
  <c r="P189" i="1"/>
  <c r="B5" i="3"/>
  <c r="X261" i="1" l="1"/>
  <c r="X179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7" i="1" l="1"/>
  <c r="Y85" i="1" l="1"/>
  <c r="I11" i="4" l="1"/>
  <c r="P233" i="1" l="1"/>
  <c r="X233" i="1"/>
  <c r="J11" i="4" l="1"/>
  <c r="P173" i="1"/>
  <c r="P182" i="1" l="1"/>
  <c r="P190" i="1"/>
  <c r="Y220" i="1"/>
  <c r="Y168" i="1"/>
  <c r="X37" i="1" l="1"/>
  <c r="AB24" i="1"/>
  <c r="AA24" i="1"/>
  <c r="Z24" i="1"/>
  <c r="Y24" i="1"/>
  <c r="X24" i="1"/>
  <c r="P207" i="1" l="1"/>
  <c r="P234" i="1" l="1"/>
  <c r="AB195" i="1" l="1"/>
  <c r="AA195" i="1"/>
  <c r="Z195" i="1"/>
  <c r="Y195" i="1"/>
  <c r="X195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F201" i="1" s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Y198" i="1"/>
  <c r="X198" i="1"/>
  <c r="AB197" i="1"/>
  <c r="AA197" i="1"/>
  <c r="Z197" i="1"/>
  <c r="X197" i="1"/>
  <c r="AB196" i="1"/>
  <c r="AA196" i="1"/>
  <c r="Z196" i="1"/>
  <c r="Y196" i="1"/>
  <c r="X196" i="1"/>
  <c r="AB194" i="1"/>
  <c r="AA194" i="1"/>
  <c r="Z194" i="1"/>
  <c r="Y194" i="1"/>
  <c r="X194" i="1"/>
  <c r="AB193" i="1"/>
  <c r="AA193" i="1"/>
  <c r="Z193" i="1"/>
  <c r="Y193" i="1"/>
  <c r="X193" i="1"/>
  <c r="AB192" i="1"/>
  <c r="AA192" i="1"/>
  <c r="Z192" i="1"/>
  <c r="Y192" i="1"/>
  <c r="X192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X180" i="1"/>
  <c r="AB179" i="1"/>
  <c r="AA179" i="1"/>
  <c r="Z179" i="1"/>
  <c r="Y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202" i="1"/>
  <c r="AA202" i="1"/>
  <c r="Z202" i="1"/>
  <c r="Y202" i="1"/>
  <c r="X202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1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0" i="1"/>
  <c r="F178" i="1"/>
  <c r="F176" i="1"/>
  <c r="F175" i="1"/>
  <c r="P168" i="1"/>
  <c r="P195" i="1"/>
  <c r="P184" i="1"/>
  <c r="P48" i="1"/>
  <c r="F250" i="1"/>
  <c r="F99" i="1"/>
  <c r="F100" i="1"/>
  <c r="F97" i="1"/>
  <c r="F80" i="1"/>
  <c r="F94" i="1"/>
  <c r="F92" i="1"/>
  <c r="F104" i="1"/>
  <c r="B18" i="2"/>
  <c r="B8" i="2" s="1"/>
  <c r="F195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2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0" i="1"/>
  <c r="F198" i="1"/>
  <c r="F196" i="1"/>
  <c r="F193" i="1"/>
  <c r="F190" i="1"/>
  <c r="F174" i="1"/>
  <c r="F202" i="1"/>
  <c r="F188" i="1"/>
  <c r="F186" i="1"/>
  <c r="F184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8" i="1"/>
  <c r="P179" i="1"/>
  <c r="P183" i="1"/>
  <c r="P186" i="1"/>
  <c r="P187" i="1"/>
  <c r="P192" i="1"/>
  <c r="P196" i="1"/>
  <c r="P197" i="1"/>
  <c r="P200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6" i="1"/>
  <c r="P177" i="1"/>
  <c r="P180" i="1"/>
  <c r="P181" i="1"/>
  <c r="P185" i="1"/>
  <c r="P188" i="1"/>
  <c r="P193" i="1"/>
  <c r="P194" i="1"/>
  <c r="P198" i="1"/>
  <c r="P199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7" i="1"/>
  <c r="F179" i="1"/>
  <c r="F181" i="1"/>
  <c r="F183" i="1"/>
  <c r="F185" i="1"/>
  <c r="F187" i="1"/>
  <c r="F189" i="1"/>
  <c r="F192" i="1"/>
  <c r="F194" i="1"/>
  <c r="F197" i="1"/>
  <c r="F199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<sst xmlns="http://schemas.openxmlformats.org/spreadsheetml/2006/main" count="1665" uniqueCount="347">
  <si>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</si>
  <si>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</si>
  <si>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</si>
  <si>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</si>
  <si>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</si>
  <si>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</si>
  <si>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</si>
  <si>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</si>
  <si>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</si>
  <si>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</si>
  <si>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</si>
  <si>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</si>
  <si>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</si>
  <si>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</si>
  <si>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</si>
  <si>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</si>
  <si>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</si>
  <si>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</si>
  <si>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</si>
  <si>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</si>
  <si>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</si>
  <si>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</si>
  <si>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</si>
  <si>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</si>
  <si>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</si>
  <si>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</si>
  <si>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</si>
  <si>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</si>
  <si>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</si>
  <si>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</si>
  <si>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</si>
  <si>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</si>
  <si>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</si>
  <si>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</si>
  <si>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</si>
  <si>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</si>
  <si>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</si>
  <si>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</si>
  <si>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</si>
  <si>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</si>
  <si>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</si>
  <si>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</si>
  <si>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</si>
  <si>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</si>
  <si>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</si>
  <si>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</si>
  <si>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</si>
  <si>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</si>
  <si>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</si>
  <si>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</si>
  <si>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</si>
  <si>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</si>
  <si>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</si>
  <si>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</si>
  <si>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</si>
  <si>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</si>
  <si>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</si>
  <si>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</si>
  <si>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</si>
  <si>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</si>
  <si>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</si>
  <si>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</si>
  <si>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</si>
  <si>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</si>
  <si>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</si>
  <si>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</si>
  <si>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</si>
  <si>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</si>
  <si>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</si>
  <si>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</si>
  <si>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</si>
  <si>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</si>
  <si>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</si>
  <si>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</si>
  <si>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</si>
  <si>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</si>
  <si>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</si>
  <si>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</si>
  <si>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</si>
  <si>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</si>
  <si>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</si>
  <si>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</si>
  <si>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</si>
  <si>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</si>
  <si>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</si>
  <si>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</si>
  <si>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</si>
  <si>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</si>
  <si>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</si>
  <si>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</si>
  <si>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</si>
  <si>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</si>
  <si>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</si>
  <si>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</si>
  <si>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</si>
  <si>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</si>
  <si>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</si>
  <si>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</si>
  <si>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</si>
  <si>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</si>
  <si>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</si>
  <si>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</si>
  <si>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</si>
  <si>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</si>
  <si>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</si>
  <si>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</si>
  <si>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</si>
  <si>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</si>
  <si>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</si>
  <si>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</si>
  <si>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</si>
  <si>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</si>
  <si>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</si>
  <si>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</si>
  <si>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</si>
  <si>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</si>
  <si>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</si>
  <si>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</si>
  <si>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</si>
  <si>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</si>
  <si>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</si>
  <si>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</si>
  <si>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</si>
  <si>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</si>
  <si>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</si>
  <si>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</si>
  <si>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</si>
  <si>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</si>
  <si>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</si>
  <si>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</si>
  <si>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</si>
  <si>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</si>
  <si>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</si>
  <si>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</si>
  <si>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</si>
  <si>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</si>
  <si>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</si>
  <si>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</si>
  <si>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</si>
  <si>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</si>
  <si>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</si>
  <si>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</si>
  <si>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</si>
  <si>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</si>
  <si>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</si>
  <si>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</si>
  <si>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</si>
  <si>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</si>
  <si>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</si>
  <si>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</si>
  <si>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</si>
  <si>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</si>
  <si>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</si>
  <si>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</si>
  <si>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</si>
  <si>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</si>
  <si>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</si>
  <si>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</si>
  <si>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</si>
  <si>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</si>
  <si>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</si>
  <si>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</si>
  <si>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</si>
  <si>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</si>
  <si>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</si>
  <si>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</si>
  <si>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</si>
  <si>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</si>
  <si>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</si>
  <si>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</si>
  <si>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</si>
  <si>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</si>
  <si>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</si>
  <si>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</si>
  <si>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</si>
  <si>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</si>
  <si>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</si>
  <si>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</si>
  <si>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</si>
  <si>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</si>
  <si>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</si>
  <si>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</si>
  <si>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</si>
  <si>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</si>
  <si>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</si>
  <si>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</si>
  <si>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</si>
  <si>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</si>
  <si>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</si>
  <si>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</si>
  <si>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</si>
  <si>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</si>
  <si>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</si>
  <si>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</si>
  <si>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</si>
  <si>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</si>
  <si>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</si>
  <si>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</si>
  <si>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</si>
  <si>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</si>
  <si>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</si>
  <si>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</si>
  <si>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</si>
  <si>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</si>
  <si>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</si>
  <si>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</si>
  <si>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</si>
  <si>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</si>
  <si>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</si>
  <si>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</si>
  <si>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</si>
  <si>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</si>
  <si>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</si>
  <si>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</si>
  <si>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</si>
  <si>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</si>
  <si>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</si>
  <si>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</si>
  <si>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</si>
  <si>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</si>
  <si>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</si>
  <si>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</si>
  <si>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</si>
  <si>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</si>
  <si>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</si>
  <si>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</si>
  <si>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</si>
  <si>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</si>
  <si>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</si>
  <si>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</si>
  <si>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</si>
  <si>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</si>
  <si>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</si>
  <si>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</si>
  <si>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</si>
  <si>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</si>
  <si>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</si>
  <si>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</si>
  <si>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</si>
  <si>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</si>
  <si>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</si>
  <si>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</si>
  <si>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</si>
  <si>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</si>
  <si>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</si>
  <si>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</si>
  <si>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</si>
  <si>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</si>
  <si>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</si>
  <si>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</si>
  <si>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</si>
  <si>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</si>
  <si>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</si>
  <si>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</si>
  <si>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</si>
  <si>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</si>
  <si>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</si>
  <si>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</si>
  <si>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</si>
  <si>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</si>
  <si>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</si>
  <si>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</si>
  <si>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</si>
  <si>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</si>
  <si>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</si>
  <si>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</si>
  <si>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</si>
  <si>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</si>
  <si>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</si>
  <si>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</si>
  <si>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</si>
  <si>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</si>
  <si>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</si>
  <si>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</si>
  <si>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</si>
  <si>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</si>
  <si>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</si>
  <si>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</si>
  <si>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</si>
  <si>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</si>
  <si>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</si>
  <si>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</si>
  <si>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</si>
  <si>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</si>
  <si>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</si>
  <si>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</si>
  <si>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</si>
  <si>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</si>
  <si>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</si>
  <si>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</si>
  <si>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</si>
  <si>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</si>
  <si>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</si>
  <si>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</si>
  <si>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</si>
  <si>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</si>
  <si>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</si>
  <si>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</si>
  <si>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</si>
  <si>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</si>
  <si>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</si>
  <si>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</si>
  <si>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</si>
  <si>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</si>
  <si>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</si>
  <si>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</si>
  <si>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</si>
  <si>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</si>
  <si>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</si>
  <si>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</si>
  <si>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</si>
  <si>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</si>
  <si>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</si>
  <si>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</si>
  <si>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</si>
  <si>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</si>
  <si>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</si>
  <si>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</si>
  <si>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</si>
  <si>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</si>
  <si>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</si>
  <si>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</si>
  <si>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</si>
  <si>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</si>
  <si>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</si>
  <si>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</si>
  <si>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</si>
  <si>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</si>
  <si>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</si>
  <si>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</si>
  <si>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</si>
  <si>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</si>
  <si>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</si>
  <si>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</si>
  <si>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</si>
  <si>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</si>
  <si>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</si>
  <si>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</si>
  <si>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</si>
  <si>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</si>
  <si>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Zenith Balanced Strategy Fund</t>
  </si>
  <si>
    <t>NAV, Unit Price and Yield as at Week Ended June 11, 2026</t>
  </si>
  <si>
    <t>Week Ended June 11, 2026</t>
  </si>
  <si>
    <t>WEEKLY VALUATION REPORT OF COLLECTIVE INVESTMENT SCHEMES AS AT WEEK ENDED FRIDAY, JUNE 19, 2026</t>
  </si>
  <si>
    <t>NAV, Unit Price and Yield as at Week Ended June 19, 2026</t>
  </si>
  <si>
    <t>NFEM RATE NG₦/US$ as at 19th June, 2026 = N1370.4556</t>
  </si>
  <si>
    <t>Week Ended 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</si>
</sst>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4" fontId="20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47" fillId="2" borderId="0" xfId="0" applyNumberFormat="1" applyFont="1" applyFill="1"/>
    <xf numFmtId="0" fontId="46" fillId="0" borderId="0" xfId="0" applyFont="1" applyAlignment="1">
      <alignment horizontal="right"/>
    </xf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48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0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20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2" fillId="0" borderId="0" xfId="0" applyFont="1"/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9" fontId="0" fillId="0" borderId="0" xfId="2" applyFont="1"/>
    <xf numFmtId="0" fontId="0" fillId="0" borderId="3" xfId="0" applyBorder="1"/>
    <xf numFmtId="10" fontId="0" fillId="0" borderId="3" xfId="2" applyNumberFormat="1" applyFont="1" applyBorder="1"/>
    <xf numFmtId="4" fontId="6" fillId="2" borderId="0" xfId="0" applyNumberFormat="1" applyFont="1" applyFill="1"/>
    <xf numFmtId="0" fontId="52" fillId="2" borderId="0" xfId="0" applyFont="1" applyFill="1" applyAlignment="1">
      <alignment horizontal="right"/>
    </xf>
    <xf numFmtId="16" fontId="46" fillId="2" borderId="0" xfId="0" applyNumberFormat="1" applyFont="1" applyFill="1"/>
    <xf numFmtId="0" fontId="11" fillId="2" borderId="0" xfId="0" applyFont="1" applyFill="1"/>
    <xf numFmtId="0" fontId="46" fillId="2" borderId="0" xfId="0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53" fillId="2" borderId="0" xfId="0" applyFont="1" applyFill="1" applyAlignment="1">
      <alignment horizontal="right"/>
    </xf>
    <xf numFmtId="16" fontId="53" fillId="2" borderId="0" xfId="0" applyNumberFormat="1" applyFont="1" applyFill="1" applyAlignment="1">
      <alignment horizontal="center" wrapText="1"/>
    </xf>
    <xf numFmtId="0" fontId="54" fillId="2" borderId="0" xfId="0" applyFont="1" applyFill="1"/>
    <xf numFmtId="0" fontId="53" fillId="2" borderId="0" xfId="0" applyFont="1" applyFill="1" applyAlignment="1">
      <alignment horizontal="right" wrapText="1"/>
    </xf>
    <xf numFmtId="4" fontId="55" fillId="2" borderId="0" xfId="0" applyNumberFormat="1" applyFont="1" applyFill="1"/>
    <xf numFmtId="4" fontId="55" fillId="2" borderId="0" xfId="0" applyNumberFormat="1" applyFont="1" applyFill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6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7" fillId="0" borderId="0" xfId="0" applyFont="1"/>
    <xf numFmtId="0" fontId="51" fillId="0" borderId="0" xfId="0" applyFont="1"/>
    <xf numFmtId="16" fontId="58" fillId="2" borderId="0" xfId="0" applyNumberFormat="1" applyFont="1" applyFill="1"/>
    <xf numFmtId="164" fontId="59" fillId="0" borderId="0" xfId="1" applyFont="1"/>
    <xf numFmtId="43" fontId="59" fillId="0" borderId="0" xfId="0" applyNumberFormat="1" applyFont="1"/>
    <xf numFmtId="4" fontId="5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" fontId="20" fillId="2" borderId="3" xfId="44" applyNumberFormat="1" applyFont="1" applyFill="1" applyBorder="1" applyAlignment="1">
      <alignment wrapText="1"/>
    </xf>
    <xf numFmtId="0" fontId="20" fillId="2" borderId="0" xfId="0" applyFont="1" applyFill="1" applyAlignment="1">
      <alignment horizontal="center"/>
    </xf>
    <xf numFmtId="49" fontId="20" fillId="2" borderId="3" xfId="0" applyNumberFormat="1" applyFont="1" applyFill="1" applyBorder="1" applyAlignment="1">
      <alignment wrapText="1"/>
    </xf>
    <xf numFmtId="4" fontId="20" fillId="0" borderId="3" xfId="0" applyNumberFormat="1" applyFont="1" applyBorder="1" applyAlignment="1">
      <alignment wrapText="1"/>
    </xf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9" fillId="8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27" fillId="13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11,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256.76497819762449</c:v>
                </c:pt>
                <c:pt idx="1">
                  <c:v>5945.1952461204701</c:v>
                </c:pt>
                <c:pt idx="2">
                  <c:v>236.91658662281196</c:v>
                </c:pt>
                <c:pt idx="3">
                  <c:v>1830.6315702078184</c:v>
                </c:pt>
                <c:pt idx="4">
                  <c:v>509.81011898262</c:v>
                </c:pt>
                <c:pt idx="5" formatCode="_-* #,##0.00_-;\-* #,##0.00_-;_-* &quot;-&quot;??_-;_-@_-">
                  <c:v>157.28334804730002</c:v>
                </c:pt>
                <c:pt idx="6">
                  <c:v>21.26868564347</c:v>
                </c:pt>
                <c:pt idx="7">
                  <c:v>143.66365630506002</c:v>
                </c:pt>
                <c:pt idx="8">
                  <c:v>30.947010318115275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19,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242.1867003526647</c:v>
                </c:pt>
                <c:pt idx="1">
                  <c:v>5946.3401100634301</c:v>
                </c:pt>
                <c:pt idx="2">
                  <c:v>237.21137482086002</c:v>
                </c:pt>
                <c:pt idx="3">
                  <c:v>1831.5436221925052</c:v>
                </c:pt>
                <c:pt idx="4">
                  <c:v>509.10540421805001</c:v>
                </c:pt>
                <c:pt idx="5" formatCode="_-* #,##0.00_-;\-* #,##0.00_-;_-* &quot;-&quot;??_-;_-@_-">
                  <c:v>153.78708592789999</c:v>
                </c:pt>
                <c:pt idx="6">
                  <c:v>19.841788312089999</c:v>
                </c:pt>
                <c:pt idx="7">
                  <c:v>141.49567338396002</c:v>
                </c:pt>
                <c:pt idx="8">
                  <c:v>31.106262396983276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JUNE,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19841788312.09</c:v>
                </c:pt>
                <c:pt idx="1">
                  <c:v>31106262396.983276</c:v>
                </c:pt>
                <c:pt idx="2">
                  <c:v>141495673383.96002</c:v>
                </c:pt>
                <c:pt idx="3" formatCode="_-* #,##0.00_-;\-* #,##0.00_-;_-* &quot;-&quot;??_-;_-@_-">
                  <c:v>153787085927.89999</c:v>
                </c:pt>
                <c:pt idx="4">
                  <c:v>242186700352.6647</c:v>
                </c:pt>
                <c:pt idx="5">
                  <c:v>237211374820.86002</c:v>
                </c:pt>
                <c:pt idx="6">
                  <c:v>509105404218.04999</c:v>
                </c:pt>
                <c:pt idx="7">
                  <c:v>1831543622192.5051</c:v>
                </c:pt>
                <c:pt idx="8">
                  <c:v>5946340110063.4297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46142</c:v>
                </c:pt>
                <c:pt idx="1">
                  <c:v>46150</c:v>
                </c:pt>
                <c:pt idx="2">
                  <c:v>46157</c:v>
                </c:pt>
                <c:pt idx="3">
                  <c:v>46164</c:v>
                </c:pt>
                <c:pt idx="4">
                  <c:v>46171</c:v>
                </c:pt>
                <c:pt idx="5">
                  <c:v>46178</c:v>
                </c:pt>
                <c:pt idx="6">
                  <c:v>46184</c:v>
                </c:pt>
                <c:pt idx="7">
                  <c:v>46192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8856.6861092070776</c:v>
                </c:pt>
                <c:pt idx="1">
                  <c:v>8864.3846705940268</c:v>
                </c:pt>
                <c:pt idx="2">
                  <c:v>8907.3133261368821</c:v>
                </c:pt>
                <c:pt idx="3">
                  <c:v>8965.7623097914948</c:v>
                </c:pt>
                <c:pt idx="4">
                  <c:v>9018.1202536705168</c:v>
                </c:pt>
                <c:pt idx="5">
                  <c:v>9065.8177533026028</c:v>
                </c:pt>
                <c:pt idx="6">
                  <c:v>9132.4812004452906</c:v>
                </c:pt>
                <c:pt idx="7">
                  <c:v>9112.6180216684425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46142</c:v>
                </c:pt>
                <c:pt idx="1">
                  <c:v>46150</c:v>
                </c:pt>
                <c:pt idx="2">
                  <c:v>46157</c:v>
                </c:pt>
                <c:pt idx="3">
                  <c:v>46164</c:v>
                </c:pt>
                <c:pt idx="4">
                  <c:v>46171</c:v>
                </c:pt>
                <c:pt idx="5">
                  <c:v>46178</c:v>
                </c:pt>
                <c:pt idx="6">
                  <c:v>46184</c:v>
                </c:pt>
                <c:pt idx="7">
                  <c:v>46192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30.630921333499995</c:v>
                </c:pt>
                <c:pt idx="1">
                  <c:v>30.807819494499999</c:v>
                </c:pt>
                <c:pt idx="2">
                  <c:v>31.798755539750001</c:v>
                </c:pt>
                <c:pt idx="3">
                  <c:v>31.648596766119997</c:v>
                </c:pt>
                <c:pt idx="4">
                  <c:v>31.957060014499998</c:v>
                </c:pt>
                <c:pt idx="5">
                  <c:v>31.023458333940003</c:v>
                </c:pt>
                <c:pt idx="6">
                  <c:v>31.276624002919995</c:v>
                </c:pt>
                <c:pt idx="7">
                  <c:v>30.175205285199997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0.109375" customWidth="1"/>
    <col min="3" max="3" width="30.4414062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1" t="s">
        <v>343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</row>
    <row r="2" spans="1:32" ht="14.4" customHeight="1">
      <c r="A2" s="56"/>
      <c r="B2" s="57"/>
      <c r="C2" s="58"/>
      <c r="D2" s="212" t="s">
        <v>341</v>
      </c>
      <c r="E2" s="213"/>
      <c r="F2" s="213"/>
      <c r="G2" s="213"/>
      <c r="H2" s="213"/>
      <c r="I2" s="213"/>
      <c r="J2" s="213"/>
      <c r="K2" s="213"/>
      <c r="L2" s="213"/>
      <c r="M2" s="214"/>
      <c r="N2" s="212" t="s">
        <v>344</v>
      </c>
      <c r="O2" s="213"/>
      <c r="P2" s="213"/>
      <c r="Q2" s="213"/>
      <c r="R2" s="213"/>
      <c r="S2" s="213"/>
      <c r="T2" s="213"/>
      <c r="U2" s="213"/>
      <c r="V2" s="213"/>
      <c r="W2" s="214"/>
      <c r="X2" s="215" t="s">
        <v>0</v>
      </c>
      <c r="Y2" s="215"/>
      <c r="Z2" s="215"/>
      <c r="AA2" s="215" t="s">
        <v>1</v>
      </c>
      <c r="AB2" s="215"/>
    </row>
    <row r="3" spans="1:32" ht="20.399999999999999">
      <c r="A3" s="155" t="s">
        <v>2</v>
      </c>
      <c r="B3" s="155" t="s">
        <v>3</v>
      </c>
      <c r="C3" s="156" t="s">
        <v>4</v>
      </c>
      <c r="D3" s="157" t="s">
        <v>328</v>
      </c>
      <c r="E3" s="157" t="s">
        <v>5</v>
      </c>
      <c r="F3" s="158" t="s">
        <v>6</v>
      </c>
      <c r="G3" s="158" t="s">
        <v>330</v>
      </c>
      <c r="H3" s="158" t="s">
        <v>11</v>
      </c>
      <c r="I3" s="158" t="s">
        <v>331</v>
      </c>
      <c r="J3" s="158" t="s">
        <v>7</v>
      </c>
      <c r="K3" s="158" t="s">
        <v>8</v>
      </c>
      <c r="L3" s="158" t="s">
        <v>9</v>
      </c>
      <c r="M3" s="158" t="s">
        <v>10</v>
      </c>
      <c r="N3" s="157" t="s">
        <v>328</v>
      </c>
      <c r="O3" s="159" t="s">
        <v>5</v>
      </c>
      <c r="P3" s="158" t="s">
        <v>6</v>
      </c>
      <c r="Q3" s="158" t="s">
        <v>330</v>
      </c>
      <c r="R3" s="158" t="s">
        <v>11</v>
      </c>
      <c r="S3" s="158" t="s">
        <v>331</v>
      </c>
      <c r="T3" s="158" t="s">
        <v>7</v>
      </c>
      <c r="U3" s="158" t="s">
        <v>8</v>
      </c>
      <c r="V3" s="158" t="s">
        <v>9</v>
      </c>
      <c r="W3" s="158" t="s">
        <v>10</v>
      </c>
      <c r="X3" s="157" t="s">
        <v>12</v>
      </c>
      <c r="Y3" s="158" t="s">
        <v>13</v>
      </c>
      <c r="Z3" s="158" t="s">
        <v>14</v>
      </c>
      <c r="AA3" s="158" t="s">
        <v>15</v>
      </c>
      <c r="AB3" s="158" t="s">
        <v>16</v>
      </c>
      <c r="AD3" s="52"/>
      <c r="AF3" s="50"/>
    </row>
    <row r="4" spans="1:32" ht="5.55" customHeight="1"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32" ht="15" customHeight="1">
      <c r="A5" s="166"/>
      <c r="B5" s="217" t="s">
        <v>17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32">
      <c r="A6" s="206">
        <v>1</v>
      </c>
      <c r="B6" s="59" t="s">
        <v>18</v>
      </c>
      <c r="C6" s="60" t="s">
        <v>19</v>
      </c>
      <c r="D6" s="146" t="s">
        <v>329</v>
      </c>
      <c r="E6" s="61">
        <v>14056427846.780001</v>
      </c>
      <c r="F6" s="62">
        <f t="shared" ref="F6:F25" si="0">(E6/$E$26)</f>
        <v>5.4744334470572455E-2</v>
      </c>
      <c r="G6" s="146" t="s">
        <v>329</v>
      </c>
      <c r="H6" s="61">
        <v>904.54759999999999</v>
      </c>
      <c r="I6" s="146" t="s">
        <v>329</v>
      </c>
      <c r="J6" s="61">
        <v>912.39509999999996</v>
      </c>
      <c r="K6" s="63">
        <v>1705</v>
      </c>
      <c r="L6" s="64">
        <v>-6.6E-3</v>
      </c>
      <c r="M6" s="64">
        <v>0.46139999999999998</v>
      </c>
      <c r="N6" s="146" t="s">
        <v>329</v>
      </c>
      <c r="O6" s="61">
        <v>13052180273.879999</v>
      </c>
      <c r="P6" s="62">
        <f t="shared" ref="P6:P25" si="1">(O6/$O$26)</f>
        <v>5.3893051331364697E-2</v>
      </c>
      <c r="Q6" s="146" t="s">
        <v>329</v>
      </c>
      <c r="R6" s="61">
        <v>869.11300000000006</v>
      </c>
      <c r="S6" s="146" t="s">
        <v>329</v>
      </c>
      <c r="T6" s="61">
        <v>877.52670000000001</v>
      </c>
      <c r="U6" s="63">
        <v>1705</v>
      </c>
      <c r="V6" s="64">
        <v>-3.9199999999999999E-2</v>
      </c>
      <c r="W6" s="64">
        <v>0.4042</v>
      </c>
      <c r="X6" s="160">
        <f>((O6-E6)/E6)</f>
        <v>-7.1444010088953805E-2</v>
      </c>
      <c r="Y6" s="160">
        <f>((T6-J6)/J6)</f>
        <v>-3.8216338513874036E-2</v>
      </c>
      <c r="Z6" s="160">
        <f>((U6-K6)/K6)</f>
        <v>0</v>
      </c>
      <c r="AA6" s="160">
        <f>V6-L6</f>
        <v>-3.2599999999999997E-2</v>
      </c>
      <c r="AB6" s="161">
        <f>W6-M6</f>
        <v>-5.7199999999999973E-2</v>
      </c>
      <c r="AC6" s="45"/>
    </row>
    <row r="7" spans="1:32" ht="13.2" customHeight="1">
      <c r="A7" s="206">
        <v>2</v>
      </c>
      <c r="B7" s="59" t="s">
        <v>20</v>
      </c>
      <c r="C7" s="60" t="s">
        <v>21</v>
      </c>
      <c r="D7" s="146" t="s">
        <v>329</v>
      </c>
      <c r="E7" s="65">
        <v>2548182952.25</v>
      </c>
      <c r="F7" s="66">
        <f t="shared" si="0"/>
        <v>9.924184248712992E-3</v>
      </c>
      <c r="G7" s="146" t="s">
        <v>329</v>
      </c>
      <c r="H7" s="65">
        <v>616.19259999999997</v>
      </c>
      <c r="I7" s="146" t="s">
        <v>329</v>
      </c>
      <c r="J7" s="65">
        <v>624.58090000000004</v>
      </c>
      <c r="K7" s="67">
        <v>830</v>
      </c>
      <c r="L7" s="68">
        <v>9.4289999999999999E-3</v>
      </c>
      <c r="M7" s="68">
        <v>0.50419999999999998</v>
      </c>
      <c r="N7" s="146" t="s">
        <v>329</v>
      </c>
      <c r="O7" s="65">
        <v>2354767611.8299999</v>
      </c>
      <c r="P7" s="66">
        <f t="shared" si="1"/>
        <v>9.7229435324114044E-3</v>
      </c>
      <c r="Q7" s="146" t="s">
        <v>329</v>
      </c>
      <c r="R7" s="65">
        <v>588.23500000000001</v>
      </c>
      <c r="S7" s="146" t="s">
        <v>329</v>
      </c>
      <c r="T7" s="65">
        <v>596.18380000000002</v>
      </c>
      <c r="U7" s="67">
        <v>843</v>
      </c>
      <c r="V7" s="68">
        <v>-8.7790000000000003E-3</v>
      </c>
      <c r="W7" s="68">
        <v>0.43590000000000001</v>
      </c>
      <c r="X7" s="162">
        <f t="shared" ref="X7:X26" si="2">((O7-E7)/E7)</f>
        <v>-7.5903239305960268E-2</v>
      </c>
      <c r="Y7" s="162">
        <f t="shared" ref="Y7:Y26" si="3">((T7-J7)/J7)</f>
        <v>-4.5465847578752445E-2</v>
      </c>
      <c r="Z7" s="162">
        <f t="shared" ref="Z7:Z26" si="4">((U7-K7)/K7)</f>
        <v>1.566265060240964E-2</v>
      </c>
      <c r="AA7" s="160">
        <f t="shared" ref="AA7:AA26" si="5">V7-L7</f>
        <v>-1.8208000000000002E-2</v>
      </c>
      <c r="AB7" s="161">
        <f t="shared" ref="AB7:AB26" si="6">W7-M7</f>
        <v>-6.8299999999999972E-2</v>
      </c>
      <c r="AC7" s="53"/>
      <c r="AD7" s="50"/>
      <c r="AE7" s="50"/>
    </row>
    <row r="8" spans="1:32">
      <c r="A8" s="206">
        <v>3</v>
      </c>
      <c r="B8" s="59" t="s">
        <v>22</v>
      </c>
      <c r="C8" s="60" t="s">
        <v>23</v>
      </c>
      <c r="D8" s="146" t="s">
        <v>329</v>
      </c>
      <c r="E8" s="65">
        <v>20538053597.400002</v>
      </c>
      <c r="F8" s="66">
        <f t="shared" si="0"/>
        <v>7.9987752775195306E-2</v>
      </c>
      <c r="G8" s="146" t="s">
        <v>329</v>
      </c>
      <c r="H8" s="65">
        <v>76.349400000000003</v>
      </c>
      <c r="I8" s="146" t="s">
        <v>329</v>
      </c>
      <c r="J8" s="69">
        <v>78.627643919999997</v>
      </c>
      <c r="K8" s="63">
        <v>12324</v>
      </c>
      <c r="L8" s="64">
        <v>-3.3099999999999997E-2</v>
      </c>
      <c r="M8" s="64">
        <v>0.44109999999999999</v>
      </c>
      <c r="N8" s="146" t="s">
        <v>329</v>
      </c>
      <c r="O8" s="65">
        <v>19592085692.290001</v>
      </c>
      <c r="P8" s="66">
        <f t="shared" si="1"/>
        <v>8.0896620928236851E-2</v>
      </c>
      <c r="Q8" s="146" t="s">
        <v>329</v>
      </c>
      <c r="R8" s="65">
        <v>73.775800000000004</v>
      </c>
      <c r="S8" s="146" t="s">
        <v>329</v>
      </c>
      <c r="T8" s="69">
        <v>75.976443919999994</v>
      </c>
      <c r="U8" s="63">
        <v>12374</v>
      </c>
      <c r="V8" s="64">
        <v>-3.3700000000000001E-2</v>
      </c>
      <c r="W8" s="64">
        <v>0.39250000000000002</v>
      </c>
      <c r="X8" s="162">
        <f t="shared" si="2"/>
        <v>-4.605927726421722E-2</v>
      </c>
      <c r="Y8" s="162">
        <f t="shared" si="3"/>
        <v>-3.3718421000856605E-2</v>
      </c>
      <c r="Z8" s="162">
        <f t="shared" si="4"/>
        <v>4.0571243102888671E-3</v>
      </c>
      <c r="AA8" s="160">
        <f t="shared" si="5"/>
        <v>-6.0000000000000331E-4</v>
      </c>
      <c r="AB8" s="161">
        <f t="shared" si="6"/>
        <v>-4.8599999999999977E-2</v>
      </c>
      <c r="AC8" s="41"/>
      <c r="AD8" s="49"/>
      <c r="AE8" s="22"/>
      <c r="AF8" s="51"/>
    </row>
    <row r="9" spans="1:32" ht="15.6" customHeight="1">
      <c r="A9" s="206">
        <v>4</v>
      </c>
      <c r="B9" s="59" t="s">
        <v>24</v>
      </c>
      <c r="C9" s="60" t="s">
        <v>25</v>
      </c>
      <c r="D9" s="146" t="s">
        <v>329</v>
      </c>
      <c r="E9" s="65">
        <v>3307242955.8000002</v>
      </c>
      <c r="F9" s="66">
        <f t="shared" si="0"/>
        <v>1.2880428549934531E-2</v>
      </c>
      <c r="G9" s="146" t="s">
        <v>329</v>
      </c>
      <c r="H9" s="65">
        <v>374.05309999999997</v>
      </c>
      <c r="I9" s="146" t="s">
        <v>329</v>
      </c>
      <c r="J9" s="65">
        <v>374.05309999999997</v>
      </c>
      <c r="K9" s="67">
        <v>2701</v>
      </c>
      <c r="L9" s="68">
        <v>2.5999999999999999E-3</v>
      </c>
      <c r="M9" s="68">
        <v>0.49469999999999997</v>
      </c>
      <c r="N9" s="146" t="s">
        <v>329</v>
      </c>
      <c r="O9" s="65">
        <v>3208176777.2399998</v>
      </c>
      <c r="P9" s="66">
        <f t="shared" si="1"/>
        <v>1.3246709140379521E-2</v>
      </c>
      <c r="Q9" s="146" t="s">
        <v>329</v>
      </c>
      <c r="R9" s="65">
        <v>364.13709999999998</v>
      </c>
      <c r="S9" s="146" t="s">
        <v>329</v>
      </c>
      <c r="T9" s="65">
        <v>364.13709999999998</v>
      </c>
      <c r="U9" s="67">
        <v>2713</v>
      </c>
      <c r="V9" s="68">
        <v>-2.6499999999999999E-2</v>
      </c>
      <c r="W9" s="68">
        <v>0.45500000000000002</v>
      </c>
      <c r="X9" s="162">
        <f t="shared" si="2"/>
        <v>-2.9954309339828036E-2</v>
      </c>
      <c r="Y9" s="162">
        <f t="shared" si="3"/>
        <v>-2.6509605187071027E-2</v>
      </c>
      <c r="Z9" s="162">
        <f t="shared" si="4"/>
        <v>4.4427989633469087E-3</v>
      </c>
      <c r="AA9" s="160">
        <f t="shared" si="5"/>
        <v>-2.9100000000000001E-2</v>
      </c>
      <c r="AB9" s="161">
        <f t="shared" si="6"/>
        <v>-3.9699999999999958E-2</v>
      </c>
      <c r="AD9" s="41"/>
    </row>
    <row r="10" spans="1:32">
      <c r="A10" s="206">
        <v>5</v>
      </c>
      <c r="B10" s="59" t="s">
        <v>26</v>
      </c>
      <c r="C10" s="60" t="s">
        <v>27</v>
      </c>
      <c r="D10" s="146" t="s">
        <v>329</v>
      </c>
      <c r="E10" s="65">
        <v>12610519052.059999</v>
      </c>
      <c r="F10" s="66">
        <f t="shared" si="0"/>
        <v>4.9113080532166856E-2</v>
      </c>
      <c r="G10" s="146" t="s">
        <v>329</v>
      </c>
      <c r="H10" s="65">
        <v>2.9327999999999999</v>
      </c>
      <c r="I10" s="146" t="s">
        <v>329</v>
      </c>
      <c r="J10" s="65">
        <v>2.9681000000000002</v>
      </c>
      <c r="K10" s="67">
        <v>2765</v>
      </c>
      <c r="L10" s="68">
        <v>8.0999999999999996E-3</v>
      </c>
      <c r="M10" s="68">
        <v>0.58509999999999995</v>
      </c>
      <c r="N10" s="146" t="s">
        <v>329</v>
      </c>
      <c r="O10" s="65">
        <v>12483307289.76</v>
      </c>
      <c r="P10" s="66">
        <f t="shared" si="1"/>
        <v>5.1544148673656309E-2</v>
      </c>
      <c r="Q10" s="146" t="s">
        <v>329</v>
      </c>
      <c r="R10" s="65">
        <v>2.8845000000000001</v>
      </c>
      <c r="S10" s="146" t="s">
        <v>329</v>
      </c>
      <c r="T10" s="65">
        <v>2.9186000000000001</v>
      </c>
      <c r="U10" s="67">
        <v>2814</v>
      </c>
      <c r="V10" s="68">
        <v>-1.67E-2</v>
      </c>
      <c r="W10" s="68">
        <v>0.55879999999999996</v>
      </c>
      <c r="X10" s="162">
        <f t="shared" si="2"/>
        <v>-1.0087749899495095E-2</v>
      </c>
      <c r="Y10" s="162">
        <f t="shared" si="3"/>
        <v>-1.6677335669283411E-2</v>
      </c>
      <c r="Z10" s="162">
        <f t="shared" si="4"/>
        <v>1.7721518987341773E-2</v>
      </c>
      <c r="AA10" s="160">
        <f t="shared" si="5"/>
        <v>-2.4799999999999999E-2</v>
      </c>
      <c r="AB10" s="161">
        <f t="shared" si="6"/>
        <v>-2.629999999999999E-2</v>
      </c>
    </row>
    <row r="11" spans="1:32" ht="12.6" customHeight="1">
      <c r="A11" s="206">
        <v>6</v>
      </c>
      <c r="B11" s="59" t="s">
        <v>28</v>
      </c>
      <c r="C11" s="60" t="s">
        <v>29</v>
      </c>
      <c r="D11" s="146" t="s">
        <v>329</v>
      </c>
      <c r="E11" s="70">
        <v>718693826.33000004</v>
      </c>
      <c r="F11" s="66">
        <f t="shared" si="0"/>
        <v>2.7990336975661939E-3</v>
      </c>
      <c r="G11" s="146" t="s">
        <v>329</v>
      </c>
      <c r="H11" s="65">
        <v>338.22890000000001</v>
      </c>
      <c r="I11" s="146" t="s">
        <v>329</v>
      </c>
      <c r="J11" s="65">
        <v>341.03179999999998</v>
      </c>
      <c r="K11" s="63">
        <v>231</v>
      </c>
      <c r="L11" s="64">
        <v>4.2999999999999999E-4</v>
      </c>
      <c r="M11" s="64">
        <v>0.57969999999999999</v>
      </c>
      <c r="N11" s="146" t="s">
        <v>329</v>
      </c>
      <c r="O11" s="70">
        <v>619533345.40999997</v>
      </c>
      <c r="P11" s="66">
        <f t="shared" si="1"/>
        <v>2.5580816143407335E-3</v>
      </c>
      <c r="Q11" s="146" t="s">
        <v>329</v>
      </c>
      <c r="R11" s="65">
        <v>327.82040000000001</v>
      </c>
      <c r="S11" s="146" t="s">
        <v>329</v>
      </c>
      <c r="T11" s="65">
        <v>330.827</v>
      </c>
      <c r="U11" s="63">
        <v>233</v>
      </c>
      <c r="V11" s="64">
        <v>-6.2789999999999999E-3</v>
      </c>
      <c r="W11" s="64">
        <v>0.53110000000000002</v>
      </c>
      <c r="X11" s="162">
        <f t="shared" si="2"/>
        <v>-0.13797319148595125</v>
      </c>
      <c r="Y11" s="162">
        <f t="shared" si="3"/>
        <v>-2.9923309204596106E-2</v>
      </c>
      <c r="Z11" s="162">
        <f t="shared" si="4"/>
        <v>8.658008658008658E-3</v>
      </c>
      <c r="AA11" s="160">
        <f t="shared" si="5"/>
        <v>-6.7089999999999997E-3</v>
      </c>
      <c r="AB11" s="161">
        <f t="shared" si="6"/>
        <v>-4.8599999999999977E-2</v>
      </c>
    </row>
    <row r="12" spans="1:32" ht="12.6" customHeight="1">
      <c r="A12" s="206">
        <v>7</v>
      </c>
      <c r="B12" s="59" t="s">
        <v>318</v>
      </c>
      <c r="C12" s="60" t="s">
        <v>38</v>
      </c>
      <c r="D12" s="146" t="s">
        <v>329</v>
      </c>
      <c r="E12" s="71">
        <v>4261404943.3400002</v>
      </c>
      <c r="F12" s="66">
        <f t="shared" si="0"/>
        <v>1.6596519405618165E-2</v>
      </c>
      <c r="G12" s="146" t="s">
        <v>329</v>
      </c>
      <c r="H12" s="65">
        <v>8.2899999999999991</v>
      </c>
      <c r="I12" s="146" t="s">
        <v>329</v>
      </c>
      <c r="J12" s="65">
        <v>8.2899999999999991</v>
      </c>
      <c r="K12" s="67">
        <v>3823</v>
      </c>
      <c r="L12" s="68">
        <v>-1.3599999999999999E-2</v>
      </c>
      <c r="M12" s="68">
        <v>0.48170000000000002</v>
      </c>
      <c r="N12" s="146" t="s">
        <v>329</v>
      </c>
      <c r="O12" s="71">
        <v>4132918404.0100002</v>
      </c>
      <c r="P12" s="66">
        <f t="shared" si="1"/>
        <v>1.7065009754836966E-2</v>
      </c>
      <c r="Q12" s="146" t="s">
        <v>329</v>
      </c>
      <c r="R12" s="65">
        <v>7.98</v>
      </c>
      <c r="S12" s="146" t="s">
        <v>329</v>
      </c>
      <c r="T12" s="65">
        <v>7.98</v>
      </c>
      <c r="U12" s="67">
        <v>3830</v>
      </c>
      <c r="V12" s="68">
        <v>-5.0500000000000003E-2</v>
      </c>
      <c r="W12" s="68">
        <v>0.42620000000000002</v>
      </c>
      <c r="X12" s="162">
        <f>((O12-E12)/E12)</f>
        <v>-3.0151215629203934E-2</v>
      </c>
      <c r="Y12" s="162">
        <f>((T12-J12)/J12)</f>
        <v>-3.7394451145958837E-2</v>
      </c>
      <c r="Z12" s="162">
        <f>((U12-K12)/K12)</f>
        <v>1.8310227569971226E-3</v>
      </c>
      <c r="AA12" s="160">
        <f>V12-L12</f>
        <v>-3.6900000000000002E-2</v>
      </c>
      <c r="AB12" s="161">
        <f>W12-M12</f>
        <v>-5.5499999999999994E-2</v>
      </c>
    </row>
    <row r="13" spans="1:32">
      <c r="A13" s="206">
        <v>8</v>
      </c>
      <c r="B13" s="59" t="s">
        <v>320</v>
      </c>
      <c r="C13" s="60" t="s">
        <v>79</v>
      </c>
      <c r="D13" s="146" t="s">
        <v>329</v>
      </c>
      <c r="E13" s="70">
        <v>7010845254.1800003</v>
      </c>
      <c r="F13" s="66">
        <f t="shared" si="0"/>
        <v>2.7304523005407526E-2</v>
      </c>
      <c r="G13" s="146" t="s">
        <v>329</v>
      </c>
      <c r="H13" s="65">
        <v>635.12</v>
      </c>
      <c r="I13" s="146" t="s">
        <v>329</v>
      </c>
      <c r="J13" s="65">
        <v>643.66999999999996</v>
      </c>
      <c r="K13" s="63">
        <v>2171</v>
      </c>
      <c r="L13" s="64">
        <v>-1.2999999999999999E-3</v>
      </c>
      <c r="M13" s="64">
        <v>0.40100000000000002</v>
      </c>
      <c r="N13" s="146" t="s">
        <v>329</v>
      </c>
      <c r="O13" s="70">
        <v>6789756424.9499998</v>
      </c>
      <c r="P13" s="66">
        <f t="shared" si="1"/>
        <v>2.803521586884403E-2</v>
      </c>
      <c r="Q13" s="146" t="s">
        <v>329</v>
      </c>
      <c r="R13" s="65">
        <v>611.91</v>
      </c>
      <c r="S13" s="146" t="s">
        <v>329</v>
      </c>
      <c r="T13" s="65">
        <v>620</v>
      </c>
      <c r="U13" s="63">
        <v>2190</v>
      </c>
      <c r="V13" s="64">
        <v>-3.6700000000000003E-2</v>
      </c>
      <c r="W13" s="64">
        <v>0.3498</v>
      </c>
      <c r="X13" s="162">
        <f t="shared" si="2"/>
        <v>-3.1535260188232384E-2</v>
      </c>
      <c r="Y13" s="162">
        <f t="shared" si="3"/>
        <v>-3.6773501949756801E-2</v>
      </c>
      <c r="Z13" s="162">
        <f t="shared" si="4"/>
        <v>8.7517273146015661E-3</v>
      </c>
      <c r="AA13" s="160">
        <f t="shared" si="5"/>
        <v>-3.5400000000000001E-2</v>
      </c>
      <c r="AB13" s="161">
        <f t="shared" si="6"/>
        <v>-5.1200000000000023E-2</v>
      </c>
      <c r="AC13" s="41"/>
      <c r="AD13" s="41"/>
      <c r="AE13" s="121"/>
    </row>
    <row r="14" spans="1:32" ht="14.4" customHeight="1">
      <c r="A14" s="206">
        <v>9</v>
      </c>
      <c r="B14" s="59" t="s">
        <v>30</v>
      </c>
      <c r="C14" s="60" t="s">
        <v>31</v>
      </c>
      <c r="D14" s="146" t="s">
        <v>329</v>
      </c>
      <c r="E14" s="71">
        <v>641647694.60000002</v>
      </c>
      <c r="F14" s="66">
        <f t="shared" si="0"/>
        <v>2.4989688979551662E-3</v>
      </c>
      <c r="G14" s="146" t="s">
        <v>329</v>
      </c>
      <c r="H14" s="65">
        <v>319.12</v>
      </c>
      <c r="I14" s="146" t="s">
        <v>329</v>
      </c>
      <c r="J14" s="65">
        <v>334.12</v>
      </c>
      <c r="K14" s="67">
        <v>2472</v>
      </c>
      <c r="L14" s="68">
        <v>8.5000000000000006E-3</v>
      </c>
      <c r="M14" s="68">
        <v>0.27800000000000002</v>
      </c>
      <c r="N14" s="146" t="s">
        <v>329</v>
      </c>
      <c r="O14" s="71">
        <v>620563023.32000005</v>
      </c>
      <c r="P14" s="66">
        <f t="shared" si="1"/>
        <v>2.562333201684302E-3</v>
      </c>
      <c r="Q14" s="146" t="s">
        <v>329</v>
      </c>
      <c r="R14" s="65">
        <v>309.5</v>
      </c>
      <c r="S14" s="146" t="s">
        <v>329</v>
      </c>
      <c r="T14" s="65">
        <v>323.11</v>
      </c>
      <c r="U14" s="67">
        <v>2472</v>
      </c>
      <c r="V14" s="68">
        <v>-3.0159999999999999E-2</v>
      </c>
      <c r="W14" s="68">
        <v>0.2248</v>
      </c>
      <c r="X14" s="162">
        <f t="shared" si="2"/>
        <v>-3.2860199541656657E-2</v>
      </c>
      <c r="Y14" s="162">
        <f t="shared" si="3"/>
        <v>-3.2952232730755392E-2</v>
      </c>
      <c r="Z14" s="162">
        <f t="shared" si="4"/>
        <v>0</v>
      </c>
      <c r="AA14" s="160">
        <f t="shared" si="5"/>
        <v>-3.866E-2</v>
      </c>
      <c r="AB14" s="161">
        <f t="shared" si="6"/>
        <v>-5.3200000000000025E-2</v>
      </c>
      <c r="AE14" s="121"/>
    </row>
    <row r="15" spans="1:32">
      <c r="A15" s="206">
        <v>10</v>
      </c>
      <c r="B15" s="59" t="s">
        <v>32</v>
      </c>
      <c r="C15" s="60" t="s">
        <v>33</v>
      </c>
      <c r="D15" s="146" t="s">
        <v>329</v>
      </c>
      <c r="E15" s="71">
        <v>173127403.79449999</v>
      </c>
      <c r="F15" s="66">
        <f t="shared" si="0"/>
        <v>6.7426408776530603E-4</v>
      </c>
      <c r="G15" s="146" t="s">
        <v>329</v>
      </c>
      <c r="H15" s="65">
        <v>519.60810000000004</v>
      </c>
      <c r="I15" s="146" t="s">
        <v>329</v>
      </c>
      <c r="J15" s="65">
        <v>534.64070000000004</v>
      </c>
      <c r="K15" s="67">
        <v>56</v>
      </c>
      <c r="L15" s="68">
        <v>-1E-4</v>
      </c>
      <c r="M15" s="68">
        <v>0.63680000000000003</v>
      </c>
      <c r="N15" s="146" t="s">
        <v>329</v>
      </c>
      <c r="O15" s="71">
        <v>167441277.7947</v>
      </c>
      <c r="P15" s="66">
        <f t="shared" si="1"/>
        <v>6.9137272009931697E-4</v>
      </c>
      <c r="Q15" s="146" t="s">
        <v>329</v>
      </c>
      <c r="R15" s="65">
        <v>499.81709999999998</v>
      </c>
      <c r="S15" s="146" t="s">
        <v>329</v>
      </c>
      <c r="T15" s="65">
        <v>514.00310000000002</v>
      </c>
      <c r="U15" s="67">
        <v>56</v>
      </c>
      <c r="V15" s="68">
        <v>-3.8399999999999997E-2</v>
      </c>
      <c r="W15" s="68">
        <v>0.57399999999999995</v>
      </c>
      <c r="X15" s="162">
        <f t="shared" si="2"/>
        <v>-3.2843593071778254E-2</v>
      </c>
      <c r="Y15" s="162">
        <f t="shared" si="3"/>
        <v>-3.8600877187239986E-2</v>
      </c>
      <c r="Z15" s="162">
        <f t="shared" si="4"/>
        <v>0</v>
      </c>
      <c r="AA15" s="160">
        <f t="shared" si="5"/>
        <v>-3.8299999999999994E-2</v>
      </c>
      <c r="AB15" s="161">
        <f t="shared" si="6"/>
        <v>-6.2800000000000078E-2</v>
      </c>
    </row>
    <row r="16" spans="1:32" ht="14.25" customHeight="1">
      <c r="A16" s="206">
        <v>11</v>
      </c>
      <c r="B16" s="59" t="s">
        <v>34</v>
      </c>
      <c r="C16" s="60" t="s">
        <v>35</v>
      </c>
      <c r="D16" s="146" t="s">
        <v>329</v>
      </c>
      <c r="E16" s="71">
        <v>23297724369.650002</v>
      </c>
      <c r="F16" s="66">
        <f t="shared" si="0"/>
        <v>9.0735600054141427E-2</v>
      </c>
      <c r="G16" s="146" t="s">
        <v>329</v>
      </c>
      <c r="H16" s="65">
        <v>5.8109999999999999</v>
      </c>
      <c r="I16" s="146" t="s">
        <v>329</v>
      </c>
      <c r="J16" s="65">
        <v>5.8696999999999999</v>
      </c>
      <c r="K16" s="67">
        <v>12026</v>
      </c>
      <c r="L16" s="68">
        <v>-3.6499999999999998E-2</v>
      </c>
      <c r="M16" s="68">
        <v>0.46060000000000001</v>
      </c>
      <c r="N16" s="146" t="s">
        <v>329</v>
      </c>
      <c r="O16" s="71">
        <v>21319161794.73</v>
      </c>
      <c r="P16" s="66">
        <f t="shared" si="1"/>
        <v>8.8027797412845971E-2</v>
      </c>
      <c r="Q16" s="146" t="s">
        <v>329</v>
      </c>
      <c r="R16" s="65">
        <v>5.5735000000000001</v>
      </c>
      <c r="S16" s="146" t="s">
        <v>329</v>
      </c>
      <c r="T16" s="65">
        <v>5.6375999999999999</v>
      </c>
      <c r="U16" s="67">
        <v>12736</v>
      </c>
      <c r="V16" s="68">
        <v>-4.0899999999999999E-2</v>
      </c>
      <c r="W16" s="68">
        <v>0.40100000000000002</v>
      </c>
      <c r="X16" s="162">
        <f t="shared" si="2"/>
        <v>-8.4925143053777394E-2</v>
      </c>
      <c r="Y16" s="162">
        <f t="shared" si="3"/>
        <v>-3.9542054960219425E-2</v>
      </c>
      <c r="Z16" s="162">
        <f t="shared" si="4"/>
        <v>5.9038749376351236E-2</v>
      </c>
      <c r="AA16" s="160">
        <f t="shared" si="5"/>
        <v>-4.4000000000000011E-3</v>
      </c>
      <c r="AB16" s="161">
        <f t="shared" si="6"/>
        <v>-5.9599999999999986E-2</v>
      </c>
      <c r="AD16" s="50"/>
    </row>
    <row r="17" spans="1:33" ht="14.25" customHeight="1">
      <c r="A17" s="206">
        <v>12</v>
      </c>
      <c r="B17" s="59" t="s">
        <v>36</v>
      </c>
      <c r="C17" s="60" t="s">
        <v>37</v>
      </c>
      <c r="D17" s="146" t="s">
        <v>329</v>
      </c>
      <c r="E17" s="71">
        <v>542860043.29999995</v>
      </c>
      <c r="F17" s="66">
        <f t="shared" si="0"/>
        <v>2.1142293123876748E-3</v>
      </c>
      <c r="G17" s="146" t="s">
        <v>329</v>
      </c>
      <c r="H17" s="65">
        <v>46.98</v>
      </c>
      <c r="I17" s="146" t="s">
        <v>329</v>
      </c>
      <c r="J17" s="65">
        <v>47.39</v>
      </c>
      <c r="K17" s="67">
        <v>125</v>
      </c>
      <c r="L17" s="68">
        <v>0.01</v>
      </c>
      <c r="M17" s="68">
        <v>0.75280000000000002</v>
      </c>
      <c r="N17" s="146" t="s">
        <v>329</v>
      </c>
      <c r="O17" s="71">
        <v>476010565.75</v>
      </c>
      <c r="P17" s="66">
        <f t="shared" si="1"/>
        <v>1.965469470688722E-3</v>
      </c>
      <c r="Q17" s="146" t="s">
        <v>329</v>
      </c>
      <c r="R17" s="65">
        <v>45.38</v>
      </c>
      <c r="S17" s="146" t="s">
        <v>329</v>
      </c>
      <c r="T17" s="65">
        <v>45.85</v>
      </c>
      <c r="U17" s="67">
        <v>122</v>
      </c>
      <c r="V17" s="68">
        <v>-0.04</v>
      </c>
      <c r="W17" s="68">
        <v>0.69579999999999997</v>
      </c>
      <c r="X17" s="162">
        <f t="shared" ref="X17" si="7">((O17-E17)/E17)</f>
        <v>-0.12314311649026087</v>
      </c>
      <c r="Y17" s="162">
        <f t="shared" ref="Y17" si="8">((T17-J17)/J17)</f>
        <v>-3.2496307237813868E-2</v>
      </c>
      <c r="Z17" s="162">
        <f t="shared" ref="Z17" si="9">((U17-K17)/K17)</f>
        <v>-2.4E-2</v>
      </c>
      <c r="AA17" s="160">
        <f t="shared" ref="AA17" si="10">V17-L17</f>
        <v>-0.05</v>
      </c>
      <c r="AB17" s="161">
        <f t="shared" ref="AB17" si="11">W17-M17</f>
        <v>-5.7000000000000051E-2</v>
      </c>
      <c r="AD17" s="41"/>
    </row>
    <row r="18" spans="1:33">
      <c r="A18" s="206">
        <v>13</v>
      </c>
      <c r="B18" s="59" t="s">
        <v>39</v>
      </c>
      <c r="C18" s="60" t="s">
        <v>40</v>
      </c>
      <c r="D18" s="146" t="s">
        <v>329</v>
      </c>
      <c r="E18" s="65">
        <v>10885224869.860001</v>
      </c>
      <c r="F18" s="66">
        <f t="shared" si="0"/>
        <v>4.2393728873265424E-2</v>
      </c>
      <c r="G18" s="146" t="s">
        <v>329</v>
      </c>
      <c r="H18" s="65">
        <v>47.45</v>
      </c>
      <c r="I18" s="146" t="s">
        <v>329</v>
      </c>
      <c r="J18" s="65">
        <v>47.73</v>
      </c>
      <c r="K18" s="67">
        <v>2387</v>
      </c>
      <c r="L18" s="68">
        <v>-8.0000000000000004E-4</v>
      </c>
      <c r="M18" s="68">
        <v>0.53559999999999997</v>
      </c>
      <c r="N18" s="146" t="s">
        <v>329</v>
      </c>
      <c r="O18" s="65">
        <v>10348799917.99</v>
      </c>
      <c r="P18" s="66">
        <f t="shared" si="1"/>
        <v>4.2730669780464414E-2</v>
      </c>
      <c r="Q18" s="146" t="s">
        <v>329</v>
      </c>
      <c r="R18" s="65">
        <v>45.67</v>
      </c>
      <c r="S18" s="146" t="s">
        <v>329</v>
      </c>
      <c r="T18" s="65">
        <v>45.96</v>
      </c>
      <c r="U18" s="67">
        <v>2432</v>
      </c>
      <c r="V18" s="68">
        <v>-3.7600000000000001E-2</v>
      </c>
      <c r="W18" s="68">
        <v>0.48070000000000002</v>
      </c>
      <c r="X18" s="162">
        <f t="shared" si="2"/>
        <v>-4.92800983244088E-2</v>
      </c>
      <c r="Y18" s="162">
        <f t="shared" si="3"/>
        <v>-3.7083595223130025E-2</v>
      </c>
      <c r="Z18" s="162">
        <f t="shared" si="4"/>
        <v>1.8852115626309174E-2</v>
      </c>
      <c r="AA18" s="160">
        <f t="shared" si="5"/>
        <v>-3.6799999999999999E-2</v>
      </c>
      <c r="AB18" s="161">
        <f t="shared" si="6"/>
        <v>-5.4899999999999949E-2</v>
      </c>
      <c r="AE18" s="50"/>
    </row>
    <row r="19" spans="1:33">
      <c r="A19" s="206">
        <v>14</v>
      </c>
      <c r="B19" s="59" t="s">
        <v>41</v>
      </c>
      <c r="C19" s="60" t="s">
        <v>42</v>
      </c>
      <c r="D19" s="146" t="s">
        <v>329</v>
      </c>
      <c r="E19" s="65">
        <v>387519244.76999998</v>
      </c>
      <c r="F19" s="66">
        <f t="shared" si="0"/>
        <v>1.509237153330692E-3</v>
      </c>
      <c r="G19" s="146" t="s">
        <v>329</v>
      </c>
      <c r="H19" s="65">
        <v>3.32</v>
      </c>
      <c r="I19" s="146" t="s">
        <v>329</v>
      </c>
      <c r="J19" s="65">
        <v>3.37</v>
      </c>
      <c r="K19" s="67">
        <v>45</v>
      </c>
      <c r="L19" s="68">
        <v>-8.8000000000000005E-3</v>
      </c>
      <c r="M19" s="68">
        <v>6.7999999999999996E-3</v>
      </c>
      <c r="N19" s="146" t="s">
        <v>329</v>
      </c>
      <c r="O19" s="65">
        <v>367267933.81999999</v>
      </c>
      <c r="P19" s="66">
        <f t="shared" si="1"/>
        <v>1.5164661531173922E-3</v>
      </c>
      <c r="Q19" s="146" t="s">
        <v>329</v>
      </c>
      <c r="R19" s="65">
        <v>3.15</v>
      </c>
      <c r="S19" s="146" t="s">
        <v>329</v>
      </c>
      <c r="T19" s="65">
        <v>3.2</v>
      </c>
      <c r="U19" s="67">
        <v>45</v>
      </c>
      <c r="V19" s="68">
        <v>-5.04E-2</v>
      </c>
      <c r="W19" s="68">
        <v>5.8999999999999999E-3</v>
      </c>
      <c r="X19" s="162">
        <f t="shared" si="2"/>
        <v>-5.2258852233311726E-2</v>
      </c>
      <c r="Y19" s="162">
        <f t="shared" si="3"/>
        <v>-5.0445103857566745E-2</v>
      </c>
      <c r="Z19" s="162">
        <f t="shared" si="4"/>
        <v>0</v>
      </c>
      <c r="AA19" s="160">
        <f t="shared" si="5"/>
        <v>-4.1599999999999998E-2</v>
      </c>
      <c r="AB19" s="161">
        <f t="shared" si="6"/>
        <v>-8.9999999999999976E-4</v>
      </c>
      <c r="AD19" s="41"/>
      <c r="AE19" s="41"/>
    </row>
    <row r="20" spans="1:33">
      <c r="A20" s="206">
        <v>15</v>
      </c>
      <c r="B20" s="59" t="s">
        <v>43</v>
      </c>
      <c r="C20" s="60" t="s">
        <v>44</v>
      </c>
      <c r="D20" s="146" t="s">
        <v>329</v>
      </c>
      <c r="E20" s="72">
        <v>24961051790</v>
      </c>
      <c r="F20" s="66">
        <f t="shared" si="0"/>
        <v>9.7213615210358664E-2</v>
      </c>
      <c r="G20" s="146" t="s">
        <v>329</v>
      </c>
      <c r="H20" s="65">
        <v>76.150000000000006</v>
      </c>
      <c r="I20" s="146" t="s">
        <v>329</v>
      </c>
      <c r="J20" s="65">
        <v>76.44</v>
      </c>
      <c r="K20" s="67">
        <v>19694</v>
      </c>
      <c r="L20" s="68">
        <v>4.65E-2</v>
      </c>
      <c r="M20" s="68">
        <v>0.60440000000000005</v>
      </c>
      <c r="N20" s="146" t="s">
        <v>329</v>
      </c>
      <c r="O20" s="72">
        <v>22420490794</v>
      </c>
      <c r="P20" s="66">
        <f t="shared" si="1"/>
        <v>9.2575235392166388E-2</v>
      </c>
      <c r="Q20" s="146" t="s">
        <v>329</v>
      </c>
      <c r="R20" s="65">
        <v>72.12</v>
      </c>
      <c r="S20" s="146" t="s">
        <v>329</v>
      </c>
      <c r="T20" s="65">
        <v>72.44</v>
      </c>
      <c r="U20" s="67">
        <v>19694</v>
      </c>
      <c r="V20" s="68">
        <v>-8.2699999999999996E-2</v>
      </c>
      <c r="W20" s="68">
        <v>0.51959999999999995</v>
      </c>
      <c r="X20" s="162">
        <f t="shared" si="2"/>
        <v>-0.1017810073619498</v>
      </c>
      <c r="Y20" s="162">
        <f t="shared" si="3"/>
        <v>-5.2328623757195186E-2</v>
      </c>
      <c r="Z20" s="162">
        <f t="shared" si="4"/>
        <v>0</v>
      </c>
      <c r="AA20" s="160">
        <f t="shared" si="5"/>
        <v>-0.12919999999999998</v>
      </c>
      <c r="AB20" s="161">
        <f t="shared" si="6"/>
        <v>-8.4800000000000098E-2</v>
      </c>
    </row>
    <row r="21" spans="1:33" ht="12.75" customHeight="1">
      <c r="A21" s="206">
        <v>16</v>
      </c>
      <c r="B21" s="59" t="s">
        <v>45</v>
      </c>
      <c r="C21" s="60" t="s">
        <v>46</v>
      </c>
      <c r="D21" s="146" t="s">
        <v>329</v>
      </c>
      <c r="E21" s="65">
        <v>4888127462.0600004</v>
      </c>
      <c r="F21" s="66">
        <f t="shared" si="0"/>
        <v>1.9037360532470092E-2</v>
      </c>
      <c r="G21" s="146" t="s">
        <v>329</v>
      </c>
      <c r="H21" s="65">
        <v>17476.89</v>
      </c>
      <c r="I21" s="146" t="s">
        <v>329</v>
      </c>
      <c r="J21" s="65">
        <v>17735.78</v>
      </c>
      <c r="K21" s="67">
        <v>85</v>
      </c>
      <c r="L21" s="68">
        <v>-1.8100000000000002E-2</v>
      </c>
      <c r="M21" s="68">
        <v>0.379</v>
      </c>
      <c r="N21" s="146" t="s">
        <v>329</v>
      </c>
      <c r="O21" s="65">
        <v>4705193444.2799997</v>
      </c>
      <c r="P21" s="66">
        <f t="shared" si="1"/>
        <v>1.9427959658513221E-2</v>
      </c>
      <c r="Q21" s="146" t="s">
        <v>329</v>
      </c>
      <c r="R21" s="65">
        <v>16820.93</v>
      </c>
      <c r="S21" s="146" t="s">
        <v>329</v>
      </c>
      <c r="T21" s="65">
        <v>17068.509999999998</v>
      </c>
      <c r="U21" s="67">
        <v>86</v>
      </c>
      <c r="V21" s="68">
        <v>-3.7600000000000001E-2</v>
      </c>
      <c r="W21" s="68">
        <v>0.3271</v>
      </c>
      <c r="X21" s="162">
        <f t="shared" si="2"/>
        <v>-3.7424150495230117E-2</v>
      </c>
      <c r="Y21" s="162">
        <f t="shared" si="3"/>
        <v>-3.7622816701605485E-2</v>
      </c>
      <c r="Z21" s="162">
        <f t="shared" si="4"/>
        <v>1.1764705882352941E-2</v>
      </c>
      <c r="AA21" s="160">
        <f t="shared" si="5"/>
        <v>-1.95E-2</v>
      </c>
      <c r="AB21" s="161">
        <f t="shared" si="6"/>
        <v>-5.1900000000000002E-2</v>
      </c>
      <c r="AD21" s="41"/>
    </row>
    <row r="22" spans="1:33">
      <c r="A22" s="206">
        <v>17</v>
      </c>
      <c r="B22" s="59" t="s">
        <v>47</v>
      </c>
      <c r="C22" s="60" t="s">
        <v>46</v>
      </c>
      <c r="D22" s="146" t="s">
        <v>329</v>
      </c>
      <c r="E22" s="65">
        <v>75039054148.970001</v>
      </c>
      <c r="F22" s="66">
        <f t="shared" si="0"/>
        <v>0.29224801090752583</v>
      </c>
      <c r="G22" s="146" t="s">
        <v>329</v>
      </c>
      <c r="H22" s="65">
        <v>62898.25</v>
      </c>
      <c r="I22" s="146" t="s">
        <v>329</v>
      </c>
      <c r="J22" s="65">
        <v>63686.44</v>
      </c>
      <c r="K22" s="67">
        <v>32505</v>
      </c>
      <c r="L22" s="68">
        <v>-8.0999999999999996E-3</v>
      </c>
      <c r="M22" s="68">
        <v>0.47160000000000002</v>
      </c>
      <c r="N22" s="146" t="s">
        <v>329</v>
      </c>
      <c r="O22" s="65">
        <v>71167808091.080002</v>
      </c>
      <c r="P22" s="66">
        <f t="shared" si="1"/>
        <v>0.29385514558581322</v>
      </c>
      <c r="Q22" s="146" t="s">
        <v>329</v>
      </c>
      <c r="R22" s="65">
        <v>61096.46</v>
      </c>
      <c r="S22" s="146" t="s">
        <v>329</v>
      </c>
      <c r="T22" s="65">
        <v>61872.47</v>
      </c>
      <c r="U22" s="67">
        <v>32811</v>
      </c>
      <c r="V22" s="68">
        <v>-2.8500000000000001E-2</v>
      </c>
      <c r="W22" s="68">
        <v>0.42970000000000003</v>
      </c>
      <c r="X22" s="162">
        <f t="shared" si="2"/>
        <v>-5.158975018801109E-2</v>
      </c>
      <c r="Y22" s="162">
        <f t="shared" si="3"/>
        <v>-2.848282931185981E-2</v>
      </c>
      <c r="Z22" s="162">
        <f t="shared" si="4"/>
        <v>9.4139363174896174E-3</v>
      </c>
      <c r="AA22" s="160">
        <f t="shared" si="5"/>
        <v>-2.0400000000000001E-2</v>
      </c>
      <c r="AB22" s="161">
        <f t="shared" si="6"/>
        <v>-4.1899999999999993E-2</v>
      </c>
    </row>
    <row r="23" spans="1:33">
      <c r="A23" s="206">
        <v>18</v>
      </c>
      <c r="B23" s="60" t="s">
        <v>48</v>
      </c>
      <c r="C23" s="60" t="s">
        <v>49</v>
      </c>
      <c r="D23" s="146" t="s">
        <v>329</v>
      </c>
      <c r="E23" s="65">
        <v>18302850707.610001</v>
      </c>
      <c r="F23" s="66">
        <f t="shared" si="0"/>
        <v>7.1282504475835604E-2</v>
      </c>
      <c r="G23" s="146" t="s">
        <v>329</v>
      </c>
      <c r="H23" s="65">
        <v>2.75278</v>
      </c>
      <c r="I23" s="146" t="s">
        <v>329</v>
      </c>
      <c r="J23" s="73">
        <v>2.77854</v>
      </c>
      <c r="K23" s="67">
        <v>9086</v>
      </c>
      <c r="L23" s="68">
        <v>-2.8999999999999998E-3</v>
      </c>
      <c r="M23" s="68">
        <v>0.432</v>
      </c>
      <c r="N23" s="146" t="s">
        <v>329</v>
      </c>
      <c r="O23" s="65">
        <v>17484919136.32</v>
      </c>
      <c r="P23" s="66">
        <f t="shared" si="1"/>
        <v>7.2196033518186611E-2</v>
      </c>
      <c r="Q23" s="146" t="s">
        <v>329</v>
      </c>
      <c r="R23" s="65">
        <v>2.6677599999999999</v>
      </c>
      <c r="S23" s="146" t="s">
        <v>329</v>
      </c>
      <c r="T23" s="73">
        <v>2.6929500000000002</v>
      </c>
      <c r="U23" s="67">
        <v>9196</v>
      </c>
      <c r="V23" s="68">
        <v>-3.09E-2</v>
      </c>
      <c r="W23" s="68">
        <v>0.38779999999999998</v>
      </c>
      <c r="X23" s="162">
        <f t="shared" ref="X23:X24" si="12">((O23-E23)/E23)</f>
        <v>-4.468875282635177E-2</v>
      </c>
      <c r="Y23" s="162">
        <f t="shared" ref="Y23:Y24" si="13">((T23-J23)/J23)</f>
        <v>-3.0803947396834248E-2</v>
      </c>
      <c r="Z23" s="162">
        <f t="shared" ref="Z23:Z24" si="14">((U23-K23)/K23)</f>
        <v>1.2106537530266344E-2</v>
      </c>
      <c r="AA23" s="160">
        <f t="shared" ref="AA23:AA24" si="15">V23-L23</f>
        <v>-2.8000000000000001E-2</v>
      </c>
      <c r="AB23" s="161">
        <f t="shared" ref="AB23:AB24" si="16">W23-M23</f>
        <v>-4.4200000000000017E-2</v>
      </c>
      <c r="AD23" s="50"/>
      <c r="AE23" s="50"/>
    </row>
    <row r="24" spans="1:33">
      <c r="A24" s="206">
        <v>19</v>
      </c>
      <c r="B24" s="59" t="s">
        <v>302</v>
      </c>
      <c r="C24" s="60" t="s">
        <v>119</v>
      </c>
      <c r="D24" s="146" t="s">
        <v>329</v>
      </c>
      <c r="E24" s="65">
        <v>9545076354.3700008</v>
      </c>
      <c r="F24" s="66">
        <f t="shared" si="0"/>
        <v>3.7174370201778197E-2</v>
      </c>
      <c r="G24" s="146" t="s">
        <v>329</v>
      </c>
      <c r="H24" s="65">
        <v>2</v>
      </c>
      <c r="I24" s="146" t="s">
        <v>329</v>
      </c>
      <c r="J24" s="73">
        <v>2.0299999999999998</v>
      </c>
      <c r="K24" s="67">
        <v>4720</v>
      </c>
      <c r="L24" s="68">
        <v>-4.1999999999999997E-3</v>
      </c>
      <c r="M24" s="68">
        <v>0.97209999999999996</v>
      </c>
      <c r="N24" s="146" t="s">
        <v>329</v>
      </c>
      <c r="O24" s="65">
        <v>8709286251.6900005</v>
      </c>
      <c r="P24" s="66">
        <f t="shared" si="1"/>
        <v>3.5961042613024623E-2</v>
      </c>
      <c r="Q24" s="146" t="s">
        <v>329</v>
      </c>
      <c r="R24" s="65">
        <v>1.92</v>
      </c>
      <c r="S24" s="146" t="s">
        <v>329</v>
      </c>
      <c r="T24" s="73">
        <v>1.95</v>
      </c>
      <c r="U24" s="67">
        <v>4799</v>
      </c>
      <c r="V24" s="68">
        <v>-4.24E-2</v>
      </c>
      <c r="W24" s="68">
        <v>0.88829999999999998</v>
      </c>
      <c r="X24" s="162">
        <f t="shared" si="12"/>
        <v>-8.7562432363084489E-2</v>
      </c>
      <c r="Y24" s="162">
        <f t="shared" si="13"/>
        <v>-3.9408866995073823E-2</v>
      </c>
      <c r="Z24" s="162">
        <f t="shared" si="14"/>
        <v>1.673728813559322E-2</v>
      </c>
      <c r="AA24" s="160">
        <f t="shared" si="15"/>
        <v>-3.8199999999999998E-2</v>
      </c>
      <c r="AB24" s="161">
        <f t="shared" si="16"/>
        <v>-8.3799999999999986E-2</v>
      </c>
      <c r="AD24" s="41"/>
      <c r="AE24" s="41"/>
      <c r="AF24" s="41"/>
      <c r="AG24" s="41"/>
    </row>
    <row r="25" spans="1:33">
      <c r="A25" s="206">
        <v>20</v>
      </c>
      <c r="B25" s="60" t="s">
        <v>50</v>
      </c>
      <c r="C25" s="60" t="s">
        <v>51</v>
      </c>
      <c r="D25" s="146" t="s">
        <v>329</v>
      </c>
      <c r="E25" s="65">
        <v>23049343680.5</v>
      </c>
      <c r="F25" s="66">
        <f t="shared" si="0"/>
        <v>8.9768253608011883E-2</v>
      </c>
      <c r="G25" s="146" t="s">
        <v>329</v>
      </c>
      <c r="H25" s="65">
        <v>349.02</v>
      </c>
      <c r="I25" s="146" t="s">
        <v>329</v>
      </c>
      <c r="J25" s="73">
        <v>354.59</v>
      </c>
      <c r="K25" s="67">
        <v>171</v>
      </c>
      <c r="L25" s="68">
        <v>-1.38E-2</v>
      </c>
      <c r="M25" s="68">
        <v>0.65149999999999997</v>
      </c>
      <c r="N25" s="146" t="s">
        <v>329</v>
      </c>
      <c r="O25" s="65">
        <v>22167032302.52</v>
      </c>
      <c r="P25" s="66">
        <f t="shared" si="1"/>
        <v>9.1528693649325338E-2</v>
      </c>
      <c r="Q25" s="146" t="s">
        <v>329</v>
      </c>
      <c r="R25" s="65">
        <v>331.74</v>
      </c>
      <c r="S25" s="146" t="s">
        <v>329</v>
      </c>
      <c r="T25" s="73">
        <v>337.4</v>
      </c>
      <c r="U25" s="67">
        <v>179</v>
      </c>
      <c r="V25" s="68">
        <v>-4.8899999999999999E-2</v>
      </c>
      <c r="W25" s="68">
        <v>0.57069999999999999</v>
      </c>
      <c r="X25" s="162">
        <f t="shared" si="2"/>
        <v>-3.8279240841310583E-2</v>
      </c>
      <c r="Y25" s="162">
        <f t="shared" si="3"/>
        <v>-4.8478524493076505E-2</v>
      </c>
      <c r="Z25" s="162">
        <f t="shared" si="4"/>
        <v>4.6783625730994149E-2</v>
      </c>
      <c r="AA25" s="160">
        <f t="shared" si="5"/>
        <v>-3.5099999999999999E-2</v>
      </c>
      <c r="AB25" s="161">
        <f t="shared" si="6"/>
        <v>-8.0799999999999983E-2</v>
      </c>
      <c r="AD25" s="41"/>
      <c r="AE25" s="41"/>
    </row>
    <row r="26" spans="1:33">
      <c r="B26" s="74"/>
      <c r="C26" s="75" t="s">
        <v>52</v>
      </c>
      <c r="D26" s="120" t="s">
        <v>329</v>
      </c>
      <c r="E26" s="76">
        <f>SUM(E6:E25)</f>
        <v>256764978197.62451</v>
      </c>
      <c r="F26" s="77">
        <f>(E26/$E$238)</f>
        <v>2.8211175482497061E-2</v>
      </c>
      <c r="G26" s="146"/>
      <c r="H26" s="78"/>
      <c r="I26" s="78"/>
      <c r="J26" s="79"/>
      <c r="K26" s="80">
        <f>SUM(K6:K25)</f>
        <v>109922</v>
      </c>
      <c r="L26" s="81"/>
      <c r="M26" s="67">
        <v>0</v>
      </c>
      <c r="N26" s="146" t="s">
        <v>329</v>
      </c>
      <c r="O26" s="76">
        <f>SUM(O6:O25)</f>
        <v>242186700352.6647</v>
      </c>
      <c r="P26" s="77">
        <f>(O26/$O$238)</f>
        <v>2.6668104030742726E-2</v>
      </c>
      <c r="Q26" s="148"/>
      <c r="R26" s="78"/>
      <c r="S26" s="78"/>
      <c r="T26" s="79"/>
      <c r="U26" s="80">
        <f>SUM(U6:U25)</f>
        <v>111330</v>
      </c>
      <c r="V26" s="81"/>
      <c r="W26" s="80"/>
      <c r="X26" s="162">
        <f t="shared" si="2"/>
        <v>-5.6776737806272529E-2</v>
      </c>
      <c r="Y26" s="162" t="e">
        <f t="shared" si="3"/>
        <v>#DIV/0!</v>
      </c>
      <c r="Z26" s="162">
        <f t="shared" si="4"/>
        <v>1.280908280417023E-2</v>
      </c>
      <c r="AA26" s="160">
        <f t="shared" si="5"/>
        <v>0</v>
      </c>
      <c r="AB26" s="161">
        <f t="shared" si="6"/>
        <v>0</v>
      </c>
    </row>
    <row r="27" spans="1:33" ht="4.5" customHeight="1"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</row>
    <row r="28" spans="1:33" ht="15" customHeight="1">
      <c r="A28" s="16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</row>
    <row r="29" spans="1:33" ht="16.8" customHeight="1">
      <c r="A29" s="205">
        <v>21</v>
      </c>
      <c r="B29" s="59" t="s">
        <v>54</v>
      </c>
      <c r="C29" s="60" t="s">
        <v>19</v>
      </c>
      <c r="D29" s="146" t="s">
        <v>329</v>
      </c>
      <c r="E29" s="82">
        <v>6002899381.3199997</v>
      </c>
      <c r="F29" s="66">
        <f>(E29/$O$76)</f>
        <v>1.0095116105385312E-3</v>
      </c>
      <c r="G29" s="146" t="s">
        <v>329</v>
      </c>
      <c r="H29" s="73">
        <v>100</v>
      </c>
      <c r="I29" s="146" t="s">
        <v>329</v>
      </c>
      <c r="J29" s="73">
        <v>100</v>
      </c>
      <c r="K29" s="67">
        <v>928</v>
      </c>
      <c r="L29" s="68">
        <v>0.15</v>
      </c>
      <c r="M29" s="68">
        <v>0.15</v>
      </c>
      <c r="N29" s="146" t="s">
        <v>329</v>
      </c>
      <c r="O29" s="82">
        <v>6271161702.5799999</v>
      </c>
      <c r="P29" s="66">
        <f t="shared" ref="P29:P36" si="17">(O29/$O$76)</f>
        <v>1.0546254648244641E-3</v>
      </c>
      <c r="Q29" s="146" t="s">
        <v>329</v>
      </c>
      <c r="R29" s="73">
        <v>100</v>
      </c>
      <c r="S29" s="146" t="s">
        <v>329</v>
      </c>
      <c r="T29" s="73">
        <v>100</v>
      </c>
      <c r="U29" s="67">
        <v>928</v>
      </c>
      <c r="V29" s="68">
        <v>0.1489</v>
      </c>
      <c r="W29" s="68">
        <v>0.1489</v>
      </c>
      <c r="X29" s="162">
        <f>((O29-E29)/E29)</f>
        <v>4.4688791901924409E-2</v>
      </c>
      <c r="Y29" s="162">
        <f>((T29-J29)/J29)</f>
        <v>0</v>
      </c>
      <c r="Z29" s="162">
        <f>((U29-K29)/K29)</f>
        <v>0</v>
      </c>
      <c r="AA29" s="162">
        <f>V29-L29</f>
        <v>-1.0999999999999899E-3</v>
      </c>
      <c r="AB29" s="163">
        <f>W29-M29</f>
        <v>-1.0999999999999899E-3</v>
      </c>
    </row>
    <row r="30" spans="1:33" ht="15.6">
      <c r="A30" s="205">
        <v>22</v>
      </c>
      <c r="B30" s="59" t="s">
        <v>55</v>
      </c>
      <c r="C30" s="60" t="s">
        <v>56</v>
      </c>
      <c r="D30" s="146" t="s">
        <v>329</v>
      </c>
      <c r="E30" s="82">
        <v>41013266886.470001</v>
      </c>
      <c r="F30" s="66">
        <f>(E30/$O$76)</f>
        <v>6.8972285687225032E-3</v>
      </c>
      <c r="G30" s="146" t="s">
        <v>329</v>
      </c>
      <c r="H30" s="73">
        <v>100</v>
      </c>
      <c r="I30" s="146" t="s">
        <v>329</v>
      </c>
      <c r="J30" s="73">
        <v>100</v>
      </c>
      <c r="K30" s="67">
        <v>5095</v>
      </c>
      <c r="L30" s="68">
        <v>0.175291</v>
      </c>
      <c r="M30" s="68">
        <v>0.175291</v>
      </c>
      <c r="N30" s="146" t="s">
        <v>329</v>
      </c>
      <c r="O30" s="82">
        <v>41350641730.760002</v>
      </c>
      <c r="P30" s="66">
        <f t="shared" si="17"/>
        <v>6.9539651223076296E-3</v>
      </c>
      <c r="Q30" s="146" t="s">
        <v>329</v>
      </c>
      <c r="R30" s="73">
        <v>100</v>
      </c>
      <c r="S30" s="146" t="s">
        <v>329</v>
      </c>
      <c r="T30" s="73">
        <v>100</v>
      </c>
      <c r="U30" s="67">
        <v>5144</v>
      </c>
      <c r="V30" s="68">
        <v>0.17822499999999999</v>
      </c>
      <c r="W30" s="68">
        <v>0.17822499999999999</v>
      </c>
      <c r="X30" s="162">
        <f t="shared" ref="X30:X76" si="18">((O30-E30)/E30)</f>
        <v>8.2259929506200494E-3</v>
      </c>
      <c r="Y30" s="162">
        <f t="shared" ref="Y30:Y76" si="19">((T30-J30)/J30)</f>
        <v>0</v>
      </c>
      <c r="Z30" s="162">
        <f t="shared" ref="Z30:Z76" si="20">((U30-K30)/K30)</f>
        <v>9.6172718351324824E-3</v>
      </c>
      <c r="AA30" s="160">
        <f t="shared" ref="AA30:AA76" si="21">V30-L30</f>
        <v>2.9339999999999922E-3</v>
      </c>
      <c r="AB30" s="161">
        <f t="shared" ref="AB30:AB76" si="22">W30-M30</f>
        <v>2.9339999999999922E-3</v>
      </c>
      <c r="AD30" s="145"/>
    </row>
    <row r="31" spans="1:33">
      <c r="A31" s="205">
        <v>23</v>
      </c>
      <c r="B31" s="59" t="s">
        <v>311</v>
      </c>
      <c r="C31" s="60" t="s">
        <v>310</v>
      </c>
      <c r="D31" s="146" t="s">
        <v>329</v>
      </c>
      <c r="E31" s="82">
        <v>1732751146.23</v>
      </c>
      <c r="F31" s="66">
        <f>(E31/$O$76)</f>
        <v>2.913979211006679E-4</v>
      </c>
      <c r="G31" s="146" t="s">
        <v>329</v>
      </c>
      <c r="H31" s="73">
        <v>1</v>
      </c>
      <c r="I31" s="146" t="s">
        <v>329</v>
      </c>
      <c r="J31" s="73">
        <v>1</v>
      </c>
      <c r="K31" s="67">
        <v>205</v>
      </c>
      <c r="L31" s="68">
        <v>0.17860000000000001</v>
      </c>
      <c r="M31" s="68">
        <v>0.17860000000000001</v>
      </c>
      <c r="N31" s="146" t="s">
        <v>329</v>
      </c>
      <c r="O31" s="82">
        <v>2156926077.7800002</v>
      </c>
      <c r="P31" s="66">
        <f t="shared" si="17"/>
        <v>3.627317035111522E-4</v>
      </c>
      <c r="Q31" s="146" t="s">
        <v>329</v>
      </c>
      <c r="R31" s="73">
        <v>1</v>
      </c>
      <c r="S31" s="146" t="s">
        <v>329</v>
      </c>
      <c r="T31" s="73">
        <v>1</v>
      </c>
      <c r="U31" s="67">
        <v>207</v>
      </c>
      <c r="V31" s="68">
        <v>0.17849999999999999</v>
      </c>
      <c r="W31" s="68">
        <v>0.17849999999999999</v>
      </c>
      <c r="X31" s="162">
        <f t="shared" ref="X31" si="23">((O31-E31)/E31)</f>
        <v>0.24479852890179335</v>
      </c>
      <c r="Y31" s="162">
        <f t="shared" ref="Y31" si="24">((T31-J31)/J31)</f>
        <v>0</v>
      </c>
      <c r="Z31" s="162">
        <f t="shared" ref="Z31" si="25">((U31-K31)/K31)</f>
        <v>9.7560975609756097E-3</v>
      </c>
      <c r="AA31" s="160">
        <f t="shared" ref="AA31" si="26">V31-L31</f>
        <v>-1.0000000000001674E-4</v>
      </c>
      <c r="AB31" s="161">
        <f t="shared" ref="AB31" si="27">W31-M31</f>
        <v>-1.0000000000001674E-4</v>
      </c>
    </row>
    <row r="32" spans="1:33">
      <c r="A32" s="205">
        <v>24</v>
      </c>
      <c r="B32" s="59" t="s">
        <v>57</v>
      </c>
      <c r="C32" s="60" t="s">
        <v>21</v>
      </c>
      <c r="D32" s="146" t="s">
        <v>329</v>
      </c>
      <c r="E32" s="82">
        <v>4047505777.0700002</v>
      </c>
      <c r="F32" s="66">
        <f>(E32/$O$76)</f>
        <v>6.806717581155689E-4</v>
      </c>
      <c r="G32" s="146" t="s">
        <v>329</v>
      </c>
      <c r="H32" s="73">
        <v>100</v>
      </c>
      <c r="I32" s="146" t="s">
        <v>329</v>
      </c>
      <c r="J32" s="73">
        <v>100</v>
      </c>
      <c r="K32" s="67">
        <v>2626</v>
      </c>
      <c r="L32" s="68">
        <v>0.16220000000000001</v>
      </c>
      <c r="M32" s="68">
        <v>0.16220000000000001</v>
      </c>
      <c r="N32" s="146" t="s">
        <v>329</v>
      </c>
      <c r="O32" s="82">
        <v>3970167405.1199999</v>
      </c>
      <c r="P32" s="66">
        <f t="shared" si="17"/>
        <v>6.676657122926744E-4</v>
      </c>
      <c r="Q32" s="146" t="s">
        <v>329</v>
      </c>
      <c r="R32" s="73">
        <v>100</v>
      </c>
      <c r="S32" s="146" t="s">
        <v>329</v>
      </c>
      <c r="T32" s="73">
        <v>100</v>
      </c>
      <c r="U32" s="67">
        <v>2648</v>
      </c>
      <c r="V32" s="68">
        <v>0.1615</v>
      </c>
      <c r="W32" s="68">
        <v>0.1615</v>
      </c>
      <c r="X32" s="162">
        <f t="shared" si="18"/>
        <v>-1.9107661905793678E-2</v>
      </c>
      <c r="Y32" s="162">
        <f t="shared" si="19"/>
        <v>0</v>
      </c>
      <c r="Z32" s="162">
        <f t="shared" si="20"/>
        <v>8.3777608530083772E-3</v>
      </c>
      <c r="AA32" s="160">
        <f t="shared" si="21"/>
        <v>-7.0000000000000617E-4</v>
      </c>
      <c r="AB32" s="161">
        <f t="shared" si="22"/>
        <v>-7.0000000000000617E-4</v>
      </c>
    </row>
    <row r="33" spans="1:28">
      <c r="A33" s="205">
        <v>25</v>
      </c>
      <c r="B33" s="59" t="s">
        <v>307</v>
      </c>
      <c r="C33" s="60" t="s">
        <v>308</v>
      </c>
      <c r="D33" s="146" t="s">
        <v>329</v>
      </c>
      <c r="E33" s="82">
        <v>1535103669.3199999</v>
      </c>
      <c r="F33" s="66">
        <v>0</v>
      </c>
      <c r="G33" s="146" t="s">
        <v>329</v>
      </c>
      <c r="H33" s="73">
        <v>100</v>
      </c>
      <c r="I33" s="146" t="s">
        <v>329</v>
      </c>
      <c r="J33" s="73">
        <v>100</v>
      </c>
      <c r="K33" s="67">
        <v>170</v>
      </c>
      <c r="L33" s="68">
        <v>0.15959799999999999</v>
      </c>
      <c r="M33" s="68">
        <v>0.15959799999999999</v>
      </c>
      <c r="N33" s="146" t="s">
        <v>329</v>
      </c>
      <c r="O33" s="82">
        <v>1510147487.49</v>
      </c>
      <c r="P33" s="66">
        <f t="shared" si="17"/>
        <v>2.5396251467928416E-4</v>
      </c>
      <c r="Q33" s="146" t="s">
        <v>329</v>
      </c>
      <c r="R33" s="73">
        <v>100</v>
      </c>
      <c r="S33" s="146" t="s">
        <v>329</v>
      </c>
      <c r="T33" s="73">
        <v>100</v>
      </c>
      <c r="U33" s="67">
        <v>172</v>
      </c>
      <c r="V33" s="68">
        <v>0.16558700000000001</v>
      </c>
      <c r="W33" s="68">
        <v>0.16558700000000001</v>
      </c>
      <c r="X33" s="162">
        <f t="shared" ref="X33" si="28">((O33-E33)/E33)</f>
        <v>-1.6257000962713278E-2</v>
      </c>
      <c r="Y33" s="162">
        <f t="shared" ref="Y33" si="29">((T33-J33)/J33)</f>
        <v>0</v>
      </c>
      <c r="Z33" s="162">
        <f t="shared" ref="Z33" si="30">((U33-K33)/K33)</f>
        <v>1.1764705882352941E-2</v>
      </c>
      <c r="AA33" s="160">
        <f t="shared" ref="AA33" si="31">V33-L33</f>
        <v>5.9890000000000221E-3</v>
      </c>
      <c r="AB33" s="161">
        <f t="shared" ref="AB33" si="32">W33-M33</f>
        <v>5.9890000000000221E-3</v>
      </c>
    </row>
    <row r="34" spans="1:28">
      <c r="A34" s="205">
        <v>26</v>
      </c>
      <c r="B34" s="59" t="s">
        <v>58</v>
      </c>
      <c r="C34" s="60" t="s">
        <v>23</v>
      </c>
      <c r="D34" s="146" t="s">
        <v>329</v>
      </c>
      <c r="E34" s="82">
        <v>414386285300.98999</v>
      </c>
      <c r="F34" s="66">
        <f>(E34/$O$76)</f>
        <v>6.9687619212983387E-2</v>
      </c>
      <c r="G34" s="146" t="s">
        <v>329</v>
      </c>
      <c r="H34" s="73">
        <v>1</v>
      </c>
      <c r="I34" s="146" t="s">
        <v>329</v>
      </c>
      <c r="J34" s="73">
        <v>1</v>
      </c>
      <c r="K34" s="67">
        <v>85927</v>
      </c>
      <c r="L34" s="68">
        <v>0.17169999999999999</v>
      </c>
      <c r="M34" s="68">
        <v>0.17169999999999999</v>
      </c>
      <c r="N34" s="146" t="s">
        <v>329</v>
      </c>
      <c r="O34" s="82">
        <v>415420011194.22998</v>
      </c>
      <c r="P34" s="66">
        <f t="shared" si="17"/>
        <v>6.9861461588983792E-2</v>
      </c>
      <c r="Q34" s="146" t="s">
        <v>329</v>
      </c>
      <c r="R34" s="73">
        <v>1</v>
      </c>
      <c r="S34" s="146" t="s">
        <v>329</v>
      </c>
      <c r="T34" s="73">
        <v>1</v>
      </c>
      <c r="U34" s="67">
        <v>86067</v>
      </c>
      <c r="V34" s="68">
        <v>0.1724</v>
      </c>
      <c r="W34" s="68">
        <v>0.1724</v>
      </c>
      <c r="X34" s="162">
        <f t="shared" si="18"/>
        <v>2.4945948500422551E-3</v>
      </c>
      <c r="Y34" s="162">
        <f t="shared" si="19"/>
        <v>0</v>
      </c>
      <c r="Z34" s="162">
        <f t="shared" si="20"/>
        <v>1.6292899787028524E-3</v>
      </c>
      <c r="AA34" s="160">
        <f t="shared" si="21"/>
        <v>7.0000000000000617E-4</v>
      </c>
      <c r="AB34" s="161">
        <f t="shared" si="22"/>
        <v>7.0000000000000617E-4</v>
      </c>
    </row>
    <row r="35" spans="1:28">
      <c r="A35" s="205">
        <v>27</v>
      </c>
      <c r="B35" s="59" t="s">
        <v>59</v>
      </c>
      <c r="C35" s="60" t="s">
        <v>60</v>
      </c>
      <c r="D35" s="146" t="s">
        <v>329</v>
      </c>
      <c r="E35" s="82">
        <v>2346092738.6900001</v>
      </c>
      <c r="F35" s="66">
        <f>(E35/$O$76)</f>
        <v>3.9454398760668504E-4</v>
      </c>
      <c r="G35" s="146" t="s">
        <v>329</v>
      </c>
      <c r="H35" s="73">
        <v>1</v>
      </c>
      <c r="I35" s="146" t="s">
        <v>329</v>
      </c>
      <c r="J35" s="73">
        <v>1</v>
      </c>
      <c r="K35" s="67">
        <v>597</v>
      </c>
      <c r="L35" s="68">
        <v>0.17199999999999999</v>
      </c>
      <c r="M35" s="68">
        <v>0.17199999999999999</v>
      </c>
      <c r="N35" s="146" t="s">
        <v>329</v>
      </c>
      <c r="O35" s="82">
        <v>2299512664.6900001</v>
      </c>
      <c r="P35" s="66">
        <f t="shared" si="17"/>
        <v>3.8671058535625388E-4</v>
      </c>
      <c r="Q35" s="146" t="s">
        <v>329</v>
      </c>
      <c r="R35" s="73">
        <v>1</v>
      </c>
      <c r="S35" s="146" t="s">
        <v>329</v>
      </c>
      <c r="T35" s="73">
        <v>1</v>
      </c>
      <c r="U35" s="67">
        <v>597</v>
      </c>
      <c r="V35" s="68">
        <v>0.17119999999999999</v>
      </c>
      <c r="W35" s="68">
        <v>0.17119999999999999</v>
      </c>
      <c r="X35" s="162">
        <f t="shared" si="18"/>
        <v>-1.9854319154497344E-2</v>
      </c>
      <c r="Y35" s="162">
        <f t="shared" si="19"/>
        <v>0</v>
      </c>
      <c r="Z35" s="162">
        <f t="shared" si="20"/>
        <v>0</v>
      </c>
      <c r="AA35" s="160">
        <f t="shared" si="21"/>
        <v>-7.9999999999999516E-4</v>
      </c>
      <c r="AB35" s="161">
        <f t="shared" si="22"/>
        <v>-7.9999999999999516E-4</v>
      </c>
    </row>
    <row r="36" spans="1:28">
      <c r="A36" s="205">
        <v>28</v>
      </c>
      <c r="B36" s="59" t="s">
        <v>61</v>
      </c>
      <c r="C36" s="60" t="s">
        <v>25</v>
      </c>
      <c r="D36" s="146" t="s">
        <v>329</v>
      </c>
      <c r="E36" s="82">
        <v>173808569326.17999</v>
      </c>
      <c r="F36" s="66">
        <f>(E36/$O$76)</f>
        <v>2.922950354488317E-2</v>
      </c>
      <c r="G36" s="146" t="s">
        <v>329</v>
      </c>
      <c r="H36" s="73">
        <v>1</v>
      </c>
      <c r="I36" s="146" t="s">
        <v>329</v>
      </c>
      <c r="J36" s="73">
        <v>1</v>
      </c>
      <c r="K36" s="67">
        <v>40572</v>
      </c>
      <c r="L36" s="68">
        <v>0.15790000000000001</v>
      </c>
      <c r="M36" s="68">
        <v>0.15790000000000001</v>
      </c>
      <c r="N36" s="146" t="s">
        <v>329</v>
      </c>
      <c r="O36" s="82">
        <v>173752966278.25</v>
      </c>
      <c r="P36" s="66">
        <f t="shared" si="17"/>
        <v>2.922015274306208E-2</v>
      </c>
      <c r="Q36" s="146" t="s">
        <v>329</v>
      </c>
      <c r="R36" s="73">
        <v>1</v>
      </c>
      <c r="S36" s="146" t="s">
        <v>329</v>
      </c>
      <c r="T36" s="73">
        <v>1</v>
      </c>
      <c r="U36" s="67">
        <v>40712</v>
      </c>
      <c r="V36" s="68">
        <v>0.15890000000000001</v>
      </c>
      <c r="W36" s="68">
        <v>0.15890000000000001</v>
      </c>
      <c r="X36" s="162">
        <f t="shared" si="18"/>
        <v>-3.1990970379397422E-4</v>
      </c>
      <c r="Y36" s="162">
        <f t="shared" si="19"/>
        <v>0</v>
      </c>
      <c r="Z36" s="162">
        <f t="shared" si="20"/>
        <v>3.450655624568668E-3</v>
      </c>
      <c r="AA36" s="160">
        <f t="shared" si="21"/>
        <v>1.0000000000000009E-3</v>
      </c>
      <c r="AB36" s="161">
        <f t="shared" si="22"/>
        <v>1.0000000000000009E-3</v>
      </c>
    </row>
    <row r="37" spans="1:28">
      <c r="A37" s="205">
        <v>29</v>
      </c>
      <c r="B37" s="59" t="s">
        <v>62</v>
      </c>
      <c r="C37" s="60" t="s">
        <v>27</v>
      </c>
      <c r="D37" s="146" t="s">
        <v>329</v>
      </c>
      <c r="E37" s="65">
        <v>30370437833.27</v>
      </c>
      <c r="F37" s="66">
        <f t="shared" ref="F37" si="33">(E37/$E$26)</f>
        <v>0.11828107573882121</v>
      </c>
      <c r="G37" s="146" t="s">
        <v>329</v>
      </c>
      <c r="H37" s="65">
        <v>1</v>
      </c>
      <c r="I37" s="146" t="s">
        <v>329</v>
      </c>
      <c r="J37" s="65">
        <v>1</v>
      </c>
      <c r="K37" s="67">
        <v>2013</v>
      </c>
      <c r="L37" s="68">
        <v>0.16669999999999999</v>
      </c>
      <c r="M37" s="68">
        <v>0.16669999999999999</v>
      </c>
      <c r="N37" s="146" t="s">
        <v>329</v>
      </c>
      <c r="O37" s="65">
        <v>30574074707.360001</v>
      </c>
      <c r="P37" s="66">
        <f t="shared" ref="P37" si="34">(O37/$O$26)</f>
        <v>0.12624175754836656</v>
      </c>
      <c r="Q37" s="146" t="s">
        <v>329</v>
      </c>
      <c r="R37" s="65">
        <v>1</v>
      </c>
      <c r="S37" s="146" t="s">
        <v>329</v>
      </c>
      <c r="T37" s="65">
        <v>1</v>
      </c>
      <c r="U37" s="67">
        <v>2033</v>
      </c>
      <c r="V37" s="68">
        <v>0.18260000000000001</v>
      </c>
      <c r="W37" s="68">
        <v>0.18260000000000001</v>
      </c>
      <c r="X37" s="162">
        <f t="shared" si="18"/>
        <v>6.7051016915838273E-3</v>
      </c>
      <c r="Y37" s="162">
        <f t="shared" si="19"/>
        <v>0</v>
      </c>
      <c r="Z37" s="162">
        <f t="shared" si="20"/>
        <v>9.9354197714853452E-3</v>
      </c>
      <c r="AA37" s="160">
        <f t="shared" si="21"/>
        <v>1.5900000000000025E-2</v>
      </c>
      <c r="AB37" s="161">
        <f t="shared" si="22"/>
        <v>1.5900000000000025E-2</v>
      </c>
    </row>
    <row r="38" spans="1:28" ht="15" customHeight="1">
      <c r="A38" s="205">
        <v>30</v>
      </c>
      <c r="B38" s="59" t="s">
        <v>63</v>
      </c>
      <c r="C38" s="60" t="s">
        <v>44</v>
      </c>
      <c r="D38" s="146" t="s">
        <v>329</v>
      </c>
      <c r="E38" s="82">
        <v>40872807321.209999</v>
      </c>
      <c r="F38" s="66">
        <f>(E38/$O$76)</f>
        <v>6.8736073895332584E-3</v>
      </c>
      <c r="G38" s="146" t="s">
        <v>329</v>
      </c>
      <c r="H38" s="73">
        <v>100</v>
      </c>
      <c r="I38" s="146" t="s">
        <v>329</v>
      </c>
      <c r="J38" s="73">
        <v>100</v>
      </c>
      <c r="K38" s="67">
        <v>10728</v>
      </c>
      <c r="L38" s="68">
        <v>0.17530000000000001</v>
      </c>
      <c r="M38" s="68">
        <v>0.17530000000000001</v>
      </c>
      <c r="N38" s="146" t="s">
        <v>329</v>
      </c>
      <c r="O38" s="82">
        <v>39323908211</v>
      </c>
      <c r="P38" s="66">
        <f t="shared" ref="P38:P53" si="35">(O38/$O$76)</f>
        <v>6.6131279884998929E-3</v>
      </c>
      <c r="Q38" s="146" t="s">
        <v>329</v>
      </c>
      <c r="R38" s="73">
        <v>100</v>
      </c>
      <c r="S38" s="146" t="s">
        <v>329</v>
      </c>
      <c r="T38" s="73">
        <v>100</v>
      </c>
      <c r="U38" s="67">
        <v>10728</v>
      </c>
      <c r="V38" s="68">
        <v>0.17530000000000001</v>
      </c>
      <c r="W38" s="68">
        <v>0.17530000000000001</v>
      </c>
      <c r="X38" s="162">
        <f t="shared" si="18"/>
        <v>-3.7895589065795189E-2</v>
      </c>
      <c r="Y38" s="162">
        <f t="shared" si="19"/>
        <v>0</v>
      </c>
      <c r="Z38" s="162">
        <f t="shared" si="20"/>
        <v>0</v>
      </c>
      <c r="AA38" s="160">
        <f t="shared" si="21"/>
        <v>0</v>
      </c>
      <c r="AB38" s="161">
        <f t="shared" si="22"/>
        <v>0</v>
      </c>
    </row>
    <row r="39" spans="1:28" ht="15" customHeight="1">
      <c r="A39" s="208">
        <v>31</v>
      </c>
      <c r="B39" s="59" t="s">
        <v>64</v>
      </c>
      <c r="C39" s="60" t="s">
        <v>65</v>
      </c>
      <c r="D39" s="146" t="s">
        <v>329</v>
      </c>
      <c r="E39" s="82">
        <v>3686170547.0500002</v>
      </c>
      <c r="F39" s="66">
        <f>(E39/$O$76)</f>
        <v>6.199057704102095E-4</v>
      </c>
      <c r="G39" s="146" t="s">
        <v>329</v>
      </c>
      <c r="H39" s="73">
        <v>1</v>
      </c>
      <c r="I39" s="146" t="s">
        <v>329</v>
      </c>
      <c r="J39" s="73">
        <v>1</v>
      </c>
      <c r="K39" s="67">
        <v>787</v>
      </c>
      <c r="L39" s="68">
        <v>0.15329999999999999</v>
      </c>
      <c r="M39" s="68">
        <v>0.15329999999999999</v>
      </c>
      <c r="N39" s="146" t="s">
        <v>329</v>
      </c>
      <c r="O39" s="82">
        <v>3557883619.23</v>
      </c>
      <c r="P39" s="66">
        <f t="shared" si="35"/>
        <v>5.9833167181418557E-4</v>
      </c>
      <c r="Q39" s="146" t="s">
        <v>329</v>
      </c>
      <c r="R39" s="73">
        <v>1</v>
      </c>
      <c r="S39" s="146" t="s">
        <v>329</v>
      </c>
      <c r="T39" s="73">
        <v>1</v>
      </c>
      <c r="U39" s="67">
        <v>795</v>
      </c>
      <c r="V39" s="68">
        <v>0.15</v>
      </c>
      <c r="W39" s="68">
        <v>0.15</v>
      </c>
      <c r="X39" s="162">
        <f t="shared" si="18"/>
        <v>-3.4802222572872195E-2</v>
      </c>
      <c r="Y39" s="162">
        <f t="shared" si="19"/>
        <v>0</v>
      </c>
      <c r="Z39" s="162">
        <f t="shared" si="20"/>
        <v>1.0165184243964422E-2</v>
      </c>
      <c r="AA39" s="160">
        <f t="shared" si="21"/>
        <v>-3.2999999999999974E-3</v>
      </c>
      <c r="AB39" s="161">
        <f t="shared" si="22"/>
        <v>-3.2999999999999974E-3</v>
      </c>
    </row>
    <row r="40" spans="1:28">
      <c r="A40" s="205">
        <v>32</v>
      </c>
      <c r="B40" s="59" t="s">
        <v>66</v>
      </c>
      <c r="C40" s="60" t="s">
        <v>67</v>
      </c>
      <c r="D40" s="146" t="s">
        <v>329</v>
      </c>
      <c r="E40" s="82">
        <v>103699141092.71001</v>
      </c>
      <c r="F40" s="66">
        <f>(E40/$O$76)</f>
        <v>1.7439154029755599E-2</v>
      </c>
      <c r="G40" s="146" t="s">
        <v>329</v>
      </c>
      <c r="H40" s="73">
        <v>100</v>
      </c>
      <c r="I40" s="146" t="s">
        <v>329</v>
      </c>
      <c r="J40" s="73">
        <v>100</v>
      </c>
      <c r="K40" s="67">
        <v>6315</v>
      </c>
      <c r="L40" s="68">
        <v>0.1787</v>
      </c>
      <c r="M40" s="68">
        <v>0.1787</v>
      </c>
      <c r="N40" s="146" t="s">
        <v>329</v>
      </c>
      <c r="O40" s="82">
        <v>103827734325.89</v>
      </c>
      <c r="P40" s="66">
        <f t="shared" si="35"/>
        <v>1.7460779639929216E-2</v>
      </c>
      <c r="Q40" s="146" t="s">
        <v>329</v>
      </c>
      <c r="R40" s="73">
        <v>100</v>
      </c>
      <c r="S40" s="146" t="s">
        <v>329</v>
      </c>
      <c r="T40" s="73">
        <v>100</v>
      </c>
      <c r="U40" s="67">
        <v>6312</v>
      </c>
      <c r="V40" s="68">
        <v>0.1792</v>
      </c>
      <c r="W40" s="68">
        <v>0.1792</v>
      </c>
      <c r="X40" s="162">
        <f t="shared" si="18"/>
        <v>1.240060735556398E-3</v>
      </c>
      <c r="Y40" s="162">
        <f t="shared" si="19"/>
        <v>0</v>
      </c>
      <c r="Z40" s="162">
        <f t="shared" si="20"/>
        <v>-4.7505938242280285E-4</v>
      </c>
      <c r="AA40" s="160">
        <f t="shared" si="21"/>
        <v>5.0000000000000044E-4</v>
      </c>
      <c r="AB40" s="161">
        <f t="shared" si="22"/>
        <v>5.0000000000000044E-4</v>
      </c>
    </row>
    <row r="41" spans="1:28">
      <c r="A41" s="205">
        <v>33</v>
      </c>
      <c r="B41" s="59" t="s">
        <v>68</v>
      </c>
      <c r="C41" s="60" t="s">
        <v>69</v>
      </c>
      <c r="D41" s="146" t="s">
        <v>329</v>
      </c>
      <c r="E41" s="82">
        <v>44798905667.010002</v>
      </c>
      <c r="F41" s="66">
        <f>(E41/$O$76)</f>
        <v>7.5338619785964671E-3</v>
      </c>
      <c r="G41" s="146" t="s">
        <v>329</v>
      </c>
      <c r="H41" s="73">
        <v>100</v>
      </c>
      <c r="I41" s="146" t="s">
        <v>329</v>
      </c>
      <c r="J41" s="73">
        <v>100</v>
      </c>
      <c r="K41" s="67">
        <v>5957</v>
      </c>
      <c r="L41" s="68">
        <v>0.16420000000000001</v>
      </c>
      <c r="M41" s="68">
        <v>0.16420000000000001</v>
      </c>
      <c r="N41" s="146" t="s">
        <v>329</v>
      </c>
      <c r="O41" s="82">
        <v>45241173587.830002</v>
      </c>
      <c r="P41" s="66">
        <f t="shared" si="35"/>
        <v>7.608238471133703E-3</v>
      </c>
      <c r="Q41" s="146" t="s">
        <v>329</v>
      </c>
      <c r="R41" s="73">
        <v>100</v>
      </c>
      <c r="S41" s="146" t="s">
        <v>329</v>
      </c>
      <c r="T41" s="73">
        <v>100</v>
      </c>
      <c r="U41" s="67">
        <v>5969</v>
      </c>
      <c r="V41" s="68">
        <v>0.1671</v>
      </c>
      <c r="W41" s="68">
        <v>0.1671</v>
      </c>
      <c r="X41" s="162">
        <f t="shared" si="18"/>
        <v>9.8722929552649014E-3</v>
      </c>
      <c r="Y41" s="162">
        <f t="shared" si="19"/>
        <v>0</v>
      </c>
      <c r="Z41" s="162">
        <f t="shared" si="20"/>
        <v>2.0144367970454926E-3</v>
      </c>
      <c r="AA41" s="160">
        <f t="shared" si="21"/>
        <v>2.8999999999999859E-3</v>
      </c>
      <c r="AB41" s="161">
        <f t="shared" si="22"/>
        <v>2.8999999999999859E-3</v>
      </c>
    </row>
    <row r="42" spans="1:28">
      <c r="A42" s="205">
        <v>34</v>
      </c>
      <c r="B42" s="59" t="s">
        <v>70</v>
      </c>
      <c r="C42" s="60" t="s">
        <v>71</v>
      </c>
      <c r="D42" s="146" t="s">
        <v>329</v>
      </c>
      <c r="E42" s="82">
        <v>75540961514.350006</v>
      </c>
      <c r="F42" s="66">
        <f>(E42/$O$76)</f>
        <v>1.2703774105774149E-2</v>
      </c>
      <c r="G42" s="146" t="s">
        <v>329</v>
      </c>
      <c r="H42" s="73">
        <v>1</v>
      </c>
      <c r="I42" s="146" t="s">
        <v>329</v>
      </c>
      <c r="J42" s="73">
        <v>1</v>
      </c>
      <c r="K42" s="67">
        <v>18429</v>
      </c>
      <c r="L42" s="68">
        <v>0.20599999999999999</v>
      </c>
      <c r="M42" s="68">
        <v>0.20599999999999999</v>
      </c>
      <c r="N42" s="146" t="s">
        <v>329</v>
      </c>
      <c r="O42" s="82">
        <v>76325374736.039993</v>
      </c>
      <c r="P42" s="66">
        <f t="shared" si="35"/>
        <v>1.2835689402775487E-2</v>
      </c>
      <c r="Q42" s="146" t="s">
        <v>329</v>
      </c>
      <c r="R42" s="73">
        <v>1</v>
      </c>
      <c r="S42" s="146" t="s">
        <v>329</v>
      </c>
      <c r="T42" s="73">
        <v>1</v>
      </c>
      <c r="U42" s="67">
        <v>18679</v>
      </c>
      <c r="V42" s="68">
        <v>0.20599999999999999</v>
      </c>
      <c r="W42" s="68">
        <v>0.20599999999999999</v>
      </c>
      <c r="X42" s="162">
        <f t="shared" si="18"/>
        <v>1.0383945424641935E-2</v>
      </c>
      <c r="Y42" s="162">
        <f t="shared" si="19"/>
        <v>0</v>
      </c>
      <c r="Z42" s="162">
        <f t="shared" si="20"/>
        <v>1.356557599435672E-2</v>
      </c>
      <c r="AA42" s="160">
        <f t="shared" si="21"/>
        <v>0</v>
      </c>
      <c r="AB42" s="161">
        <f t="shared" si="22"/>
        <v>0</v>
      </c>
    </row>
    <row r="43" spans="1:28">
      <c r="A43" s="205">
        <v>35</v>
      </c>
      <c r="B43" s="59" t="s">
        <v>72</v>
      </c>
      <c r="C43" s="60" t="s">
        <v>73</v>
      </c>
      <c r="D43" s="146" t="s">
        <v>329</v>
      </c>
      <c r="E43" s="82">
        <v>1800826245.3800001</v>
      </c>
      <c r="F43" s="66">
        <v>0</v>
      </c>
      <c r="G43" s="146" t="s">
        <v>329</v>
      </c>
      <c r="H43" s="73">
        <v>1000</v>
      </c>
      <c r="I43" s="146" t="s">
        <v>329</v>
      </c>
      <c r="J43" s="73">
        <v>1000</v>
      </c>
      <c r="K43" s="67">
        <v>149</v>
      </c>
      <c r="L43" s="68">
        <v>0.2001</v>
      </c>
      <c r="M43" s="68">
        <v>0.2001</v>
      </c>
      <c r="N43" s="146" t="s">
        <v>329</v>
      </c>
      <c r="O43" s="82">
        <v>1765198242.73</v>
      </c>
      <c r="P43" s="66">
        <f t="shared" si="35"/>
        <v>2.9685457105667817E-4</v>
      </c>
      <c r="Q43" s="146" t="s">
        <v>329</v>
      </c>
      <c r="R43" s="73">
        <v>1000</v>
      </c>
      <c r="S43" s="146" t="s">
        <v>329</v>
      </c>
      <c r="T43" s="73">
        <v>1000</v>
      </c>
      <c r="U43" s="67">
        <v>189</v>
      </c>
      <c r="V43" s="68">
        <v>0.20699999999999999</v>
      </c>
      <c r="W43" s="68">
        <v>0.20699999999999999</v>
      </c>
      <c r="X43" s="162">
        <f t="shared" si="18"/>
        <v>-1.9784253334492068E-2</v>
      </c>
      <c r="Y43" s="162">
        <f t="shared" si="19"/>
        <v>0</v>
      </c>
      <c r="Z43" s="162">
        <f t="shared" si="20"/>
        <v>0.26845637583892618</v>
      </c>
      <c r="AA43" s="160">
        <f t="shared" si="21"/>
        <v>6.8999999999999895E-3</v>
      </c>
      <c r="AB43" s="161">
        <f t="shared" si="22"/>
        <v>6.8999999999999895E-3</v>
      </c>
    </row>
    <row r="44" spans="1:28">
      <c r="A44" s="205">
        <v>36</v>
      </c>
      <c r="B44" s="59" t="s">
        <v>74</v>
      </c>
      <c r="C44" s="60" t="s">
        <v>75</v>
      </c>
      <c r="D44" s="146" t="s">
        <v>329</v>
      </c>
      <c r="E44" s="82">
        <v>90599679691.410004</v>
      </c>
      <c r="F44" s="66">
        <f t="shared" ref="F44:F53" si="36">(E44/$O$76)</f>
        <v>1.5236208830046819E-2</v>
      </c>
      <c r="G44" s="146" t="s">
        <v>329</v>
      </c>
      <c r="H44" s="83">
        <v>100</v>
      </c>
      <c r="I44" s="146" t="s">
        <v>329</v>
      </c>
      <c r="J44" s="83">
        <v>100</v>
      </c>
      <c r="K44" s="67">
        <v>4953</v>
      </c>
      <c r="L44" s="68">
        <v>0.15240000000000001</v>
      </c>
      <c r="M44" s="68">
        <v>0.15240000000000001</v>
      </c>
      <c r="N44" s="146" t="s">
        <v>329</v>
      </c>
      <c r="O44" s="82">
        <v>97173495418.199997</v>
      </c>
      <c r="P44" s="66">
        <f t="shared" si="35"/>
        <v>1.6341731824882692E-2</v>
      </c>
      <c r="Q44" s="146" t="s">
        <v>329</v>
      </c>
      <c r="R44" s="83">
        <v>100</v>
      </c>
      <c r="S44" s="146" t="s">
        <v>329</v>
      </c>
      <c r="T44" s="83">
        <v>100</v>
      </c>
      <c r="U44" s="67">
        <v>5087</v>
      </c>
      <c r="V44" s="68">
        <v>0.1542</v>
      </c>
      <c r="W44" s="68">
        <v>0.1542</v>
      </c>
      <c r="X44" s="162">
        <f t="shared" si="18"/>
        <v>7.255892900704454E-2</v>
      </c>
      <c r="Y44" s="162">
        <f t="shared" si="19"/>
        <v>0</v>
      </c>
      <c r="Z44" s="162">
        <f t="shared" si="20"/>
        <v>2.705431051887745E-2</v>
      </c>
      <c r="AA44" s="160">
        <f t="shared" si="21"/>
        <v>1.799999999999996E-3</v>
      </c>
      <c r="AB44" s="161">
        <f t="shared" si="22"/>
        <v>1.799999999999996E-3</v>
      </c>
    </row>
    <row r="45" spans="1:28">
      <c r="A45" s="205">
        <v>37</v>
      </c>
      <c r="B45" s="59" t="s">
        <v>76</v>
      </c>
      <c r="C45" s="60" t="s">
        <v>75</v>
      </c>
      <c r="D45" s="146" t="s">
        <v>329</v>
      </c>
      <c r="E45" s="82">
        <v>9557091336.6200008</v>
      </c>
      <c r="F45" s="66">
        <f t="shared" si="36"/>
        <v>1.6072224527564159E-3</v>
      </c>
      <c r="G45" s="146" t="s">
        <v>329</v>
      </c>
      <c r="H45" s="83">
        <v>1000000</v>
      </c>
      <c r="I45" s="146" t="s">
        <v>329</v>
      </c>
      <c r="J45" s="83">
        <v>1000000</v>
      </c>
      <c r="K45" s="67">
        <v>50</v>
      </c>
      <c r="L45" s="68">
        <v>0.1545</v>
      </c>
      <c r="M45" s="68">
        <v>0.1545</v>
      </c>
      <c r="N45" s="146" t="s">
        <v>329</v>
      </c>
      <c r="O45" s="82">
        <v>9554797879.2399998</v>
      </c>
      <c r="P45" s="66">
        <f t="shared" si="35"/>
        <v>1.6068367604923424E-3</v>
      </c>
      <c r="Q45" s="146" t="s">
        <v>329</v>
      </c>
      <c r="R45" s="83">
        <v>1000000</v>
      </c>
      <c r="S45" s="146" t="s">
        <v>329</v>
      </c>
      <c r="T45" s="83">
        <v>1000000</v>
      </c>
      <c r="U45" s="67">
        <v>50</v>
      </c>
      <c r="V45" s="68">
        <v>0.15509999999999999</v>
      </c>
      <c r="W45" s="68">
        <v>0.15509999999999999</v>
      </c>
      <c r="X45" s="162">
        <f t="shared" si="18"/>
        <v>-2.3997441263464805E-4</v>
      </c>
      <c r="Y45" s="162">
        <f t="shared" si="19"/>
        <v>0</v>
      </c>
      <c r="Z45" s="162">
        <f t="shared" si="20"/>
        <v>0</v>
      </c>
      <c r="AA45" s="160">
        <f t="shared" si="21"/>
        <v>5.9999999999998943E-4</v>
      </c>
      <c r="AB45" s="161">
        <f t="shared" si="22"/>
        <v>5.9999999999998943E-4</v>
      </c>
    </row>
    <row r="46" spans="1:28">
      <c r="A46" s="205">
        <v>38</v>
      </c>
      <c r="B46" s="59" t="s">
        <v>77</v>
      </c>
      <c r="C46" s="60" t="s">
        <v>78</v>
      </c>
      <c r="D46" s="146" t="s">
        <v>329</v>
      </c>
      <c r="E46" s="82">
        <v>8510723485.25</v>
      </c>
      <c r="F46" s="66">
        <f t="shared" si="36"/>
        <v>1.4312540701879254E-3</v>
      </c>
      <c r="G46" s="146" t="s">
        <v>329</v>
      </c>
      <c r="H46" s="73">
        <v>1</v>
      </c>
      <c r="I46" s="146" t="s">
        <v>329</v>
      </c>
      <c r="J46" s="73">
        <v>1</v>
      </c>
      <c r="K46" s="67">
        <v>1267</v>
      </c>
      <c r="L46" s="68">
        <v>0.1764</v>
      </c>
      <c r="M46" s="68">
        <v>0.1764</v>
      </c>
      <c r="N46" s="146" t="s">
        <v>329</v>
      </c>
      <c r="O46" s="82">
        <v>8583841729.9700003</v>
      </c>
      <c r="P46" s="66">
        <f t="shared" si="35"/>
        <v>1.443550414387319E-3</v>
      </c>
      <c r="Q46" s="146" t="s">
        <v>329</v>
      </c>
      <c r="R46" s="73">
        <v>1</v>
      </c>
      <c r="S46" s="146" t="s">
        <v>329</v>
      </c>
      <c r="T46" s="73">
        <v>1</v>
      </c>
      <c r="U46" s="67">
        <v>1276</v>
      </c>
      <c r="V46" s="68">
        <v>0.1724</v>
      </c>
      <c r="W46" s="68">
        <v>0.1724</v>
      </c>
      <c r="X46" s="162">
        <f t="shared" si="18"/>
        <v>8.5913077597600321E-3</v>
      </c>
      <c r="Y46" s="162">
        <f t="shared" si="19"/>
        <v>0</v>
      </c>
      <c r="Z46" s="162">
        <f t="shared" si="20"/>
        <v>7.1033938437253356E-3</v>
      </c>
      <c r="AA46" s="160">
        <f t="shared" si="21"/>
        <v>-4.0000000000000036E-3</v>
      </c>
      <c r="AB46" s="161">
        <f t="shared" si="22"/>
        <v>-4.0000000000000036E-3</v>
      </c>
    </row>
    <row r="47" spans="1:28">
      <c r="A47" s="205">
        <v>48</v>
      </c>
      <c r="B47" s="59" t="s">
        <v>317</v>
      </c>
      <c r="C47" s="60" t="s">
        <v>38</v>
      </c>
      <c r="D47" s="146" t="s">
        <v>329</v>
      </c>
      <c r="E47" s="82">
        <v>66156518577.699997</v>
      </c>
      <c r="F47" s="66">
        <f t="shared" si="36"/>
        <v>1.1125586050104743E-2</v>
      </c>
      <c r="G47" s="146" t="s">
        <v>329</v>
      </c>
      <c r="H47" s="73">
        <v>1</v>
      </c>
      <c r="I47" s="146" t="s">
        <v>329</v>
      </c>
      <c r="J47" s="73">
        <v>1</v>
      </c>
      <c r="K47" s="67">
        <v>3927</v>
      </c>
      <c r="L47" s="68">
        <v>0.15909999999999999</v>
      </c>
      <c r="M47" s="68">
        <v>0.15909999999999999</v>
      </c>
      <c r="N47" s="146" t="s">
        <v>329</v>
      </c>
      <c r="O47" s="82">
        <v>68661980009.290001</v>
      </c>
      <c r="P47" s="66">
        <f t="shared" si="35"/>
        <v>1.1546931177563871E-2</v>
      </c>
      <c r="Q47" s="146" t="s">
        <v>329</v>
      </c>
      <c r="R47" s="73">
        <v>1</v>
      </c>
      <c r="S47" s="146" t="s">
        <v>329</v>
      </c>
      <c r="T47" s="73">
        <v>1</v>
      </c>
      <c r="U47" s="67">
        <v>3963</v>
      </c>
      <c r="V47" s="68">
        <v>0.1585</v>
      </c>
      <c r="W47" s="68">
        <v>0.1585</v>
      </c>
      <c r="X47" s="162">
        <f>((O47-E47)/E47)</f>
        <v>3.7871724290439668E-2</v>
      </c>
      <c r="Y47" s="162">
        <f>((T47-J47)/J47)</f>
        <v>0</v>
      </c>
      <c r="Z47" s="162">
        <f>((U47-K47)/K47)</f>
        <v>9.1673032849503445E-3</v>
      </c>
      <c r="AA47" s="160">
        <f>V47-L47</f>
        <v>-5.9999999999998943E-4</v>
      </c>
      <c r="AB47" s="161">
        <f>W47-M47</f>
        <v>-5.9999999999998943E-4</v>
      </c>
    </row>
    <row r="48" spans="1:28">
      <c r="A48" s="205">
        <v>39</v>
      </c>
      <c r="B48" s="59" t="s">
        <v>321</v>
      </c>
      <c r="C48" s="60" t="s">
        <v>79</v>
      </c>
      <c r="D48" s="146" t="s">
        <v>329</v>
      </c>
      <c r="E48" s="82">
        <v>730203519054.09998</v>
      </c>
      <c r="F48" s="66">
        <f t="shared" si="36"/>
        <v>0.12279881499181702</v>
      </c>
      <c r="G48" s="146" t="s">
        <v>329</v>
      </c>
      <c r="H48" s="73">
        <v>100</v>
      </c>
      <c r="I48" s="146" t="s">
        <v>329</v>
      </c>
      <c r="J48" s="73">
        <v>100</v>
      </c>
      <c r="K48" s="67">
        <v>42223</v>
      </c>
      <c r="L48" s="68">
        <v>0.157</v>
      </c>
      <c r="M48" s="68">
        <v>0.157</v>
      </c>
      <c r="N48" s="146" t="s">
        <v>329</v>
      </c>
      <c r="O48" s="82">
        <v>733796602328.53003</v>
      </c>
      <c r="P48" s="66">
        <f t="shared" si="35"/>
        <v>0.12340306621322786</v>
      </c>
      <c r="Q48" s="146" t="s">
        <v>329</v>
      </c>
      <c r="R48" s="73">
        <v>100</v>
      </c>
      <c r="S48" s="146" t="s">
        <v>329</v>
      </c>
      <c r="T48" s="73">
        <v>100</v>
      </c>
      <c r="U48" s="67">
        <v>42445</v>
      </c>
      <c r="V48" s="68">
        <v>0.1537</v>
      </c>
      <c r="W48" s="68">
        <v>0.1537</v>
      </c>
      <c r="X48" s="162">
        <f t="shared" si="18"/>
        <v>4.9206600361013132E-3</v>
      </c>
      <c r="Y48" s="162">
        <f t="shared" si="19"/>
        <v>0</v>
      </c>
      <c r="Z48" s="162">
        <f t="shared" si="20"/>
        <v>5.2577978826705823E-3</v>
      </c>
      <c r="AA48" s="160">
        <f t="shared" si="21"/>
        <v>-3.2999999999999974E-3</v>
      </c>
      <c r="AB48" s="161">
        <f t="shared" si="22"/>
        <v>-3.2999999999999974E-3</v>
      </c>
    </row>
    <row r="49" spans="1:28">
      <c r="A49" s="205">
        <v>40</v>
      </c>
      <c r="B49" s="59" t="s">
        <v>80</v>
      </c>
      <c r="C49" s="60" t="s">
        <v>81</v>
      </c>
      <c r="D49" s="146" t="s">
        <v>329</v>
      </c>
      <c r="E49" s="84">
        <v>7958015385.7700005</v>
      </c>
      <c r="F49" s="66">
        <f t="shared" si="36"/>
        <v>1.3383047788171525E-3</v>
      </c>
      <c r="G49" s="146" t="s">
        <v>329</v>
      </c>
      <c r="H49" s="73">
        <v>1</v>
      </c>
      <c r="I49" s="146" t="s">
        <v>329</v>
      </c>
      <c r="J49" s="73">
        <v>1</v>
      </c>
      <c r="K49" s="85">
        <v>2453</v>
      </c>
      <c r="L49" s="86">
        <v>0.1802</v>
      </c>
      <c r="M49" s="86">
        <v>0.1802</v>
      </c>
      <c r="N49" s="146" t="s">
        <v>329</v>
      </c>
      <c r="O49" s="84">
        <v>8140355854.3400002</v>
      </c>
      <c r="P49" s="66">
        <f t="shared" si="35"/>
        <v>1.3689690975737287E-3</v>
      </c>
      <c r="Q49" s="146" t="s">
        <v>329</v>
      </c>
      <c r="R49" s="73">
        <v>1</v>
      </c>
      <c r="S49" s="146" t="s">
        <v>329</v>
      </c>
      <c r="T49" s="73">
        <v>1</v>
      </c>
      <c r="U49" s="85">
        <v>2477</v>
      </c>
      <c r="V49" s="86">
        <v>0.17749999999999999</v>
      </c>
      <c r="W49" s="86">
        <v>0.17749999999999999</v>
      </c>
      <c r="X49" s="162">
        <f t="shared" si="18"/>
        <v>2.2912806740239398E-2</v>
      </c>
      <c r="Y49" s="162">
        <f t="shared" si="19"/>
        <v>0</v>
      </c>
      <c r="Z49" s="162">
        <f t="shared" si="20"/>
        <v>9.7839380350591108E-3</v>
      </c>
      <c r="AA49" s="160">
        <f t="shared" si="21"/>
        <v>-2.7000000000000079E-3</v>
      </c>
      <c r="AB49" s="161">
        <f t="shared" si="22"/>
        <v>-2.7000000000000079E-3</v>
      </c>
    </row>
    <row r="50" spans="1:28">
      <c r="A50" s="205">
        <v>41</v>
      </c>
      <c r="B50" s="59" t="s">
        <v>82</v>
      </c>
      <c r="C50" s="60" t="s">
        <v>83</v>
      </c>
      <c r="D50" s="146" t="s">
        <v>329</v>
      </c>
      <c r="E50" s="82">
        <v>5481302875.5</v>
      </c>
      <c r="F50" s="66">
        <f t="shared" si="36"/>
        <v>9.2179437671645911E-4</v>
      </c>
      <c r="G50" s="146" t="s">
        <v>329</v>
      </c>
      <c r="H50" s="73">
        <v>1</v>
      </c>
      <c r="I50" s="146" t="s">
        <v>329</v>
      </c>
      <c r="J50" s="73">
        <v>1</v>
      </c>
      <c r="K50" s="85">
        <v>923</v>
      </c>
      <c r="L50" s="86">
        <v>0.16</v>
      </c>
      <c r="M50" s="86">
        <v>0.16</v>
      </c>
      <c r="N50" s="146" t="s">
        <v>329</v>
      </c>
      <c r="O50" s="82">
        <v>5554402319.9200001</v>
      </c>
      <c r="P50" s="66">
        <f t="shared" si="35"/>
        <v>9.3408755925680667E-4</v>
      </c>
      <c r="Q50" s="146" t="s">
        <v>329</v>
      </c>
      <c r="R50" s="73">
        <v>1</v>
      </c>
      <c r="S50" s="146" t="s">
        <v>329</v>
      </c>
      <c r="T50" s="73">
        <v>1</v>
      </c>
      <c r="U50" s="85">
        <v>927</v>
      </c>
      <c r="V50" s="86">
        <v>0.16</v>
      </c>
      <c r="W50" s="86">
        <v>0.16</v>
      </c>
      <c r="X50" s="162">
        <f t="shared" si="18"/>
        <v>1.3336143993563211E-2</v>
      </c>
      <c r="Y50" s="162">
        <f t="shared" si="19"/>
        <v>0</v>
      </c>
      <c r="Z50" s="162">
        <f t="shared" si="20"/>
        <v>4.3336944745395447E-3</v>
      </c>
      <c r="AA50" s="160">
        <f t="shared" si="21"/>
        <v>0</v>
      </c>
      <c r="AB50" s="161">
        <f t="shared" si="22"/>
        <v>0</v>
      </c>
    </row>
    <row r="51" spans="1:28">
      <c r="A51" s="205">
        <v>42</v>
      </c>
      <c r="B51" s="59" t="s">
        <v>84</v>
      </c>
      <c r="C51" s="60" t="s">
        <v>85</v>
      </c>
      <c r="D51" s="146" t="s">
        <v>329</v>
      </c>
      <c r="E51" s="82">
        <v>62460686.420000002</v>
      </c>
      <c r="F51" s="66">
        <f t="shared" si="36"/>
        <v>1.0504055480158826E-5</v>
      </c>
      <c r="G51" s="146" t="s">
        <v>329</v>
      </c>
      <c r="H51" s="73">
        <v>1</v>
      </c>
      <c r="I51" s="146" t="s">
        <v>329</v>
      </c>
      <c r="J51" s="73">
        <v>1</v>
      </c>
      <c r="K51" s="85">
        <v>30</v>
      </c>
      <c r="L51" s="86">
        <v>0.105</v>
      </c>
      <c r="M51" s="86">
        <v>0.105</v>
      </c>
      <c r="N51" s="146" t="s">
        <v>329</v>
      </c>
      <c r="O51" s="82">
        <v>62460686.420000002</v>
      </c>
      <c r="P51" s="66">
        <f t="shared" si="35"/>
        <v>1.0504055480158826E-5</v>
      </c>
      <c r="Q51" s="146" t="s">
        <v>329</v>
      </c>
      <c r="R51" s="73">
        <v>1</v>
      </c>
      <c r="S51" s="146" t="s">
        <v>329</v>
      </c>
      <c r="T51" s="73">
        <v>1</v>
      </c>
      <c r="U51" s="85">
        <v>30</v>
      </c>
      <c r="V51" s="86">
        <v>0.105</v>
      </c>
      <c r="W51" s="86">
        <v>0.105</v>
      </c>
      <c r="X51" s="162">
        <f t="shared" si="18"/>
        <v>0</v>
      </c>
      <c r="Y51" s="162">
        <f t="shared" si="19"/>
        <v>0</v>
      </c>
      <c r="Z51" s="162">
        <f t="shared" si="20"/>
        <v>0</v>
      </c>
      <c r="AA51" s="160">
        <f t="shared" si="21"/>
        <v>0</v>
      </c>
      <c r="AB51" s="161">
        <f t="shared" si="22"/>
        <v>0</v>
      </c>
    </row>
    <row r="52" spans="1:28">
      <c r="A52" s="205">
        <v>43</v>
      </c>
      <c r="B52" s="59" t="s">
        <v>86</v>
      </c>
      <c r="C52" s="60" t="s">
        <v>87</v>
      </c>
      <c r="D52" s="146" t="s">
        <v>329</v>
      </c>
      <c r="E52" s="82">
        <v>2146554936.78</v>
      </c>
      <c r="F52" s="66">
        <f t="shared" si="36"/>
        <v>3.6098758178114079E-4</v>
      </c>
      <c r="G52" s="146" t="s">
        <v>329</v>
      </c>
      <c r="H52" s="73">
        <v>10</v>
      </c>
      <c r="I52" s="146" t="s">
        <v>329</v>
      </c>
      <c r="J52" s="73">
        <v>10</v>
      </c>
      <c r="K52" s="67">
        <v>571</v>
      </c>
      <c r="L52" s="68">
        <v>0.1671</v>
      </c>
      <c r="M52" s="68">
        <v>0.1671</v>
      </c>
      <c r="N52" s="146" t="s">
        <v>329</v>
      </c>
      <c r="O52" s="82">
        <v>2146099036.98</v>
      </c>
      <c r="P52" s="66">
        <f t="shared" si="35"/>
        <v>3.6091091280634932E-4</v>
      </c>
      <c r="Q52" s="146" t="s">
        <v>329</v>
      </c>
      <c r="R52" s="73">
        <v>10</v>
      </c>
      <c r="S52" s="146" t="s">
        <v>329</v>
      </c>
      <c r="T52" s="73">
        <v>10</v>
      </c>
      <c r="U52" s="67">
        <v>570</v>
      </c>
      <c r="V52" s="68">
        <v>0.1663</v>
      </c>
      <c r="W52" s="68">
        <v>0.1663</v>
      </c>
      <c r="X52" s="162">
        <f t="shared" si="18"/>
        <v>-2.1238673755251641E-4</v>
      </c>
      <c r="Y52" s="162">
        <f t="shared" si="19"/>
        <v>0</v>
      </c>
      <c r="Z52" s="162">
        <f t="shared" si="20"/>
        <v>-1.7513134851138354E-3</v>
      </c>
      <c r="AA52" s="160">
        <f t="shared" si="21"/>
        <v>-7.9999999999999516E-4</v>
      </c>
      <c r="AB52" s="161">
        <f t="shared" si="22"/>
        <v>-7.9999999999999516E-4</v>
      </c>
    </row>
    <row r="53" spans="1:28">
      <c r="A53" s="205">
        <v>44</v>
      </c>
      <c r="B53" s="59" t="s">
        <v>88</v>
      </c>
      <c r="C53" s="60" t="s">
        <v>89</v>
      </c>
      <c r="D53" s="146" t="s">
        <v>329</v>
      </c>
      <c r="E53" s="82">
        <v>13431890404.540001</v>
      </c>
      <c r="F53" s="66">
        <f t="shared" si="36"/>
        <v>2.2588500078911098E-3</v>
      </c>
      <c r="G53" s="146" t="s">
        <v>329</v>
      </c>
      <c r="H53" s="73">
        <v>100</v>
      </c>
      <c r="I53" s="146" t="s">
        <v>329</v>
      </c>
      <c r="J53" s="73">
        <v>100</v>
      </c>
      <c r="K53" s="67">
        <v>1105</v>
      </c>
      <c r="L53" s="68">
        <v>0.18579999999999999</v>
      </c>
      <c r="M53" s="68">
        <v>0.18579999999999999</v>
      </c>
      <c r="N53" s="146" t="s">
        <v>329</v>
      </c>
      <c r="O53" s="82">
        <v>13237155035.34</v>
      </c>
      <c r="P53" s="66">
        <f t="shared" si="35"/>
        <v>2.2261012303917476E-3</v>
      </c>
      <c r="Q53" s="146" t="s">
        <v>329</v>
      </c>
      <c r="R53" s="73">
        <v>100</v>
      </c>
      <c r="S53" s="146" t="s">
        <v>329</v>
      </c>
      <c r="T53" s="73">
        <v>100</v>
      </c>
      <c r="U53" s="67">
        <v>1108</v>
      </c>
      <c r="V53" s="68">
        <v>0.18640000000000001</v>
      </c>
      <c r="W53" s="68">
        <v>0.18640000000000001</v>
      </c>
      <c r="X53" s="162">
        <f t="shared" si="18"/>
        <v>-1.4497986756516409E-2</v>
      </c>
      <c r="Y53" s="162">
        <f t="shared" si="19"/>
        <v>0</v>
      </c>
      <c r="Z53" s="162">
        <f t="shared" si="20"/>
        <v>2.7149321266968325E-3</v>
      </c>
      <c r="AA53" s="160">
        <f t="shared" si="21"/>
        <v>6.0000000000001719E-4</v>
      </c>
      <c r="AB53" s="161">
        <f t="shared" si="22"/>
        <v>6.0000000000001719E-4</v>
      </c>
    </row>
    <row r="54" spans="1:28">
      <c r="A54" s="205">
        <v>45</v>
      </c>
      <c r="B54" s="59" t="s">
        <v>90</v>
      </c>
      <c r="C54" s="59" t="s">
        <v>91</v>
      </c>
      <c r="D54" s="146" t="s">
        <v>329</v>
      </c>
      <c r="E54" s="87">
        <v>147846922.06999999</v>
      </c>
      <c r="F54" s="66">
        <v>0</v>
      </c>
      <c r="G54" s="146" t="s">
        <v>329</v>
      </c>
      <c r="H54" s="65">
        <v>1</v>
      </c>
      <c r="I54" s="146" t="s">
        <v>329</v>
      </c>
      <c r="J54" s="65">
        <v>1</v>
      </c>
      <c r="K54" s="67">
        <v>172</v>
      </c>
      <c r="L54" s="68">
        <v>0.1678</v>
      </c>
      <c r="M54" s="68">
        <v>0.1678</v>
      </c>
      <c r="N54" s="146" t="s">
        <v>329</v>
      </c>
      <c r="O54" s="87">
        <v>147892987.94999999</v>
      </c>
      <c r="P54" s="88">
        <f>(O54/$O$203)</f>
        <v>9.6167364806780116E-4</v>
      </c>
      <c r="Q54" s="146" t="s">
        <v>329</v>
      </c>
      <c r="R54" s="65">
        <v>1.01</v>
      </c>
      <c r="S54" s="146" t="s">
        <v>329</v>
      </c>
      <c r="T54" s="65">
        <v>1.01</v>
      </c>
      <c r="U54" s="67">
        <v>172</v>
      </c>
      <c r="V54" s="68">
        <v>0.17050000000000001</v>
      </c>
      <c r="W54" s="68">
        <v>0.17050000000000001</v>
      </c>
      <c r="X54" s="160">
        <f t="shared" si="18"/>
        <v>3.1157821451423089E-4</v>
      </c>
      <c r="Y54" s="160">
        <f t="shared" si="19"/>
        <v>1.0000000000000009E-2</v>
      </c>
      <c r="Z54" s="160">
        <f t="shared" si="20"/>
        <v>0</v>
      </c>
      <c r="AA54" s="160">
        <f t="shared" si="21"/>
        <v>2.7000000000000079E-3</v>
      </c>
      <c r="AB54" s="161">
        <f t="shared" si="22"/>
        <v>2.7000000000000079E-3</v>
      </c>
    </row>
    <row r="55" spans="1:28">
      <c r="A55" s="205">
        <v>46</v>
      </c>
      <c r="B55" s="59" t="s">
        <v>92</v>
      </c>
      <c r="C55" s="60" t="s">
        <v>35</v>
      </c>
      <c r="D55" s="146" t="s">
        <v>329</v>
      </c>
      <c r="E55" s="82">
        <v>4317894228.6899996</v>
      </c>
      <c r="F55" s="66">
        <f t="shared" ref="F55:F75" si="37">(E55/$O$76)</f>
        <v>7.2614316516852258E-4</v>
      </c>
      <c r="G55" s="146" t="s">
        <v>329</v>
      </c>
      <c r="H55" s="73">
        <v>100</v>
      </c>
      <c r="I55" s="146" t="s">
        <v>329</v>
      </c>
      <c r="J55" s="73">
        <v>100</v>
      </c>
      <c r="K55" s="67">
        <v>15849</v>
      </c>
      <c r="L55" s="68">
        <v>0.15090000000000001</v>
      </c>
      <c r="M55" s="68">
        <v>0.15090000000000001</v>
      </c>
      <c r="N55" s="146" t="s">
        <v>329</v>
      </c>
      <c r="O55" s="82">
        <v>4508344310.3199997</v>
      </c>
      <c r="P55" s="66">
        <f t="shared" ref="P55:P68" si="38">(O55/$O$76)</f>
        <v>7.5817128298635264E-4</v>
      </c>
      <c r="Q55" s="146" t="s">
        <v>329</v>
      </c>
      <c r="R55" s="73">
        <v>100</v>
      </c>
      <c r="S55" s="146" t="s">
        <v>329</v>
      </c>
      <c r="T55" s="73">
        <v>100</v>
      </c>
      <c r="U55" s="67">
        <v>15993</v>
      </c>
      <c r="V55" s="68">
        <v>0.156</v>
      </c>
      <c r="W55" s="68">
        <v>0.156</v>
      </c>
      <c r="X55" s="162">
        <f t="shared" ref="X55" si="39">((O55-E55)/E55)</f>
        <v>4.4107166952947925E-2</v>
      </c>
      <c r="Y55" s="162">
        <f t="shared" ref="Y55" si="40">((T55-J55)/J55)</f>
        <v>0</v>
      </c>
      <c r="Z55" s="162">
        <f t="shared" ref="Z55" si="41">((U55-K55)/K55)</f>
        <v>9.0857467348097673E-3</v>
      </c>
      <c r="AA55" s="160">
        <f t="shared" ref="AA55" si="42">V55-L55</f>
        <v>5.0999999999999934E-3</v>
      </c>
      <c r="AB55" s="161">
        <f t="shared" ref="AB55" si="43">W55-M55</f>
        <v>5.0999999999999934E-3</v>
      </c>
    </row>
    <row r="56" spans="1:28">
      <c r="A56" s="205">
        <v>47</v>
      </c>
      <c r="B56" s="59" t="s">
        <v>93</v>
      </c>
      <c r="C56" s="60" t="s">
        <v>35</v>
      </c>
      <c r="D56" s="146" t="s">
        <v>329</v>
      </c>
      <c r="E56" s="82">
        <v>518091511782.33002</v>
      </c>
      <c r="F56" s="66">
        <f t="shared" si="37"/>
        <v>8.7127796626621734E-2</v>
      </c>
      <c r="G56" s="146" t="s">
        <v>329</v>
      </c>
      <c r="H56" s="73">
        <v>100</v>
      </c>
      <c r="I56" s="146" t="s">
        <v>329</v>
      </c>
      <c r="J56" s="73">
        <v>100</v>
      </c>
      <c r="K56" s="67">
        <v>48924</v>
      </c>
      <c r="L56" s="68">
        <v>0.17369999999999999</v>
      </c>
      <c r="M56" s="68">
        <v>0.17369999999999999</v>
      </c>
      <c r="N56" s="146" t="s">
        <v>329</v>
      </c>
      <c r="O56" s="82">
        <v>517572211557.14001</v>
      </c>
      <c r="P56" s="66">
        <f t="shared" si="38"/>
        <v>8.7040465559851579E-2</v>
      </c>
      <c r="Q56" s="146" t="s">
        <v>329</v>
      </c>
      <c r="R56" s="73">
        <v>100</v>
      </c>
      <c r="S56" s="146" t="s">
        <v>329</v>
      </c>
      <c r="T56" s="73">
        <v>100</v>
      </c>
      <c r="U56" s="67">
        <v>49633</v>
      </c>
      <c r="V56" s="68">
        <v>0.17460000000000001</v>
      </c>
      <c r="W56" s="68">
        <v>0.17460000000000001</v>
      </c>
      <c r="X56" s="162">
        <f t="shared" si="18"/>
        <v>-1.0023330114085718E-3</v>
      </c>
      <c r="Y56" s="162">
        <f t="shared" si="19"/>
        <v>0</v>
      </c>
      <c r="Z56" s="162">
        <f t="shared" si="20"/>
        <v>1.4491864933366037E-2</v>
      </c>
      <c r="AA56" s="160">
        <f t="shared" si="21"/>
        <v>9.000000000000119E-4</v>
      </c>
      <c r="AB56" s="161">
        <f t="shared" si="22"/>
        <v>9.000000000000119E-4</v>
      </c>
    </row>
    <row r="57" spans="1:28">
      <c r="A57" s="205">
        <v>49</v>
      </c>
      <c r="B57" s="59" t="s">
        <v>94</v>
      </c>
      <c r="C57" s="60" t="s">
        <v>95</v>
      </c>
      <c r="D57" s="146" t="s">
        <v>329</v>
      </c>
      <c r="E57" s="82">
        <v>6327976038.8400002</v>
      </c>
      <c r="F57" s="66">
        <f t="shared" si="37"/>
        <v>1.0641799698155004E-3</v>
      </c>
      <c r="G57" s="146" t="s">
        <v>329</v>
      </c>
      <c r="H57" s="73">
        <v>100</v>
      </c>
      <c r="I57" s="146" t="s">
        <v>329</v>
      </c>
      <c r="J57" s="73">
        <v>100</v>
      </c>
      <c r="K57" s="67">
        <v>1021</v>
      </c>
      <c r="L57" s="68">
        <v>0.16830000000000001</v>
      </c>
      <c r="M57" s="68">
        <v>0.16830000000000001</v>
      </c>
      <c r="N57" s="146" t="s">
        <v>329</v>
      </c>
      <c r="O57" s="82">
        <v>6373603884.8699999</v>
      </c>
      <c r="P57" s="66">
        <f t="shared" si="38"/>
        <v>1.0718532352502811E-3</v>
      </c>
      <c r="Q57" s="146" t="s">
        <v>329</v>
      </c>
      <c r="R57" s="73">
        <v>100</v>
      </c>
      <c r="S57" s="146" t="s">
        <v>329</v>
      </c>
      <c r="T57" s="73">
        <v>100</v>
      </c>
      <c r="U57" s="67">
        <v>1025</v>
      </c>
      <c r="V57" s="68">
        <v>0.16839999999999999</v>
      </c>
      <c r="W57" s="68">
        <v>0.16839999999999999</v>
      </c>
      <c r="X57" s="162">
        <f t="shared" si="18"/>
        <v>7.2104960179912294E-3</v>
      </c>
      <c r="Y57" s="162">
        <f t="shared" si="19"/>
        <v>0</v>
      </c>
      <c r="Z57" s="162">
        <f t="shared" si="20"/>
        <v>3.9177277179236044E-3</v>
      </c>
      <c r="AA57" s="160">
        <f t="shared" si="21"/>
        <v>9.9999999999988987E-5</v>
      </c>
      <c r="AB57" s="161">
        <f t="shared" si="22"/>
        <v>9.9999999999988987E-5</v>
      </c>
    </row>
    <row r="58" spans="1:28">
      <c r="A58" s="205">
        <v>50</v>
      </c>
      <c r="B58" s="59" t="s">
        <v>96</v>
      </c>
      <c r="C58" s="60" t="s">
        <v>40</v>
      </c>
      <c r="D58" s="146" t="s">
        <v>329</v>
      </c>
      <c r="E58" s="84">
        <v>121161919398.21001</v>
      </c>
      <c r="F58" s="66">
        <f t="shared" si="37"/>
        <v>2.0375881156403878E-2</v>
      </c>
      <c r="G58" s="146" t="s">
        <v>329</v>
      </c>
      <c r="H58" s="73">
        <v>10</v>
      </c>
      <c r="I58" s="146" t="s">
        <v>329</v>
      </c>
      <c r="J58" s="73">
        <v>10</v>
      </c>
      <c r="K58" s="67">
        <v>11394</v>
      </c>
      <c r="L58" s="68">
        <v>0.17979999999999999</v>
      </c>
      <c r="M58" s="68">
        <v>0.17979999999999999</v>
      </c>
      <c r="N58" s="146" t="s">
        <v>329</v>
      </c>
      <c r="O58" s="84">
        <v>121424910506.72</v>
      </c>
      <c r="P58" s="66">
        <f t="shared" si="38"/>
        <v>2.0420108547310249E-2</v>
      </c>
      <c r="Q58" s="146" t="s">
        <v>329</v>
      </c>
      <c r="R58" s="73">
        <v>10</v>
      </c>
      <c r="S58" s="146" t="s">
        <v>329</v>
      </c>
      <c r="T58" s="73">
        <v>10</v>
      </c>
      <c r="U58" s="67">
        <v>11481</v>
      </c>
      <c r="V58" s="68">
        <v>0.18279999999999999</v>
      </c>
      <c r="W58" s="68">
        <v>0.18279999999999999</v>
      </c>
      <c r="X58" s="162">
        <f t="shared" si="18"/>
        <v>2.1705756215832928E-3</v>
      </c>
      <c r="Y58" s="162">
        <f t="shared" si="19"/>
        <v>0</v>
      </c>
      <c r="Z58" s="162">
        <f t="shared" si="20"/>
        <v>7.6355976829910483E-3</v>
      </c>
      <c r="AA58" s="160">
        <f t="shared" si="21"/>
        <v>3.0000000000000027E-3</v>
      </c>
      <c r="AB58" s="161">
        <f t="shared" si="22"/>
        <v>3.0000000000000027E-3</v>
      </c>
    </row>
    <row r="59" spans="1:28">
      <c r="A59" s="205">
        <v>51</v>
      </c>
      <c r="B59" s="59" t="s">
        <v>338</v>
      </c>
      <c r="C59" s="60" t="s">
        <v>312</v>
      </c>
      <c r="D59" s="146" t="s">
        <v>329</v>
      </c>
      <c r="E59" s="84">
        <v>441180093.45999998</v>
      </c>
      <c r="F59" s="66">
        <f t="shared" si="37"/>
        <v>7.4193551881325862E-5</v>
      </c>
      <c r="G59" s="146" t="s">
        <v>329</v>
      </c>
      <c r="H59" s="73">
        <v>1</v>
      </c>
      <c r="I59" s="146" t="s">
        <v>329</v>
      </c>
      <c r="J59" s="73">
        <v>1</v>
      </c>
      <c r="K59" s="67">
        <v>312</v>
      </c>
      <c r="L59" s="68">
        <v>0.18457899999999999</v>
      </c>
      <c r="M59" s="68">
        <v>0.18457899999999999</v>
      </c>
      <c r="N59" s="146" t="s">
        <v>329</v>
      </c>
      <c r="O59" s="84">
        <v>488609054.55000001</v>
      </c>
      <c r="P59" s="66">
        <f t="shared" si="38"/>
        <v>8.2169712042385684E-5</v>
      </c>
      <c r="Q59" s="146" t="s">
        <v>329</v>
      </c>
      <c r="R59" s="73">
        <v>1</v>
      </c>
      <c r="S59" s="146" t="s">
        <v>329</v>
      </c>
      <c r="T59" s="73">
        <v>1</v>
      </c>
      <c r="U59" s="67">
        <v>327</v>
      </c>
      <c r="V59" s="68">
        <v>0.18578</v>
      </c>
      <c r="W59" s="68">
        <v>0.18578</v>
      </c>
      <c r="X59" s="162">
        <f t="shared" ref="X59" si="44">((O59-E59)/E59)</f>
        <v>0.10750476232513928</v>
      </c>
      <c r="Y59" s="162">
        <f t="shared" ref="Y59" si="45">((T59-J59)/J59)</f>
        <v>0</v>
      </c>
      <c r="Z59" s="162">
        <f t="shared" ref="Z59" si="46">((U59-K59)/K59)</f>
        <v>4.807692307692308E-2</v>
      </c>
      <c r="AA59" s="160">
        <f t="shared" ref="AA59" si="47">V59-L59</f>
        <v>1.2010000000000076E-3</v>
      </c>
      <c r="AB59" s="161">
        <f t="shared" ref="AB59" si="48">W59-M59</f>
        <v>1.2010000000000076E-3</v>
      </c>
    </row>
    <row r="60" spans="1:28">
      <c r="A60" s="205">
        <v>52</v>
      </c>
      <c r="B60" s="59" t="s">
        <v>97</v>
      </c>
      <c r="C60" s="60" t="s">
        <v>98</v>
      </c>
      <c r="D60" s="146" t="s">
        <v>329</v>
      </c>
      <c r="E60" s="82">
        <v>46133705420</v>
      </c>
      <c r="F60" s="66">
        <f t="shared" si="37"/>
        <v>7.758336147292438E-3</v>
      </c>
      <c r="G60" s="146" t="s">
        <v>329</v>
      </c>
      <c r="H60" s="73">
        <v>100</v>
      </c>
      <c r="I60" s="146" t="s">
        <v>329</v>
      </c>
      <c r="J60" s="73">
        <v>100</v>
      </c>
      <c r="K60" s="67">
        <v>6643</v>
      </c>
      <c r="L60" s="68">
        <v>0.17760000000000001</v>
      </c>
      <c r="M60" s="68">
        <v>0.17760000000000001</v>
      </c>
      <c r="N60" s="146" t="s">
        <v>329</v>
      </c>
      <c r="O60" s="82">
        <v>46407423920</v>
      </c>
      <c r="P60" s="66">
        <f t="shared" si="38"/>
        <v>7.8043675708123882E-3</v>
      </c>
      <c r="Q60" s="146" t="s">
        <v>329</v>
      </c>
      <c r="R60" s="73">
        <v>100</v>
      </c>
      <c r="S60" s="146" t="s">
        <v>329</v>
      </c>
      <c r="T60" s="73">
        <v>100</v>
      </c>
      <c r="U60" s="67">
        <v>6681</v>
      </c>
      <c r="V60" s="68">
        <v>0.1633</v>
      </c>
      <c r="W60" s="68">
        <v>0.1633</v>
      </c>
      <c r="X60" s="162">
        <f t="shared" si="18"/>
        <v>5.9331566261169406E-3</v>
      </c>
      <c r="Y60" s="162">
        <f t="shared" si="19"/>
        <v>0</v>
      </c>
      <c r="Z60" s="162">
        <f t="shared" si="20"/>
        <v>5.720307090170104E-3</v>
      </c>
      <c r="AA60" s="160">
        <f t="shared" si="21"/>
        <v>-1.4300000000000007E-2</v>
      </c>
      <c r="AB60" s="161">
        <f t="shared" si="22"/>
        <v>-1.4300000000000007E-2</v>
      </c>
    </row>
    <row r="61" spans="1:28">
      <c r="A61" s="205">
        <v>53</v>
      </c>
      <c r="B61" s="59" t="s">
        <v>99</v>
      </c>
      <c r="C61" s="60" t="s">
        <v>100</v>
      </c>
      <c r="D61" s="146" t="s">
        <v>329</v>
      </c>
      <c r="E61" s="82">
        <v>192429589.63</v>
      </c>
      <c r="F61" s="66">
        <f t="shared" si="37"/>
        <v>3.2361013004341477E-5</v>
      </c>
      <c r="G61" s="146" t="s">
        <v>329</v>
      </c>
      <c r="H61" s="73">
        <v>1.01</v>
      </c>
      <c r="I61" s="146" t="s">
        <v>329</v>
      </c>
      <c r="J61" s="73">
        <v>1.01</v>
      </c>
      <c r="K61" s="67">
        <v>121</v>
      </c>
      <c r="L61" s="68">
        <v>0.154</v>
      </c>
      <c r="M61" s="68">
        <v>0.154</v>
      </c>
      <c r="N61" s="146" t="s">
        <v>329</v>
      </c>
      <c r="O61" s="82">
        <v>171187663.65000001</v>
      </c>
      <c r="P61" s="66">
        <f t="shared" si="38"/>
        <v>2.8788744081470636E-5</v>
      </c>
      <c r="Q61" s="146" t="s">
        <v>329</v>
      </c>
      <c r="R61" s="73">
        <v>1.01</v>
      </c>
      <c r="S61" s="146" t="s">
        <v>329</v>
      </c>
      <c r="T61" s="73">
        <v>1.01</v>
      </c>
      <c r="U61" s="67">
        <v>123</v>
      </c>
      <c r="V61" s="68">
        <v>0.15659999999999999</v>
      </c>
      <c r="W61" s="68">
        <v>0.15659999999999999</v>
      </c>
      <c r="X61" s="162">
        <f t="shared" si="18"/>
        <v>-0.11038804385980122</v>
      </c>
      <c r="Y61" s="162">
        <f t="shared" si="19"/>
        <v>0</v>
      </c>
      <c r="Z61" s="162">
        <f t="shared" si="20"/>
        <v>1.6528925619834711E-2</v>
      </c>
      <c r="AA61" s="160">
        <f t="shared" si="21"/>
        <v>2.5999999999999912E-3</v>
      </c>
      <c r="AB61" s="161">
        <f t="shared" si="22"/>
        <v>2.5999999999999912E-3</v>
      </c>
    </row>
    <row r="62" spans="1:28">
      <c r="A62" s="205">
        <v>54</v>
      </c>
      <c r="B62" s="59" t="s">
        <v>101</v>
      </c>
      <c r="C62" s="60" t="s">
        <v>42</v>
      </c>
      <c r="D62" s="146" t="s">
        <v>329</v>
      </c>
      <c r="E62" s="84">
        <v>2840297543.6300001</v>
      </c>
      <c r="F62" s="66">
        <f t="shared" si="37"/>
        <v>4.7765474074097365E-4</v>
      </c>
      <c r="G62" s="146" t="s">
        <v>329</v>
      </c>
      <c r="H62" s="73">
        <v>10</v>
      </c>
      <c r="I62" s="146" t="s">
        <v>329</v>
      </c>
      <c r="J62" s="73">
        <v>10</v>
      </c>
      <c r="K62" s="67">
        <v>1016</v>
      </c>
      <c r="L62" s="68">
        <v>0.1714</v>
      </c>
      <c r="M62" s="68">
        <v>0.1714</v>
      </c>
      <c r="N62" s="146" t="s">
        <v>329</v>
      </c>
      <c r="O62" s="84">
        <v>2808953335.8099999</v>
      </c>
      <c r="P62" s="66">
        <f t="shared" si="38"/>
        <v>4.7238356431314802E-4</v>
      </c>
      <c r="Q62" s="146" t="s">
        <v>329</v>
      </c>
      <c r="R62" s="73">
        <v>10</v>
      </c>
      <c r="S62" s="146" t="s">
        <v>329</v>
      </c>
      <c r="T62" s="73">
        <v>10</v>
      </c>
      <c r="U62" s="67">
        <v>1026</v>
      </c>
      <c r="V62" s="68">
        <v>0.16289999999999999</v>
      </c>
      <c r="W62" s="68">
        <v>0.16289999999999999</v>
      </c>
      <c r="X62" s="162">
        <f t="shared" si="18"/>
        <v>-1.1035536713502618E-2</v>
      </c>
      <c r="Y62" s="162">
        <f t="shared" si="19"/>
        <v>0</v>
      </c>
      <c r="Z62" s="162">
        <f t="shared" si="20"/>
        <v>9.8425196850393699E-3</v>
      </c>
      <c r="AA62" s="160">
        <f t="shared" si="21"/>
        <v>-8.5000000000000075E-3</v>
      </c>
      <c r="AB62" s="161">
        <f t="shared" si="22"/>
        <v>-8.5000000000000075E-3</v>
      </c>
    </row>
    <row r="63" spans="1:28" ht="15.6" customHeight="1">
      <c r="A63" s="205">
        <v>55</v>
      </c>
      <c r="B63" s="59" t="s">
        <v>102</v>
      </c>
      <c r="C63" s="60" t="s">
        <v>103</v>
      </c>
      <c r="D63" s="146" t="s">
        <v>329</v>
      </c>
      <c r="E63" s="84">
        <v>2040128352</v>
      </c>
      <c r="F63" s="66">
        <f t="shared" si="37"/>
        <v>3.430897517192702E-4</v>
      </c>
      <c r="G63" s="146" t="s">
        <v>329</v>
      </c>
      <c r="H63" s="73">
        <v>1</v>
      </c>
      <c r="I63" s="146" t="s">
        <v>329</v>
      </c>
      <c r="J63" s="73">
        <v>1</v>
      </c>
      <c r="K63" s="67">
        <v>284</v>
      </c>
      <c r="L63" s="68">
        <v>0.20019999999999999</v>
      </c>
      <c r="M63" s="68">
        <v>0.20019999999999999</v>
      </c>
      <c r="N63" s="146" t="s">
        <v>329</v>
      </c>
      <c r="O63" s="84">
        <v>2040688353</v>
      </c>
      <c r="P63" s="66">
        <f t="shared" si="38"/>
        <v>3.4318392746260725E-4</v>
      </c>
      <c r="Q63" s="146" t="s">
        <v>329</v>
      </c>
      <c r="R63" s="73">
        <v>1</v>
      </c>
      <c r="S63" s="146" t="s">
        <v>329</v>
      </c>
      <c r="T63" s="73">
        <v>1</v>
      </c>
      <c r="U63" s="67">
        <v>288</v>
      </c>
      <c r="V63" s="68">
        <v>0.20100000000000001</v>
      </c>
      <c r="W63" s="68">
        <v>0.20100000000000001</v>
      </c>
      <c r="X63" s="162">
        <f t="shared" si="18"/>
        <v>2.7449302366246413E-4</v>
      </c>
      <c r="Y63" s="162">
        <f t="shared" si="19"/>
        <v>0</v>
      </c>
      <c r="Z63" s="162">
        <f t="shared" si="20"/>
        <v>1.4084507042253521E-2</v>
      </c>
      <c r="AA63" s="160">
        <f t="shared" si="21"/>
        <v>8.0000000000002292E-4</v>
      </c>
      <c r="AB63" s="161">
        <f t="shared" si="22"/>
        <v>8.0000000000002292E-4</v>
      </c>
    </row>
    <row r="64" spans="1:28">
      <c r="A64" s="205">
        <v>56</v>
      </c>
      <c r="B64" s="59" t="s">
        <v>104</v>
      </c>
      <c r="C64" s="60" t="s">
        <v>105</v>
      </c>
      <c r="D64" s="146" t="s">
        <v>329</v>
      </c>
      <c r="E64" s="84">
        <v>2311101738.0100002</v>
      </c>
      <c r="F64" s="66">
        <f t="shared" si="37"/>
        <v>3.8865952758046122E-4</v>
      </c>
      <c r="G64" s="146" t="s">
        <v>329</v>
      </c>
      <c r="H64" s="73">
        <v>1</v>
      </c>
      <c r="I64" s="146" t="s">
        <v>329</v>
      </c>
      <c r="J64" s="73">
        <v>1</v>
      </c>
      <c r="K64" s="67">
        <v>3213</v>
      </c>
      <c r="L64" s="68">
        <v>0.1671</v>
      </c>
      <c r="M64" s="68">
        <v>0.1671</v>
      </c>
      <c r="N64" s="146" t="s">
        <v>329</v>
      </c>
      <c r="O64" s="84">
        <v>2360039188.0999999</v>
      </c>
      <c r="P64" s="66">
        <f t="shared" si="38"/>
        <v>3.9688937134724797E-4</v>
      </c>
      <c r="Q64" s="146" t="s">
        <v>329</v>
      </c>
      <c r="R64" s="73">
        <v>1</v>
      </c>
      <c r="S64" s="146" t="s">
        <v>329</v>
      </c>
      <c r="T64" s="73">
        <v>1</v>
      </c>
      <c r="U64" s="67">
        <v>3290</v>
      </c>
      <c r="V64" s="68">
        <v>0.16719999999999999</v>
      </c>
      <c r="W64" s="68">
        <v>0.16719999999999999</v>
      </c>
      <c r="X64" s="162">
        <f t="shared" si="18"/>
        <v>2.1174944090578119E-2</v>
      </c>
      <c r="Y64" s="162">
        <f t="shared" si="19"/>
        <v>0</v>
      </c>
      <c r="Z64" s="162">
        <f t="shared" si="20"/>
        <v>2.3965141612200435E-2</v>
      </c>
      <c r="AA64" s="160">
        <f t="shared" si="21"/>
        <v>9.9999999999988987E-5</v>
      </c>
      <c r="AB64" s="161">
        <f t="shared" si="22"/>
        <v>9.9999999999988987E-5</v>
      </c>
    </row>
    <row r="65" spans="1:28">
      <c r="A65" s="208">
        <v>57</v>
      </c>
      <c r="B65" s="59" t="s">
        <v>106</v>
      </c>
      <c r="C65" s="60" t="s">
        <v>107</v>
      </c>
      <c r="D65" s="146" t="s">
        <v>329</v>
      </c>
      <c r="E65" s="84">
        <v>22523014588.860001</v>
      </c>
      <c r="F65" s="66">
        <f t="shared" si="37"/>
        <v>3.7877104524752367E-3</v>
      </c>
      <c r="G65" s="146" t="s">
        <v>329</v>
      </c>
      <c r="H65" s="73">
        <v>100</v>
      </c>
      <c r="I65" s="146" t="s">
        <v>329</v>
      </c>
      <c r="J65" s="73">
        <v>100</v>
      </c>
      <c r="K65" s="67">
        <v>162</v>
      </c>
      <c r="L65" s="68">
        <v>0.16159999999999999</v>
      </c>
      <c r="M65" s="68">
        <v>0.16159999999999999</v>
      </c>
      <c r="N65" s="146" t="s">
        <v>329</v>
      </c>
      <c r="O65" s="84">
        <v>21683050482.790001</v>
      </c>
      <c r="P65" s="66">
        <f t="shared" si="38"/>
        <v>3.6464531260319566E-3</v>
      </c>
      <c r="Q65" s="146" t="s">
        <v>329</v>
      </c>
      <c r="R65" s="73">
        <v>100</v>
      </c>
      <c r="S65" s="146" t="s">
        <v>329</v>
      </c>
      <c r="T65" s="73">
        <v>100</v>
      </c>
      <c r="U65" s="67">
        <v>161</v>
      </c>
      <c r="V65" s="68">
        <v>0.16250000000000001</v>
      </c>
      <c r="W65" s="68">
        <v>0.16250000000000001</v>
      </c>
      <c r="X65" s="162">
        <f t="shared" si="18"/>
        <v>-3.7293591528615812E-2</v>
      </c>
      <c r="Y65" s="162">
        <f t="shared" si="19"/>
        <v>0</v>
      </c>
      <c r="Z65" s="162">
        <f t="shared" si="20"/>
        <v>-6.1728395061728392E-3</v>
      </c>
      <c r="AA65" s="160">
        <f t="shared" si="21"/>
        <v>9.000000000000119E-4</v>
      </c>
      <c r="AB65" s="161">
        <f t="shared" si="22"/>
        <v>9.000000000000119E-4</v>
      </c>
    </row>
    <row r="66" spans="1:28">
      <c r="A66" s="205">
        <v>58</v>
      </c>
      <c r="B66" s="59" t="s">
        <v>304</v>
      </c>
      <c r="C66" s="60" t="s">
        <v>73</v>
      </c>
      <c r="D66" s="146" t="s">
        <v>329</v>
      </c>
      <c r="E66" s="84">
        <v>451634300.29000002</v>
      </c>
      <c r="F66" s="66">
        <f t="shared" si="37"/>
        <v>7.5951642847617483E-5</v>
      </c>
      <c r="G66" s="146" t="s">
        <v>329</v>
      </c>
      <c r="H66" s="73">
        <v>1000</v>
      </c>
      <c r="I66" s="146" t="s">
        <v>329</v>
      </c>
      <c r="J66" s="73">
        <v>1000</v>
      </c>
      <c r="K66" s="67">
        <v>33</v>
      </c>
      <c r="L66" s="68">
        <v>0.19439999999999999</v>
      </c>
      <c r="M66" s="68">
        <v>0.19439999999999999</v>
      </c>
      <c r="N66" s="146" t="s">
        <v>329</v>
      </c>
      <c r="O66" s="84">
        <v>452321963.23000002</v>
      </c>
      <c r="P66" s="66">
        <f t="shared" si="38"/>
        <v>7.6067287584930129E-5</v>
      </c>
      <c r="Q66" s="146" t="s">
        <v>329</v>
      </c>
      <c r="R66" s="73">
        <v>1000</v>
      </c>
      <c r="S66" s="146" t="s">
        <v>329</v>
      </c>
      <c r="T66" s="73">
        <v>1000</v>
      </c>
      <c r="U66" s="67">
        <v>39</v>
      </c>
      <c r="V66" s="68">
        <v>0.2036</v>
      </c>
      <c r="W66" s="68">
        <v>0.2036</v>
      </c>
      <c r="X66" s="162">
        <f t="shared" si="18"/>
        <v>1.5226100842173427E-3</v>
      </c>
      <c r="Y66" s="162">
        <f t="shared" si="19"/>
        <v>0</v>
      </c>
      <c r="Z66" s="162">
        <f t="shared" si="20"/>
        <v>0.18181818181818182</v>
      </c>
      <c r="AA66" s="160">
        <f t="shared" si="21"/>
        <v>9.2000000000000137E-3</v>
      </c>
      <c r="AB66" s="161">
        <f t="shared" si="22"/>
        <v>9.2000000000000137E-3</v>
      </c>
    </row>
    <row r="67" spans="1:28">
      <c r="A67" s="205">
        <v>59</v>
      </c>
      <c r="B67" s="59" t="s">
        <v>306</v>
      </c>
      <c r="C67" s="60" t="s">
        <v>31</v>
      </c>
      <c r="D67" s="146" t="s">
        <v>329</v>
      </c>
      <c r="E67" s="71">
        <v>2393588652.4899998</v>
      </c>
      <c r="F67" s="66">
        <f t="shared" si="37"/>
        <v>4.0253140724983983E-4</v>
      </c>
      <c r="G67" s="146" t="s">
        <v>329</v>
      </c>
      <c r="H67" s="65">
        <v>1</v>
      </c>
      <c r="I67" s="146" t="s">
        <v>329</v>
      </c>
      <c r="J67" s="65">
        <v>1</v>
      </c>
      <c r="K67" s="67">
        <v>470</v>
      </c>
      <c r="L67" s="68">
        <v>0.1656</v>
      </c>
      <c r="M67" s="68">
        <v>0.1656</v>
      </c>
      <c r="N67" s="146" t="s">
        <v>329</v>
      </c>
      <c r="O67" s="71">
        <v>2393762389.6599998</v>
      </c>
      <c r="P67" s="66">
        <f t="shared" si="38"/>
        <v>4.0256062474611221E-4</v>
      </c>
      <c r="Q67" s="146" t="s">
        <v>329</v>
      </c>
      <c r="R67" s="65">
        <v>1</v>
      </c>
      <c r="S67" s="146" t="s">
        <v>329</v>
      </c>
      <c r="T67" s="65">
        <v>1</v>
      </c>
      <c r="U67" s="67">
        <v>470</v>
      </c>
      <c r="V67" s="68">
        <v>0.1658</v>
      </c>
      <c r="W67" s="68">
        <v>0.1658</v>
      </c>
      <c r="X67" s="162">
        <f t="shared" si="18"/>
        <v>7.258438905922335E-5</v>
      </c>
      <c r="Y67" s="162">
        <f t="shared" si="19"/>
        <v>0</v>
      </c>
      <c r="Z67" s="162">
        <f t="shared" si="20"/>
        <v>0</v>
      </c>
      <c r="AA67" s="160">
        <f t="shared" si="21"/>
        <v>2.0000000000000573E-4</v>
      </c>
      <c r="AB67" s="161">
        <f t="shared" si="22"/>
        <v>2.0000000000000573E-4</v>
      </c>
    </row>
    <row r="68" spans="1:28">
      <c r="A68" s="205">
        <v>60</v>
      </c>
      <c r="B68" s="59" t="s">
        <v>108</v>
      </c>
      <c r="C68" s="60" t="s">
        <v>46</v>
      </c>
      <c r="D68" s="146" t="s">
        <v>329</v>
      </c>
      <c r="E68" s="82">
        <v>2861069644743.6699</v>
      </c>
      <c r="F68" s="66">
        <f t="shared" si="37"/>
        <v>0.48114799890131932</v>
      </c>
      <c r="G68" s="146" t="s">
        <v>329</v>
      </c>
      <c r="H68" s="73">
        <v>100</v>
      </c>
      <c r="I68" s="146" t="s">
        <v>329</v>
      </c>
      <c r="J68" s="73">
        <v>100</v>
      </c>
      <c r="K68" s="67">
        <v>340612</v>
      </c>
      <c r="L68" s="68">
        <v>0.15390000000000001</v>
      </c>
      <c r="M68" s="68">
        <v>0.15390000000000001</v>
      </c>
      <c r="N68" s="146" t="s">
        <v>329</v>
      </c>
      <c r="O68" s="82">
        <v>2852399763483.6499</v>
      </c>
      <c r="P68" s="66">
        <f t="shared" si="38"/>
        <v>0.47968997916152217</v>
      </c>
      <c r="Q68" s="146" t="s">
        <v>329</v>
      </c>
      <c r="R68" s="73">
        <v>100</v>
      </c>
      <c r="S68" s="146" t="s">
        <v>329</v>
      </c>
      <c r="T68" s="73">
        <v>100</v>
      </c>
      <c r="U68" s="67">
        <v>343246</v>
      </c>
      <c r="V68" s="68">
        <v>0.1537</v>
      </c>
      <c r="W68" s="68">
        <v>0.1537</v>
      </c>
      <c r="X68" s="162">
        <f t="shared" si="18"/>
        <v>-3.0302936791308955E-3</v>
      </c>
      <c r="Y68" s="162">
        <f t="shared" si="19"/>
        <v>0</v>
      </c>
      <c r="Z68" s="162">
        <f t="shared" si="20"/>
        <v>7.7331391730179793E-3</v>
      </c>
      <c r="AA68" s="160">
        <f t="shared" si="21"/>
        <v>-2.0000000000000573E-4</v>
      </c>
      <c r="AB68" s="161">
        <f t="shared" si="22"/>
        <v>-2.0000000000000573E-4</v>
      </c>
    </row>
    <row r="69" spans="1:28">
      <c r="A69" s="205">
        <v>61</v>
      </c>
      <c r="B69" s="59" t="s">
        <v>109</v>
      </c>
      <c r="C69" s="59" t="s">
        <v>110</v>
      </c>
      <c r="D69" s="146" t="s">
        <v>329</v>
      </c>
      <c r="E69" s="82">
        <v>16106437745.84</v>
      </c>
      <c r="F69" s="66">
        <f t="shared" si="37"/>
        <v>2.7086304260635695E-3</v>
      </c>
      <c r="G69" s="146" t="s">
        <v>329</v>
      </c>
      <c r="H69" s="73">
        <v>100</v>
      </c>
      <c r="I69" s="146" t="s">
        <v>329</v>
      </c>
      <c r="J69" s="73">
        <v>100</v>
      </c>
      <c r="K69" s="67">
        <v>1730</v>
      </c>
      <c r="L69" s="68">
        <v>0.19489999999999999</v>
      </c>
      <c r="M69" s="68">
        <v>0.19489999999999999</v>
      </c>
      <c r="N69" s="146" t="s">
        <v>329</v>
      </c>
      <c r="O69" s="82">
        <v>16331075180.24</v>
      </c>
      <c r="P69" s="66">
        <f t="shared" ref="P69:P75" si="49">(O69/$O$76)</f>
        <v>2.7464078539002029E-3</v>
      </c>
      <c r="Q69" s="146" t="s">
        <v>329</v>
      </c>
      <c r="R69" s="73">
        <v>100</v>
      </c>
      <c r="S69" s="146" t="s">
        <v>329</v>
      </c>
      <c r="T69" s="73">
        <v>100</v>
      </c>
      <c r="U69" s="67">
        <v>1757</v>
      </c>
      <c r="V69" s="68">
        <v>0.19420000000000001</v>
      </c>
      <c r="W69" s="68">
        <v>0.19420000000000001</v>
      </c>
      <c r="X69" s="162">
        <f t="shared" si="18"/>
        <v>1.3947058806222958E-2</v>
      </c>
      <c r="Y69" s="162">
        <f t="shared" si="19"/>
        <v>0</v>
      </c>
      <c r="Z69" s="162">
        <f t="shared" si="20"/>
        <v>1.560693641618497E-2</v>
      </c>
      <c r="AA69" s="160">
        <f t="shared" si="21"/>
        <v>-6.9999999999997842E-4</v>
      </c>
      <c r="AB69" s="161">
        <f t="shared" si="22"/>
        <v>-6.9999999999997842E-4</v>
      </c>
    </row>
    <row r="70" spans="1:28">
      <c r="A70" s="205">
        <v>62</v>
      </c>
      <c r="B70" s="207" t="s">
        <v>111</v>
      </c>
      <c r="C70" s="60" t="s">
        <v>112</v>
      </c>
      <c r="D70" s="146" t="s">
        <v>329</v>
      </c>
      <c r="E70" s="82">
        <v>17559813730.540001</v>
      </c>
      <c r="F70" s="66">
        <f t="shared" si="37"/>
        <v>2.9530456390851633E-3</v>
      </c>
      <c r="G70" s="146" t="s">
        <v>329</v>
      </c>
      <c r="H70" s="73">
        <v>1</v>
      </c>
      <c r="I70" s="146" t="s">
        <v>329</v>
      </c>
      <c r="J70" s="73">
        <v>1</v>
      </c>
      <c r="K70" s="67">
        <v>964</v>
      </c>
      <c r="L70" s="68">
        <v>0.19166800000000001</v>
      </c>
      <c r="M70" s="68">
        <v>0.19166800000000001</v>
      </c>
      <c r="N70" s="146" t="s">
        <v>329</v>
      </c>
      <c r="O70" s="82">
        <v>17691641277.209999</v>
      </c>
      <c r="P70" s="66">
        <f t="shared" si="49"/>
        <v>2.9752151659251931E-3</v>
      </c>
      <c r="Q70" s="146" t="s">
        <v>329</v>
      </c>
      <c r="R70" s="73">
        <v>1</v>
      </c>
      <c r="S70" s="146" t="s">
        <v>329</v>
      </c>
      <c r="T70" s="73">
        <v>1</v>
      </c>
      <c r="U70" s="67">
        <v>969</v>
      </c>
      <c r="V70" s="68">
        <v>0.192745</v>
      </c>
      <c r="W70" s="68">
        <v>0.192745</v>
      </c>
      <c r="X70" s="162">
        <f t="shared" si="18"/>
        <v>7.5073431126848403E-3</v>
      </c>
      <c r="Y70" s="162">
        <f t="shared" si="19"/>
        <v>0</v>
      </c>
      <c r="Z70" s="162">
        <f t="shared" si="20"/>
        <v>5.1867219917012446E-3</v>
      </c>
      <c r="AA70" s="160">
        <f t="shared" si="21"/>
        <v>1.0769999999999946E-3</v>
      </c>
      <c r="AB70" s="161">
        <f t="shared" si="22"/>
        <v>1.0769999999999946E-3</v>
      </c>
    </row>
    <row r="71" spans="1:28">
      <c r="A71" s="205">
        <v>63</v>
      </c>
      <c r="B71" s="59" t="s">
        <v>113</v>
      </c>
      <c r="C71" s="60" t="s">
        <v>49</v>
      </c>
      <c r="D71" s="146" t="s">
        <v>329</v>
      </c>
      <c r="E71" s="82">
        <v>249557165069.07999</v>
      </c>
      <c r="F71" s="66">
        <f t="shared" si="37"/>
        <v>4.1968195637975027E-2</v>
      </c>
      <c r="G71" s="146" t="s">
        <v>329</v>
      </c>
      <c r="H71" s="73">
        <v>1</v>
      </c>
      <c r="I71" s="146" t="s">
        <v>329</v>
      </c>
      <c r="J71" s="73">
        <v>1</v>
      </c>
      <c r="K71" s="67">
        <v>92306</v>
      </c>
      <c r="L71" s="68">
        <v>0.15290000000000001</v>
      </c>
      <c r="M71" s="68">
        <v>0.15290000000000001</v>
      </c>
      <c r="N71" s="146" t="s">
        <v>329</v>
      </c>
      <c r="O71" s="82">
        <v>244600763662.13</v>
      </c>
      <c r="P71" s="66">
        <f t="shared" si="49"/>
        <v>4.1134674292877073E-2</v>
      </c>
      <c r="Q71" s="146" t="s">
        <v>329</v>
      </c>
      <c r="R71" s="73">
        <v>1</v>
      </c>
      <c r="S71" s="146" t="s">
        <v>329</v>
      </c>
      <c r="T71" s="73">
        <v>1</v>
      </c>
      <c r="U71" s="67">
        <v>93740</v>
      </c>
      <c r="V71" s="68">
        <v>0.15540000000000001</v>
      </c>
      <c r="W71" s="68">
        <v>0.15540000000000001</v>
      </c>
      <c r="X71" s="162">
        <f t="shared" si="18"/>
        <v>-1.9860785826678225E-2</v>
      </c>
      <c r="Y71" s="162">
        <f t="shared" si="19"/>
        <v>0</v>
      </c>
      <c r="Z71" s="162">
        <f t="shared" si="20"/>
        <v>1.5535284813554914E-2</v>
      </c>
      <c r="AA71" s="160">
        <f t="shared" si="21"/>
        <v>2.5000000000000022E-3</v>
      </c>
      <c r="AB71" s="161">
        <f t="shared" si="22"/>
        <v>2.5000000000000022E-3</v>
      </c>
    </row>
    <row r="72" spans="1:28">
      <c r="A72" s="205">
        <v>64</v>
      </c>
      <c r="B72" s="59" t="s">
        <v>114</v>
      </c>
      <c r="C72" s="60" t="s">
        <v>115</v>
      </c>
      <c r="D72" s="146" t="s">
        <v>329</v>
      </c>
      <c r="E72" s="84">
        <v>3272546978.9899998</v>
      </c>
      <c r="F72" s="66">
        <f t="shared" si="37"/>
        <v>5.50346417866618E-4</v>
      </c>
      <c r="G72" s="146" t="s">
        <v>329</v>
      </c>
      <c r="H72" s="73">
        <v>1</v>
      </c>
      <c r="I72" s="146" t="s">
        <v>329</v>
      </c>
      <c r="J72" s="73">
        <v>1</v>
      </c>
      <c r="K72" s="67">
        <v>169</v>
      </c>
      <c r="L72" s="68">
        <v>0.14549999999999999</v>
      </c>
      <c r="M72" s="68">
        <v>0.14549999999999999</v>
      </c>
      <c r="N72" s="146" t="s">
        <v>329</v>
      </c>
      <c r="O72" s="84">
        <v>3150645234.6399999</v>
      </c>
      <c r="P72" s="66">
        <f t="shared" si="49"/>
        <v>5.2984611985243337E-4</v>
      </c>
      <c r="Q72" s="146" t="s">
        <v>329</v>
      </c>
      <c r="R72" s="73">
        <v>1</v>
      </c>
      <c r="S72" s="146" t="s">
        <v>329</v>
      </c>
      <c r="T72" s="73">
        <v>1</v>
      </c>
      <c r="U72" s="67">
        <v>168</v>
      </c>
      <c r="V72" s="68">
        <v>0.1492</v>
      </c>
      <c r="W72" s="68">
        <v>0.1492</v>
      </c>
      <c r="X72" s="162">
        <f t="shared" si="18"/>
        <v>-3.7249807300741095E-2</v>
      </c>
      <c r="Y72" s="162">
        <f t="shared" si="19"/>
        <v>0</v>
      </c>
      <c r="Z72" s="162">
        <f t="shared" si="20"/>
        <v>-5.9171597633136093E-3</v>
      </c>
      <c r="AA72" s="160">
        <f t="shared" si="21"/>
        <v>3.7000000000000088E-3</v>
      </c>
      <c r="AB72" s="161">
        <f t="shared" si="22"/>
        <v>3.7000000000000088E-3</v>
      </c>
    </row>
    <row r="73" spans="1:28">
      <c r="A73" s="205">
        <v>65</v>
      </c>
      <c r="B73" s="59" t="s">
        <v>116</v>
      </c>
      <c r="C73" s="60" t="s">
        <v>117</v>
      </c>
      <c r="D73" s="146" t="s">
        <v>329</v>
      </c>
      <c r="E73" s="82">
        <v>11802554324.92</v>
      </c>
      <c r="F73" s="66">
        <f t="shared" si="37"/>
        <v>1.9848434678241271E-3</v>
      </c>
      <c r="G73" s="146" t="s">
        <v>329</v>
      </c>
      <c r="H73" s="73">
        <v>1</v>
      </c>
      <c r="I73" s="146" t="s">
        <v>329</v>
      </c>
      <c r="J73" s="73">
        <v>1</v>
      </c>
      <c r="K73" s="67">
        <v>697</v>
      </c>
      <c r="L73" s="68">
        <v>0.156</v>
      </c>
      <c r="M73" s="68">
        <v>0.156</v>
      </c>
      <c r="N73" s="146" t="s">
        <v>329</v>
      </c>
      <c r="O73" s="82">
        <v>11947990316.719999</v>
      </c>
      <c r="P73" s="66">
        <f>(O73/$O$76)</f>
        <v>2.0093015359985101E-3</v>
      </c>
      <c r="Q73" s="146" t="s">
        <v>329</v>
      </c>
      <c r="R73" s="73">
        <v>1</v>
      </c>
      <c r="S73" s="146" t="s">
        <v>329</v>
      </c>
      <c r="T73" s="73">
        <v>1</v>
      </c>
      <c r="U73" s="67">
        <v>706</v>
      </c>
      <c r="V73" s="68">
        <v>0.1646</v>
      </c>
      <c r="W73" s="68">
        <v>0.1646</v>
      </c>
      <c r="X73" s="162">
        <f t="shared" si="18"/>
        <v>1.2322416639330744E-2</v>
      </c>
      <c r="Y73" s="162">
        <f t="shared" si="19"/>
        <v>0</v>
      </c>
      <c r="Z73" s="162">
        <f t="shared" si="20"/>
        <v>1.2912482065997131E-2</v>
      </c>
      <c r="AA73" s="160">
        <f t="shared" si="21"/>
        <v>8.5999999999999965E-3</v>
      </c>
      <c r="AB73" s="161">
        <f t="shared" si="22"/>
        <v>8.5999999999999965E-3</v>
      </c>
    </row>
    <row r="74" spans="1:28">
      <c r="A74" s="205">
        <v>66</v>
      </c>
      <c r="B74" s="59" t="s">
        <v>118</v>
      </c>
      <c r="C74" s="60" t="s">
        <v>119</v>
      </c>
      <c r="D74" s="146" t="s">
        <v>329</v>
      </c>
      <c r="E74" s="82">
        <v>18777006693.700001</v>
      </c>
      <c r="F74" s="66">
        <f t="shared" si="37"/>
        <v>3.1577417951459399E-3</v>
      </c>
      <c r="G74" s="146" t="s">
        <v>329</v>
      </c>
      <c r="H74" s="73">
        <v>1</v>
      </c>
      <c r="I74" s="146" t="s">
        <v>329</v>
      </c>
      <c r="J74" s="73">
        <v>1</v>
      </c>
      <c r="K74" s="67">
        <v>8216</v>
      </c>
      <c r="L74" s="68">
        <v>0.18010000000000001</v>
      </c>
      <c r="M74" s="68">
        <v>0.18010000000000001</v>
      </c>
      <c r="N74" s="146" t="s">
        <v>329</v>
      </c>
      <c r="O74" s="82">
        <v>18714948371.57</v>
      </c>
      <c r="P74" s="66">
        <f t="shared" si="49"/>
        <v>3.1473054055379903E-3</v>
      </c>
      <c r="Q74" s="146" t="s">
        <v>329</v>
      </c>
      <c r="R74" s="73">
        <v>1</v>
      </c>
      <c r="S74" s="146" t="s">
        <v>329</v>
      </c>
      <c r="T74" s="73">
        <v>1</v>
      </c>
      <c r="U74" s="67">
        <v>8326</v>
      </c>
      <c r="V74" s="68">
        <v>0.18</v>
      </c>
      <c r="W74" s="68">
        <v>0.18</v>
      </c>
      <c r="X74" s="162">
        <f t="shared" si="18"/>
        <v>-3.3050167762267812E-3</v>
      </c>
      <c r="Y74" s="162">
        <f t="shared" si="19"/>
        <v>0</v>
      </c>
      <c r="Z74" s="162">
        <f t="shared" si="20"/>
        <v>1.3388510223953261E-2</v>
      </c>
      <c r="AA74" s="160">
        <f t="shared" si="21"/>
        <v>-1.0000000000001674E-4</v>
      </c>
      <c r="AB74" s="161">
        <f t="shared" si="22"/>
        <v>-1.0000000000001674E-4</v>
      </c>
    </row>
    <row r="75" spans="1:28">
      <c r="A75" s="205">
        <v>67</v>
      </c>
      <c r="B75" s="59" t="s">
        <v>120</v>
      </c>
      <c r="C75" s="60" t="s">
        <v>121</v>
      </c>
      <c r="D75" s="146" t="s">
        <v>329</v>
      </c>
      <c r="E75" s="82">
        <v>157926367303.88</v>
      </c>
      <c r="F75" s="66">
        <f t="shared" si="37"/>
        <v>2.6558582990671788E-2</v>
      </c>
      <c r="G75" s="146" t="s">
        <v>329</v>
      </c>
      <c r="H75" s="73">
        <v>1</v>
      </c>
      <c r="I75" s="146" t="s">
        <v>329</v>
      </c>
      <c r="J75" s="73">
        <v>1</v>
      </c>
      <c r="K75" s="67">
        <v>8698</v>
      </c>
      <c r="L75" s="68">
        <v>0.15809999999999999</v>
      </c>
      <c r="M75" s="68">
        <v>0.15809999999999999</v>
      </c>
      <c r="N75" s="146" t="s">
        <v>329</v>
      </c>
      <c r="O75" s="82">
        <v>158412210670.26999</v>
      </c>
      <c r="P75" s="66">
        <f t="shared" si="49"/>
        <v>2.6640287595083457E-2</v>
      </c>
      <c r="Q75" s="146" t="s">
        <v>329</v>
      </c>
      <c r="R75" s="73">
        <v>1</v>
      </c>
      <c r="S75" s="146" t="s">
        <v>329</v>
      </c>
      <c r="T75" s="73">
        <v>1</v>
      </c>
      <c r="U75" s="67">
        <v>8733</v>
      </c>
      <c r="V75" s="68">
        <v>0.16209999999999999</v>
      </c>
      <c r="W75" s="68">
        <v>0.16209999999999999</v>
      </c>
      <c r="X75" s="162">
        <f t="shared" si="18"/>
        <v>3.0763917050984288E-3</v>
      </c>
      <c r="Y75" s="162">
        <f t="shared" si="19"/>
        <v>0</v>
      </c>
      <c r="Z75" s="162">
        <f t="shared" si="20"/>
        <v>4.0239135433432971E-3</v>
      </c>
      <c r="AA75" s="160">
        <f t="shared" si="21"/>
        <v>4.0000000000000036E-3</v>
      </c>
      <c r="AB75" s="161">
        <f t="shared" si="22"/>
        <v>4.0000000000000036E-3</v>
      </c>
    </row>
    <row r="76" spans="1:28">
      <c r="B76" s="74"/>
      <c r="C76" s="75" t="s">
        <v>52</v>
      </c>
      <c r="D76" s="120" t="s">
        <v>329</v>
      </c>
      <c r="E76" s="89">
        <f>SUM(E29:E75)</f>
        <v>5945195246120.4697</v>
      </c>
      <c r="F76" s="77">
        <f>(E76/$E$238)</f>
        <v>0.65320803305551256</v>
      </c>
      <c r="G76" s="146" t="s">
        <v>329</v>
      </c>
      <c r="H76" s="78"/>
      <c r="I76" s="146"/>
      <c r="J76" s="83"/>
      <c r="K76" s="80">
        <f>SUM(K29:K75)</f>
        <v>781006</v>
      </c>
      <c r="L76" s="90"/>
      <c r="M76" s="90"/>
      <c r="N76" s="146"/>
      <c r="O76" s="89">
        <f>SUM(O29:O75)</f>
        <v>5946340110063.4297</v>
      </c>
      <c r="P76" s="77">
        <f>(O76/$O$238)</f>
        <v>0.6547742564989486</v>
      </c>
      <c r="Q76" s="146"/>
      <c r="R76" s="78"/>
      <c r="S76" s="78"/>
      <c r="T76" s="83"/>
      <c r="U76" s="80">
        <f>SUM(U29:U75)</f>
        <v>787467</v>
      </c>
      <c r="V76" s="90"/>
      <c r="W76" s="90"/>
      <c r="X76" s="162">
        <f t="shared" si="18"/>
        <v>1.9256961219348356E-4</v>
      </c>
      <c r="Y76" s="162" t="e">
        <f t="shared" si="19"/>
        <v>#DIV/0!</v>
      </c>
      <c r="Z76" s="162">
        <f t="shared" si="20"/>
        <v>8.2726637183325093E-3</v>
      </c>
      <c r="AA76" s="160">
        <f t="shared" si="21"/>
        <v>0</v>
      </c>
      <c r="AB76" s="161">
        <f t="shared" si="22"/>
        <v>0</v>
      </c>
    </row>
    <row r="77" spans="1:28" ht="3" customHeight="1"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</row>
    <row r="78" spans="1:28" ht="15" customHeight="1">
      <c r="A78" s="166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</row>
    <row r="79" spans="1:28" ht="17.399999999999999" customHeight="1">
      <c r="A79" s="205">
        <v>68</v>
      </c>
      <c r="B79" s="59" t="s">
        <v>122</v>
      </c>
      <c r="C79" s="60" t="s">
        <v>21</v>
      </c>
      <c r="D79" s="146" t="s">
        <v>329</v>
      </c>
      <c r="E79" s="71">
        <v>1141302038.6500001</v>
      </c>
      <c r="F79" s="66">
        <f>(E79/$E$117)</f>
        <v>4.8173158955182567E-3</v>
      </c>
      <c r="G79" s="146" t="s">
        <v>329</v>
      </c>
      <c r="H79" s="91">
        <v>1.7739</v>
      </c>
      <c r="I79" s="146" t="s">
        <v>329</v>
      </c>
      <c r="J79" s="91">
        <v>1.7739</v>
      </c>
      <c r="K79" s="67">
        <v>564</v>
      </c>
      <c r="L79" s="68">
        <v>3.9300000000000001E-4</v>
      </c>
      <c r="M79" s="68">
        <v>6.2700000000000006E-2</v>
      </c>
      <c r="N79" s="146" t="s">
        <v>329</v>
      </c>
      <c r="O79" s="71">
        <v>1132974099.9000001</v>
      </c>
      <c r="P79" s="66">
        <f t="shared" ref="P79:P116" si="50">(O79/$O$117)</f>
        <v>4.7762216325233659E-3</v>
      </c>
      <c r="Q79" s="146" t="s">
        <v>329</v>
      </c>
      <c r="R79" s="91">
        <v>1.7684</v>
      </c>
      <c r="S79" s="146" t="s">
        <v>329</v>
      </c>
      <c r="T79" s="91">
        <v>1.7684</v>
      </c>
      <c r="U79" s="67">
        <v>567</v>
      </c>
      <c r="V79" s="68">
        <v>2.892E-3</v>
      </c>
      <c r="W79" s="68">
        <v>5.9400000000000001E-2</v>
      </c>
      <c r="X79" s="162">
        <f>((O79-E79)/E79)</f>
        <v>-7.2968753826557434E-3</v>
      </c>
      <c r="Y79" s="162">
        <f>((T79-J79)/J79)</f>
        <v>-3.1005129939681267E-3</v>
      </c>
      <c r="Z79" s="162">
        <f>((U79-K79)/K79)</f>
        <v>5.3191489361702126E-3</v>
      </c>
      <c r="AA79" s="160">
        <f>V79-L79</f>
        <v>2.4989999999999999E-3</v>
      </c>
      <c r="AB79" s="161">
        <f>W79-M79</f>
        <v>-3.3000000000000043E-3</v>
      </c>
    </row>
    <row r="80" spans="1:28" ht="15" customHeight="1">
      <c r="A80" s="205">
        <v>69</v>
      </c>
      <c r="B80" s="59" t="s">
        <v>123</v>
      </c>
      <c r="C80" s="60" t="s">
        <v>23</v>
      </c>
      <c r="D80" s="146" t="s">
        <v>329</v>
      </c>
      <c r="E80" s="71">
        <v>1333241012.0999999</v>
      </c>
      <c r="F80" s="66">
        <f>(E80/$E$117)</f>
        <v>5.6274701197793903E-3</v>
      </c>
      <c r="G80" s="146" t="s">
        <v>329</v>
      </c>
      <c r="H80" s="91">
        <v>1.395</v>
      </c>
      <c r="I80" s="146" t="s">
        <v>329</v>
      </c>
      <c r="J80" s="91">
        <v>1.395</v>
      </c>
      <c r="K80" s="67">
        <v>1573</v>
      </c>
      <c r="L80" s="68">
        <v>-3.3599999999999998E-2</v>
      </c>
      <c r="M80" s="68">
        <v>0.1109</v>
      </c>
      <c r="N80" s="146" t="s">
        <v>329</v>
      </c>
      <c r="O80" s="71">
        <v>1313607267.4000001</v>
      </c>
      <c r="P80" s="66">
        <f t="shared" si="50"/>
        <v>5.5377077443778781E-3</v>
      </c>
      <c r="Q80" s="146" t="s">
        <v>329</v>
      </c>
      <c r="R80" s="91">
        <v>1.3968</v>
      </c>
      <c r="S80" s="146" t="s">
        <v>329</v>
      </c>
      <c r="T80" s="91">
        <v>1.3968</v>
      </c>
      <c r="U80" s="67">
        <v>1568</v>
      </c>
      <c r="V80" s="68">
        <v>6.7299999999999999E-2</v>
      </c>
      <c r="W80" s="68">
        <v>0.10920000000000001</v>
      </c>
      <c r="X80" s="162">
        <f t="shared" ref="X80:X117" si="51">((O80-E80)/E80)</f>
        <v>-1.4726328189585558E-2</v>
      </c>
      <c r="Y80" s="162">
        <f t="shared" ref="Y80:Y117" si="52">((T80-J80)/J80)</f>
        <v>1.2903225806451784E-3</v>
      </c>
      <c r="Z80" s="162">
        <f t="shared" ref="Z80:Z117" si="53">((U80-K80)/K80)</f>
        <v>-3.1786395422759061E-3</v>
      </c>
      <c r="AA80" s="160">
        <f t="shared" ref="AA80:AA117" si="54">V80-L80</f>
        <v>0.10089999999999999</v>
      </c>
      <c r="AB80" s="161">
        <f t="shared" ref="AB80:AB117" si="55">W80-M80</f>
        <v>-1.6999999999999932E-3</v>
      </c>
    </row>
    <row r="81" spans="1:28" ht="15.6" customHeight="1">
      <c r="A81" s="205">
        <v>70</v>
      </c>
      <c r="B81" s="59" t="s">
        <v>124</v>
      </c>
      <c r="C81" s="60" t="s">
        <v>23</v>
      </c>
      <c r="D81" s="146" t="s">
        <v>329</v>
      </c>
      <c r="E81" s="71">
        <v>685106320.50999999</v>
      </c>
      <c r="F81" s="66">
        <f>(E81/$E$117)</f>
        <v>2.8917617389142025E-3</v>
      </c>
      <c r="G81" s="146" t="s">
        <v>329</v>
      </c>
      <c r="H81" s="91">
        <v>1.2539</v>
      </c>
      <c r="I81" s="146" t="s">
        <v>329</v>
      </c>
      <c r="J81" s="91">
        <v>1.2539</v>
      </c>
      <c r="K81" s="67">
        <v>868</v>
      </c>
      <c r="L81" s="68">
        <v>0.13600000000000001</v>
      </c>
      <c r="M81" s="68">
        <v>7.9100000000000004E-2</v>
      </c>
      <c r="N81" s="146" t="s">
        <v>329</v>
      </c>
      <c r="O81" s="71">
        <v>686696580.76999998</v>
      </c>
      <c r="P81" s="66">
        <f t="shared" si="50"/>
        <v>2.8948720578369706E-3</v>
      </c>
      <c r="Q81" s="146" t="s">
        <v>329</v>
      </c>
      <c r="R81" s="91">
        <v>1.2556</v>
      </c>
      <c r="S81" s="146" t="s">
        <v>329</v>
      </c>
      <c r="T81" s="91">
        <v>1.2556</v>
      </c>
      <c r="U81" s="67">
        <v>873</v>
      </c>
      <c r="V81" s="68">
        <v>0.13350000000000001</v>
      </c>
      <c r="W81" s="68">
        <v>7.0699999999999999E-2</v>
      </c>
      <c r="X81" s="162">
        <f t="shared" si="51"/>
        <v>2.3211875476731622E-3</v>
      </c>
      <c r="Y81" s="162">
        <f t="shared" si="52"/>
        <v>1.3557699976074924E-3</v>
      </c>
      <c r="Z81" s="162">
        <f t="shared" si="53"/>
        <v>5.7603686635944703E-3</v>
      </c>
      <c r="AA81" s="160">
        <f t="shared" si="54"/>
        <v>-2.5000000000000022E-3</v>
      </c>
      <c r="AB81" s="161">
        <f t="shared" si="55"/>
        <v>-8.4000000000000047E-3</v>
      </c>
    </row>
    <row r="82" spans="1:28" ht="16.2" customHeight="1">
      <c r="A82" s="205">
        <v>71</v>
      </c>
      <c r="B82" s="59" t="s">
        <v>125</v>
      </c>
      <c r="C82" s="60" t="s">
        <v>60</v>
      </c>
      <c r="D82" s="146" t="s">
        <v>329</v>
      </c>
      <c r="E82" s="71">
        <v>331291863.83999997</v>
      </c>
      <c r="F82" s="66">
        <f>(E82/$E$117)</f>
        <v>1.3983481214316167E-3</v>
      </c>
      <c r="G82" s="146" t="s">
        <v>329</v>
      </c>
      <c r="H82" s="70">
        <v>1264.25</v>
      </c>
      <c r="I82" s="146" t="s">
        <v>329</v>
      </c>
      <c r="J82" s="70">
        <v>1264.25</v>
      </c>
      <c r="K82" s="67">
        <v>287</v>
      </c>
      <c r="L82" s="68">
        <v>1.6000000000000001E-3</v>
      </c>
      <c r="M82" s="68">
        <v>6.9099999999999995E-2</v>
      </c>
      <c r="N82" s="146" t="s">
        <v>329</v>
      </c>
      <c r="O82" s="71">
        <v>325009148.44999999</v>
      </c>
      <c r="P82" s="66">
        <f t="shared" si="50"/>
        <v>1.3701246354456825E-3</v>
      </c>
      <c r="Q82" s="146" t="s">
        <v>329</v>
      </c>
      <c r="R82" s="70">
        <v>1255.23</v>
      </c>
      <c r="S82" s="146" t="s">
        <v>329</v>
      </c>
      <c r="T82" s="70">
        <v>1255.23</v>
      </c>
      <c r="U82" s="67">
        <v>287</v>
      </c>
      <c r="V82" s="68">
        <v>0.02</v>
      </c>
      <c r="W82" s="68">
        <v>5.04E-2</v>
      </c>
      <c r="X82" s="162">
        <f t="shared" si="51"/>
        <v>-1.8964291236063295E-2</v>
      </c>
      <c r="Y82" s="162">
        <f t="shared" si="52"/>
        <v>-7.134664821040128E-3</v>
      </c>
      <c r="Z82" s="162">
        <f t="shared" si="53"/>
        <v>0</v>
      </c>
      <c r="AA82" s="160">
        <f t="shared" si="54"/>
        <v>1.84E-2</v>
      </c>
      <c r="AB82" s="161">
        <f t="shared" si="55"/>
        <v>-1.8699999999999994E-2</v>
      </c>
    </row>
    <row r="83" spans="1:28" ht="15" customHeight="1">
      <c r="A83" s="205">
        <v>72</v>
      </c>
      <c r="B83" s="59" t="s">
        <v>126</v>
      </c>
      <c r="C83" s="60" t="s">
        <v>27</v>
      </c>
      <c r="D83" s="146" t="s">
        <v>329</v>
      </c>
      <c r="E83" s="71">
        <v>1824545163.3499999</v>
      </c>
      <c r="F83" s="66">
        <f>(E83/$O$117)</f>
        <v>7.691642800552379E-3</v>
      </c>
      <c r="G83" s="146" t="s">
        <v>329</v>
      </c>
      <c r="H83" s="70">
        <v>1.1704000000000001</v>
      </c>
      <c r="I83" s="146" t="s">
        <v>329</v>
      </c>
      <c r="J83" s="70">
        <v>1.1704000000000001</v>
      </c>
      <c r="K83" s="67">
        <v>1081</v>
      </c>
      <c r="L83" s="68">
        <v>7.1000000000000004E-3</v>
      </c>
      <c r="M83" s="68">
        <v>7.8399999999999997E-2</v>
      </c>
      <c r="N83" s="146" t="s">
        <v>329</v>
      </c>
      <c r="O83" s="71">
        <v>1885277083.1800001</v>
      </c>
      <c r="P83" s="66">
        <f t="shared" si="50"/>
        <v>7.9476672845210095E-3</v>
      </c>
      <c r="Q83" s="146" t="s">
        <v>329</v>
      </c>
      <c r="R83" s="70">
        <v>1.1576</v>
      </c>
      <c r="S83" s="146" t="s">
        <v>329</v>
      </c>
      <c r="T83" s="70">
        <v>1.1576</v>
      </c>
      <c r="U83" s="67">
        <v>1081</v>
      </c>
      <c r="V83" s="68">
        <v>-4.0000000000000001E-3</v>
      </c>
      <c r="W83" s="68">
        <v>6.7199999999999996E-2</v>
      </c>
      <c r="X83" s="162">
        <f t="shared" si="51"/>
        <v>3.3286060027416291E-2</v>
      </c>
      <c r="Y83" s="162">
        <f t="shared" si="52"/>
        <v>-1.093643198906369E-2</v>
      </c>
      <c r="Z83" s="162">
        <f t="shared" si="53"/>
        <v>0</v>
      </c>
      <c r="AA83" s="160">
        <f t="shared" si="54"/>
        <v>-1.11E-2</v>
      </c>
      <c r="AB83" s="161">
        <f t="shared" si="55"/>
        <v>-1.1200000000000002E-2</v>
      </c>
    </row>
    <row r="84" spans="1:28" ht="15.6" customHeight="1">
      <c r="A84" s="205">
        <v>73</v>
      </c>
      <c r="B84" s="59" t="s">
        <v>127</v>
      </c>
      <c r="C84" s="60" t="s">
        <v>128</v>
      </c>
      <c r="D84" s="146" t="s">
        <v>329</v>
      </c>
      <c r="E84" s="71">
        <v>510034063.38</v>
      </c>
      <c r="F84" s="66">
        <f t="shared" ref="F84:F102" si="56">(E84/$E$117)</f>
        <v>2.1528001506792367E-3</v>
      </c>
      <c r="G84" s="146" t="s">
        <v>329</v>
      </c>
      <c r="H84" s="70">
        <v>2.9047000000000001</v>
      </c>
      <c r="I84" s="146" t="s">
        <v>329</v>
      </c>
      <c r="J84" s="70">
        <v>2.9047000000000001</v>
      </c>
      <c r="K84" s="67">
        <v>1390</v>
      </c>
      <c r="L84" s="68">
        <v>0.10440000000000001</v>
      </c>
      <c r="M84" s="68">
        <v>0.13539999999999999</v>
      </c>
      <c r="N84" s="146" t="s">
        <v>329</v>
      </c>
      <c r="O84" s="71">
        <v>511487575.99000001</v>
      </c>
      <c r="P84" s="66">
        <f t="shared" si="50"/>
        <v>2.1562523145286392E-3</v>
      </c>
      <c r="Q84" s="146" t="s">
        <v>329</v>
      </c>
      <c r="R84" s="70">
        <v>2.9129999999999998</v>
      </c>
      <c r="S84" s="146" t="s">
        <v>329</v>
      </c>
      <c r="T84" s="70">
        <v>2.9129999999999998</v>
      </c>
      <c r="U84" s="67">
        <v>1390</v>
      </c>
      <c r="V84" s="68">
        <v>0.13039999999999999</v>
      </c>
      <c r="W84" s="68">
        <v>0.1356</v>
      </c>
      <c r="X84" s="162">
        <f t="shared" si="51"/>
        <v>2.8498343823696285E-3</v>
      </c>
      <c r="Y84" s="162">
        <f t="shared" si="52"/>
        <v>2.857437945398751E-3</v>
      </c>
      <c r="Z84" s="162">
        <f t="shared" si="53"/>
        <v>0</v>
      </c>
      <c r="AA84" s="160">
        <f t="shared" si="54"/>
        <v>2.5999999999999981E-2</v>
      </c>
      <c r="AB84" s="161">
        <f t="shared" si="55"/>
        <v>2.0000000000000573E-4</v>
      </c>
    </row>
    <row r="85" spans="1:28" ht="15" customHeight="1">
      <c r="A85" s="205">
        <v>74</v>
      </c>
      <c r="B85" s="60" t="s">
        <v>129</v>
      </c>
      <c r="C85" s="60" t="s">
        <v>130</v>
      </c>
      <c r="D85" s="146" t="s">
        <v>329</v>
      </c>
      <c r="E85" s="71">
        <v>4300015290.4700003</v>
      </c>
      <c r="F85" s="66">
        <f t="shared" si="56"/>
        <v>1.8149912388008234E-2</v>
      </c>
      <c r="G85" s="146" t="s">
        <v>329</v>
      </c>
      <c r="H85" s="70">
        <v>1224.1300000000001</v>
      </c>
      <c r="I85" s="146" t="s">
        <v>329</v>
      </c>
      <c r="J85" s="70">
        <v>1224.1300000000001</v>
      </c>
      <c r="K85" s="67">
        <v>335</v>
      </c>
      <c r="L85" s="68">
        <v>1.5E-3</v>
      </c>
      <c r="M85" s="68">
        <v>9.393E-2</v>
      </c>
      <c r="N85" s="146" t="s">
        <v>329</v>
      </c>
      <c r="O85" s="71">
        <v>4549270733.1300001</v>
      </c>
      <c r="P85" s="66">
        <f t="shared" si="50"/>
        <v>1.9178130629551683E-2</v>
      </c>
      <c r="Q85" s="146" t="s">
        <v>329</v>
      </c>
      <c r="R85" s="70">
        <v>1227.9100000000001</v>
      </c>
      <c r="S85" s="146" t="s">
        <v>329</v>
      </c>
      <c r="T85" s="70">
        <v>1227.9100000000001</v>
      </c>
      <c r="U85" s="67">
        <v>385</v>
      </c>
      <c r="V85" s="68">
        <v>1.8500000000000001E-3</v>
      </c>
      <c r="W85" s="68">
        <v>9.7320000000000004E-2</v>
      </c>
      <c r="X85" s="162">
        <f t="shared" ref="X85" si="57">((O85-E85)/E85)</f>
        <v>5.7966175890680552E-2</v>
      </c>
      <c r="Y85" s="162">
        <f t="shared" si="52"/>
        <v>3.0879073301038062E-3</v>
      </c>
      <c r="Z85" s="162">
        <f t="shared" ref="Z85" si="58">((U85-K85)/K85)</f>
        <v>0.14925373134328357</v>
      </c>
      <c r="AA85" s="160">
        <f t="shared" si="54"/>
        <v>3.5000000000000005E-4</v>
      </c>
      <c r="AB85" s="161">
        <f t="shared" si="55"/>
        <v>3.3900000000000041E-3</v>
      </c>
    </row>
    <row r="86" spans="1:28" ht="16.2" customHeight="1">
      <c r="A86" s="208">
        <v>75</v>
      </c>
      <c r="B86" s="59" t="s">
        <v>131</v>
      </c>
      <c r="C86" s="60" t="s">
        <v>65</v>
      </c>
      <c r="D86" s="146" t="s">
        <v>329</v>
      </c>
      <c r="E86" s="71">
        <v>198551390.08000001</v>
      </c>
      <c r="F86" s="66">
        <f t="shared" si="56"/>
        <v>8.3806453955082483E-4</v>
      </c>
      <c r="G86" s="146" t="s">
        <v>329</v>
      </c>
      <c r="H86" s="70">
        <v>12.106999999999999</v>
      </c>
      <c r="I86" s="146" t="s">
        <v>329</v>
      </c>
      <c r="J86" s="70">
        <v>12.154999999999999</v>
      </c>
      <c r="K86" s="67">
        <v>47</v>
      </c>
      <c r="L86" s="68">
        <v>-6.8999999999999997E-4</v>
      </c>
      <c r="M86" s="68">
        <v>0.11799999999999999</v>
      </c>
      <c r="N86" s="146" t="s">
        <v>329</v>
      </c>
      <c r="O86" s="71">
        <v>198056428.63999999</v>
      </c>
      <c r="P86" s="66">
        <f t="shared" si="50"/>
        <v>8.3493647296454686E-4</v>
      </c>
      <c r="Q86" s="146" t="s">
        <v>329</v>
      </c>
      <c r="R86" s="70">
        <v>12.077</v>
      </c>
      <c r="S86" s="146" t="s">
        <v>329</v>
      </c>
      <c r="T86" s="70">
        <v>12.119</v>
      </c>
      <c r="U86" s="67">
        <v>47</v>
      </c>
      <c r="V86" s="68">
        <v>-3.3400000000000001E-3</v>
      </c>
      <c r="W86" s="68">
        <v>0.1075</v>
      </c>
      <c r="X86" s="162">
        <f t="shared" si="51"/>
        <v>-2.4928631313061991E-3</v>
      </c>
      <c r="Y86" s="162">
        <f t="shared" si="52"/>
        <v>-2.9617441382146928E-3</v>
      </c>
      <c r="Z86" s="162">
        <f t="shared" si="53"/>
        <v>0</v>
      </c>
      <c r="AA86" s="160">
        <f t="shared" si="54"/>
        <v>-2.65E-3</v>
      </c>
      <c r="AB86" s="161">
        <f t="shared" si="55"/>
        <v>-1.0499999999999995E-2</v>
      </c>
    </row>
    <row r="87" spans="1:28" ht="16.2" customHeight="1">
      <c r="A87" s="205">
        <v>76</v>
      </c>
      <c r="B87" s="59" t="s">
        <v>132</v>
      </c>
      <c r="C87" s="60" t="s">
        <v>67</v>
      </c>
      <c r="D87" s="146" t="s">
        <v>329</v>
      </c>
      <c r="E87" s="71">
        <v>2179295042.73</v>
      </c>
      <c r="F87" s="66">
        <f t="shared" si="56"/>
        <v>9.19857521921668E-3</v>
      </c>
      <c r="G87" s="146" t="s">
        <v>329</v>
      </c>
      <c r="H87" s="71">
        <v>5029.2700000000004</v>
      </c>
      <c r="I87" s="146" t="s">
        <v>329</v>
      </c>
      <c r="J87" s="71">
        <v>5029.2700000000004</v>
      </c>
      <c r="K87" s="67">
        <v>1224</v>
      </c>
      <c r="L87" s="68">
        <v>0.14749999999999999</v>
      </c>
      <c r="M87" s="68">
        <v>0.1303</v>
      </c>
      <c r="N87" s="146" t="s">
        <v>329</v>
      </c>
      <c r="O87" s="71">
        <v>2184707203.2399998</v>
      </c>
      <c r="P87" s="66">
        <f t="shared" si="50"/>
        <v>9.2099597031966608E-3</v>
      </c>
      <c r="Q87" s="146" t="s">
        <v>329</v>
      </c>
      <c r="R87" s="71">
        <v>5039.45</v>
      </c>
      <c r="S87" s="146" t="s">
        <v>329</v>
      </c>
      <c r="T87" s="71">
        <v>5039.45</v>
      </c>
      <c r="U87" s="67">
        <v>1224</v>
      </c>
      <c r="V87" s="68">
        <v>0.1056</v>
      </c>
      <c r="W87" s="68">
        <v>0.12959999999999999</v>
      </c>
      <c r="X87" s="162">
        <f t="shared" si="51"/>
        <v>2.4834455197126249E-3</v>
      </c>
      <c r="Y87" s="162">
        <f t="shared" si="52"/>
        <v>2.0241506222571826E-3</v>
      </c>
      <c r="Z87" s="162">
        <f t="shared" si="53"/>
        <v>0</v>
      </c>
      <c r="AA87" s="160">
        <f t="shared" si="54"/>
        <v>-4.1899999999999993E-2</v>
      </c>
      <c r="AB87" s="161">
        <f t="shared" si="55"/>
        <v>-7.0000000000000617E-4</v>
      </c>
    </row>
    <row r="88" spans="1:28" ht="15.6" customHeight="1">
      <c r="A88" s="205">
        <v>77</v>
      </c>
      <c r="B88" s="59" t="s">
        <v>133</v>
      </c>
      <c r="C88" s="60" t="s">
        <v>69</v>
      </c>
      <c r="D88" s="146" t="s">
        <v>329</v>
      </c>
      <c r="E88" s="71">
        <v>365704253.88999999</v>
      </c>
      <c r="F88" s="66">
        <f t="shared" si="56"/>
        <v>1.5435992013181719E-3</v>
      </c>
      <c r="G88" s="146" t="s">
        <v>329</v>
      </c>
      <c r="H88" s="91">
        <v>113.58</v>
      </c>
      <c r="I88" s="146" t="s">
        <v>329</v>
      </c>
      <c r="J88" s="91">
        <v>113.58</v>
      </c>
      <c r="K88" s="67">
        <v>97</v>
      </c>
      <c r="L88" s="68">
        <v>1.9E-3</v>
      </c>
      <c r="M88" s="68">
        <v>0.1288</v>
      </c>
      <c r="N88" s="146" t="s">
        <v>329</v>
      </c>
      <c r="O88" s="71">
        <v>366982708.91000003</v>
      </c>
      <c r="P88" s="66">
        <f t="shared" si="50"/>
        <v>1.5470704521953983E-3</v>
      </c>
      <c r="Q88" s="146" t="s">
        <v>329</v>
      </c>
      <c r="R88" s="91">
        <v>113.84</v>
      </c>
      <c r="S88" s="146" t="s">
        <v>329</v>
      </c>
      <c r="T88" s="91">
        <v>113.84</v>
      </c>
      <c r="U88" s="67">
        <v>98</v>
      </c>
      <c r="V88" s="68">
        <v>2.3E-3</v>
      </c>
      <c r="W88" s="68">
        <v>0.1288</v>
      </c>
      <c r="X88" s="162">
        <f t="shared" si="51"/>
        <v>3.4958713397536425E-3</v>
      </c>
      <c r="Y88" s="162">
        <f t="shared" si="52"/>
        <v>2.2891354111639825E-3</v>
      </c>
      <c r="Z88" s="162">
        <f t="shared" si="53"/>
        <v>1.0309278350515464E-2</v>
      </c>
      <c r="AA88" s="160">
        <f t="shared" si="54"/>
        <v>3.9999999999999996E-4</v>
      </c>
      <c r="AB88" s="161">
        <f t="shared" si="55"/>
        <v>0</v>
      </c>
    </row>
    <row r="89" spans="1:28" ht="13.5" customHeight="1">
      <c r="A89" s="205">
        <v>78</v>
      </c>
      <c r="B89" s="59" t="s">
        <v>134</v>
      </c>
      <c r="C89" s="60" t="s">
        <v>71</v>
      </c>
      <c r="D89" s="146" t="s">
        <v>329</v>
      </c>
      <c r="E89" s="71">
        <v>1066989796.74</v>
      </c>
      <c r="F89" s="66">
        <f t="shared" si="56"/>
        <v>4.5036517364599868E-3</v>
      </c>
      <c r="G89" s="146" t="s">
        <v>329</v>
      </c>
      <c r="H89" s="91">
        <v>1.5738000000000001</v>
      </c>
      <c r="I89" s="146" t="s">
        <v>329</v>
      </c>
      <c r="J89" s="91">
        <v>1.5738000000000001</v>
      </c>
      <c r="K89" s="67">
        <v>2957</v>
      </c>
      <c r="L89" s="68">
        <v>-5.7000000000000002E-3</v>
      </c>
      <c r="M89" s="68">
        <v>8.0500000000000002E-2</v>
      </c>
      <c r="N89" s="146" t="s">
        <v>329</v>
      </c>
      <c r="O89" s="71">
        <v>1064338439.62</v>
      </c>
      <c r="P89" s="66">
        <f t="shared" si="50"/>
        <v>4.486877749533635E-3</v>
      </c>
      <c r="Q89" s="146" t="s">
        <v>329</v>
      </c>
      <c r="R89" s="91">
        <v>1.5753999999999999</v>
      </c>
      <c r="S89" s="146" t="s">
        <v>329</v>
      </c>
      <c r="T89" s="91">
        <v>1.5753999999999999</v>
      </c>
      <c r="U89" s="67">
        <v>2985</v>
      </c>
      <c r="V89" s="68">
        <v>1E-3</v>
      </c>
      <c r="W89" s="68">
        <v>8.1600000000000006E-2</v>
      </c>
      <c r="X89" s="162">
        <f t="shared" si="51"/>
        <v>-2.4848945398547959E-3</v>
      </c>
      <c r="Y89" s="162">
        <f t="shared" si="52"/>
        <v>1.0166476045239698E-3</v>
      </c>
      <c r="Z89" s="162">
        <f t="shared" si="53"/>
        <v>9.4690564761582691E-3</v>
      </c>
      <c r="AA89" s="160">
        <f t="shared" si="54"/>
        <v>6.7000000000000002E-3</v>
      </c>
      <c r="AB89" s="161">
        <f t="shared" si="55"/>
        <v>1.1000000000000038E-3</v>
      </c>
    </row>
    <row r="90" spans="1:28" ht="15" customHeight="1">
      <c r="A90" s="205">
        <v>79</v>
      </c>
      <c r="B90" s="59" t="s">
        <v>135</v>
      </c>
      <c r="C90" s="60" t="s">
        <v>71</v>
      </c>
      <c r="D90" s="146" t="s">
        <v>329</v>
      </c>
      <c r="E90" s="71">
        <v>175491927.55000001</v>
      </c>
      <c r="F90" s="66">
        <f t="shared" si="56"/>
        <v>7.4073297294881106E-4</v>
      </c>
      <c r="G90" s="146" t="s">
        <v>329</v>
      </c>
      <c r="H90" s="91">
        <v>1.0509999999999999</v>
      </c>
      <c r="I90" s="146" t="s">
        <v>329</v>
      </c>
      <c r="J90" s="91">
        <v>1.0509999999999999</v>
      </c>
      <c r="K90" s="67">
        <v>102</v>
      </c>
      <c r="L90" s="68">
        <v>-4.3E-3</v>
      </c>
      <c r="M90" s="68">
        <v>0.13500000000000001</v>
      </c>
      <c r="N90" s="146" t="s">
        <v>329</v>
      </c>
      <c r="O90" s="71">
        <v>167550296.59999999</v>
      </c>
      <c r="P90" s="66">
        <f t="shared" si="50"/>
        <v>7.0633331443963228E-4</v>
      </c>
      <c r="Q90" s="146" t="s">
        <v>329</v>
      </c>
      <c r="R90" s="91">
        <v>1.0512999999999999</v>
      </c>
      <c r="S90" s="146" t="s">
        <v>329</v>
      </c>
      <c r="T90" s="91">
        <v>1.0512999999999999</v>
      </c>
      <c r="U90" s="67">
        <v>102</v>
      </c>
      <c r="V90" s="68">
        <v>2.9999999999999997E-4</v>
      </c>
      <c r="W90" s="68">
        <v>0.1353</v>
      </c>
      <c r="X90" s="162">
        <f t="shared" ref="X90" si="59">((O90-E90)/E90)</f>
        <v>-4.5253539925574869E-2</v>
      </c>
      <c r="Y90" s="162">
        <f t="shared" ref="Y90" si="60">((T90-J90)/J90)</f>
        <v>2.8544243577542053E-4</v>
      </c>
      <c r="Z90" s="162">
        <f t="shared" ref="Z90" si="61">((U90-K90)/K90)</f>
        <v>0</v>
      </c>
      <c r="AA90" s="160">
        <f t="shared" ref="AA90" si="62">V90-L90</f>
        <v>4.5999999999999999E-3</v>
      </c>
      <c r="AB90" s="161">
        <f t="shared" ref="AB90" si="63">W90-M90</f>
        <v>2.9999999999999472E-4</v>
      </c>
    </row>
    <row r="91" spans="1:28" ht="15.6" customHeight="1">
      <c r="A91" s="205">
        <v>80</v>
      </c>
      <c r="B91" s="59" t="s">
        <v>136</v>
      </c>
      <c r="C91" s="60" t="s">
        <v>29</v>
      </c>
      <c r="D91" s="146" t="s">
        <v>329</v>
      </c>
      <c r="E91" s="71">
        <v>261702045.89199999</v>
      </c>
      <c r="F91" s="66">
        <f t="shared" si="56"/>
        <v>1.1046168173469773E-3</v>
      </c>
      <c r="G91" s="146" t="s">
        <v>329</v>
      </c>
      <c r="H91" s="91">
        <v>149.47839999999999</v>
      </c>
      <c r="I91" s="146" t="s">
        <v>329</v>
      </c>
      <c r="J91" s="91">
        <v>149.47839999999999</v>
      </c>
      <c r="K91" s="67">
        <v>490</v>
      </c>
      <c r="L91" s="68">
        <v>4.08E-4</v>
      </c>
      <c r="M91" s="68">
        <v>0.1075</v>
      </c>
      <c r="N91" s="146" t="s">
        <v>329</v>
      </c>
      <c r="O91" s="71">
        <v>325846498.64999998</v>
      </c>
      <c r="P91" s="66">
        <f t="shared" si="50"/>
        <v>1.3736546103494255E-3</v>
      </c>
      <c r="Q91" s="146" t="s">
        <v>329</v>
      </c>
      <c r="R91" s="91">
        <v>149.96700000000001</v>
      </c>
      <c r="S91" s="146" t="s">
        <v>329</v>
      </c>
      <c r="T91" s="91">
        <v>149.96700000000001</v>
      </c>
      <c r="U91" s="67">
        <v>502</v>
      </c>
      <c r="V91" s="68">
        <v>4.28E-4</v>
      </c>
      <c r="W91" s="68">
        <v>0.10780000000000001</v>
      </c>
      <c r="X91" s="162">
        <f t="shared" si="51"/>
        <v>0.24510489606363764</v>
      </c>
      <c r="Y91" s="162">
        <f t="shared" si="52"/>
        <v>3.268699691728166E-3</v>
      </c>
      <c r="Z91" s="162">
        <f t="shared" si="53"/>
        <v>2.4489795918367346E-2</v>
      </c>
      <c r="AA91" s="160">
        <f t="shared" si="54"/>
        <v>1.9999999999999998E-5</v>
      </c>
      <c r="AB91" s="161">
        <f t="shared" si="55"/>
        <v>3.0000000000000859E-4</v>
      </c>
    </row>
    <row r="92" spans="1:28" ht="15" customHeight="1">
      <c r="A92" s="205">
        <v>81</v>
      </c>
      <c r="B92" s="59" t="s">
        <v>137</v>
      </c>
      <c r="C92" s="60" t="s">
        <v>73</v>
      </c>
      <c r="D92" s="146" t="s">
        <v>329</v>
      </c>
      <c r="E92" s="71">
        <v>3058449712.79</v>
      </c>
      <c r="F92" s="66">
        <f t="shared" si="56"/>
        <v>1.2909394637106051E-2</v>
      </c>
      <c r="G92" s="146" t="s">
        <v>329</v>
      </c>
      <c r="H92" s="70">
        <v>1398.76</v>
      </c>
      <c r="I92" s="146" t="s">
        <v>329</v>
      </c>
      <c r="J92" s="70">
        <v>1398.76</v>
      </c>
      <c r="K92" s="67">
        <v>330</v>
      </c>
      <c r="L92" s="68">
        <v>3.3E-3</v>
      </c>
      <c r="M92" s="68">
        <v>0.17469999999999999</v>
      </c>
      <c r="N92" s="146" t="s">
        <v>329</v>
      </c>
      <c r="O92" s="71">
        <v>3266005173.6999998</v>
      </c>
      <c r="P92" s="66">
        <f t="shared" si="50"/>
        <v>1.3768332889459702E-2</v>
      </c>
      <c r="Q92" s="146" t="s">
        <v>329</v>
      </c>
      <c r="R92" s="70">
        <v>1392.58</v>
      </c>
      <c r="S92" s="146" t="s">
        <v>329</v>
      </c>
      <c r="T92" s="70">
        <v>1392.58</v>
      </c>
      <c r="U92" s="67">
        <v>330</v>
      </c>
      <c r="V92" s="68">
        <v>2.8E-3</v>
      </c>
      <c r="W92" s="68">
        <v>0.1724</v>
      </c>
      <c r="X92" s="162">
        <f t="shared" si="51"/>
        <v>6.7862963396793E-2</v>
      </c>
      <c r="Y92" s="162">
        <f t="shared" si="52"/>
        <v>-4.4181989762361405E-3</v>
      </c>
      <c r="Z92" s="162">
        <f t="shared" si="53"/>
        <v>0</v>
      </c>
      <c r="AA92" s="160">
        <f t="shared" si="54"/>
        <v>-5.0000000000000001E-4</v>
      </c>
      <c r="AB92" s="161">
        <f t="shared" si="55"/>
        <v>-2.2999999999999965E-3</v>
      </c>
    </row>
    <row r="93" spans="1:28" ht="14.4" customHeight="1">
      <c r="A93" s="205">
        <v>82</v>
      </c>
      <c r="B93" s="59" t="s">
        <v>138</v>
      </c>
      <c r="C93" s="60" t="s">
        <v>75</v>
      </c>
      <c r="D93" s="146" t="s">
        <v>329</v>
      </c>
      <c r="E93" s="71">
        <v>149935437.34</v>
      </c>
      <c r="F93" s="66">
        <f t="shared" si="56"/>
        <v>6.3286171507572777E-4</v>
      </c>
      <c r="G93" s="146" t="s">
        <v>329</v>
      </c>
      <c r="H93" s="70">
        <v>1024.77</v>
      </c>
      <c r="I93" s="146" t="s">
        <v>329</v>
      </c>
      <c r="J93" s="70">
        <v>1040.48</v>
      </c>
      <c r="K93" s="67">
        <v>72</v>
      </c>
      <c r="L93" s="68">
        <v>2.2000000000000001E-3</v>
      </c>
      <c r="M93" s="68">
        <v>5.4199999999999998E-2</v>
      </c>
      <c r="N93" s="146" t="s">
        <v>329</v>
      </c>
      <c r="O93" s="71">
        <v>148570189.65000001</v>
      </c>
      <c r="P93" s="66">
        <f t="shared" si="50"/>
        <v>6.2631983715873206E-4</v>
      </c>
      <c r="Q93" s="146" t="s">
        <v>329</v>
      </c>
      <c r="R93" s="70">
        <v>1015.54</v>
      </c>
      <c r="S93" s="146" t="s">
        <v>329</v>
      </c>
      <c r="T93" s="70">
        <v>1032.22</v>
      </c>
      <c r="U93" s="67">
        <v>70</v>
      </c>
      <c r="V93" s="68">
        <v>-8.8999999999999999E-3</v>
      </c>
      <c r="W93" s="68">
        <v>4.53E-2</v>
      </c>
      <c r="X93" s="162">
        <f t="shared" si="51"/>
        <v>-9.1055704656671892E-3</v>
      </c>
      <c r="Y93" s="162">
        <f t="shared" si="52"/>
        <v>-7.9386437029063412E-3</v>
      </c>
      <c r="Z93" s="162">
        <f t="shared" si="53"/>
        <v>-2.7777777777777776E-2</v>
      </c>
      <c r="AA93" s="160">
        <f t="shared" si="54"/>
        <v>-1.11E-2</v>
      </c>
      <c r="AB93" s="161">
        <f t="shared" si="55"/>
        <v>-8.8999999999999982E-3</v>
      </c>
    </row>
    <row r="94" spans="1:28" ht="15" customHeight="1">
      <c r="A94" s="205">
        <v>83</v>
      </c>
      <c r="B94" s="59" t="s">
        <v>139</v>
      </c>
      <c r="C94" s="60" t="s">
        <v>78</v>
      </c>
      <c r="D94" s="146" t="s">
        <v>329</v>
      </c>
      <c r="E94" s="71">
        <v>766881619.91999996</v>
      </c>
      <c r="F94" s="66">
        <f t="shared" si="56"/>
        <v>3.2369266789282676E-3</v>
      </c>
      <c r="G94" s="146" t="s">
        <v>329</v>
      </c>
      <c r="H94" s="92">
        <v>1.2</v>
      </c>
      <c r="I94" s="146" t="s">
        <v>329</v>
      </c>
      <c r="J94" s="92">
        <v>1.2</v>
      </c>
      <c r="K94" s="67">
        <v>67</v>
      </c>
      <c r="L94" s="68">
        <v>1E-3</v>
      </c>
      <c r="M94" s="68">
        <v>0.1401</v>
      </c>
      <c r="N94" s="146" t="s">
        <v>329</v>
      </c>
      <c r="O94" s="71">
        <v>771882883.09000003</v>
      </c>
      <c r="P94" s="66">
        <f t="shared" si="50"/>
        <v>3.2539876457143733E-3</v>
      </c>
      <c r="Q94" s="146" t="s">
        <v>329</v>
      </c>
      <c r="R94" s="92">
        <v>1.2</v>
      </c>
      <c r="S94" s="146" t="s">
        <v>329</v>
      </c>
      <c r="T94" s="92">
        <v>1.2</v>
      </c>
      <c r="U94" s="67">
        <v>69</v>
      </c>
      <c r="V94" s="68">
        <v>1.4E-3</v>
      </c>
      <c r="W94" s="68">
        <v>0.13969999999999999</v>
      </c>
      <c r="X94" s="162">
        <f t="shared" si="51"/>
        <v>6.5215582693477535E-3</v>
      </c>
      <c r="Y94" s="162">
        <f t="shared" si="52"/>
        <v>0</v>
      </c>
      <c r="Z94" s="162">
        <f t="shared" si="53"/>
        <v>2.9850746268656716E-2</v>
      </c>
      <c r="AA94" s="160">
        <f t="shared" si="54"/>
        <v>3.9999999999999996E-4</v>
      </c>
      <c r="AB94" s="161">
        <f t="shared" si="55"/>
        <v>-4.0000000000001146E-4</v>
      </c>
    </row>
    <row r="95" spans="1:28" ht="15" customHeight="1">
      <c r="A95" s="205">
        <v>84</v>
      </c>
      <c r="B95" s="59" t="s">
        <v>316</v>
      </c>
      <c r="C95" s="60" t="s">
        <v>38</v>
      </c>
      <c r="D95" s="146" t="s">
        <v>329</v>
      </c>
      <c r="E95" s="71">
        <v>1180393367.53</v>
      </c>
      <c r="F95" s="66">
        <f t="shared" si="56"/>
        <v>4.9823162842087968E-3</v>
      </c>
      <c r="G95" s="146" t="s">
        <v>329</v>
      </c>
      <c r="H95" s="91">
        <v>3.88</v>
      </c>
      <c r="I95" s="146" t="s">
        <v>329</v>
      </c>
      <c r="J95" s="91">
        <v>3.91</v>
      </c>
      <c r="K95" s="85">
        <v>813</v>
      </c>
      <c r="L95" s="86">
        <v>1.1599999999999999E-2</v>
      </c>
      <c r="M95" s="86">
        <v>0.16789999999999999</v>
      </c>
      <c r="N95" s="146" t="s">
        <v>329</v>
      </c>
      <c r="O95" s="71">
        <v>1079222458.8</v>
      </c>
      <c r="P95" s="66">
        <f t="shared" si="50"/>
        <v>4.5496235566908185E-3</v>
      </c>
      <c r="Q95" s="146" t="s">
        <v>329</v>
      </c>
      <c r="R95" s="91">
        <v>3.89</v>
      </c>
      <c r="S95" s="146" t="s">
        <v>329</v>
      </c>
      <c r="T95" s="91">
        <v>3.91</v>
      </c>
      <c r="U95" s="85">
        <v>815</v>
      </c>
      <c r="V95" s="86">
        <v>1.23E-2</v>
      </c>
      <c r="W95" s="86">
        <v>0.16239999999999999</v>
      </c>
      <c r="X95" s="162">
        <f>((O95-E95)/E95)</f>
        <v>-8.5709485933238044E-2</v>
      </c>
      <c r="Y95" s="162">
        <f>((T95-J95)/J95)</f>
        <v>0</v>
      </c>
      <c r="Z95" s="162">
        <f>((U95-K95)/K95)</f>
        <v>2.4600246002460025E-3</v>
      </c>
      <c r="AA95" s="160">
        <f>V95-L95</f>
        <v>7.0000000000000097E-4</v>
      </c>
      <c r="AB95" s="161">
        <f>W95-M95</f>
        <v>-5.5000000000000049E-3</v>
      </c>
    </row>
    <row r="96" spans="1:28" ht="14.4" customHeight="1">
      <c r="A96" s="205">
        <v>85</v>
      </c>
      <c r="B96" s="59" t="s">
        <v>322</v>
      </c>
      <c r="C96" s="60" t="s">
        <v>79</v>
      </c>
      <c r="D96" s="146" t="s">
        <v>329</v>
      </c>
      <c r="E96" s="92">
        <v>11640689886.66</v>
      </c>
      <c r="F96" s="66">
        <f t="shared" si="56"/>
        <v>4.9134127975568063E-2</v>
      </c>
      <c r="G96" s="146" t="s">
        <v>329</v>
      </c>
      <c r="H96" s="92">
        <v>1735.92</v>
      </c>
      <c r="I96" s="146" t="s">
        <v>329</v>
      </c>
      <c r="J96" s="92">
        <v>1735.92</v>
      </c>
      <c r="K96" s="67">
        <v>2296</v>
      </c>
      <c r="L96" s="68">
        <v>1E-3</v>
      </c>
      <c r="M96" s="68">
        <v>4.1799999999999997E-2</v>
      </c>
      <c r="N96" s="146" t="s">
        <v>329</v>
      </c>
      <c r="O96" s="92">
        <v>11650100112.74</v>
      </c>
      <c r="P96" s="66">
        <f t="shared" si="50"/>
        <v>4.911273804444688E-2</v>
      </c>
      <c r="Q96" s="146" t="s">
        <v>329</v>
      </c>
      <c r="R96" s="92">
        <v>1738.68</v>
      </c>
      <c r="S96" s="146" t="s">
        <v>329</v>
      </c>
      <c r="T96" s="92">
        <v>1738.68</v>
      </c>
      <c r="U96" s="67">
        <v>2299</v>
      </c>
      <c r="V96" s="68">
        <v>1.4E-3</v>
      </c>
      <c r="W96" s="68">
        <v>4.3499999999999997E-2</v>
      </c>
      <c r="X96" s="162">
        <f t="shared" si="51"/>
        <v>8.0839075446755579E-4</v>
      </c>
      <c r="Y96" s="162">
        <f t="shared" si="52"/>
        <v>1.5899350200470014E-3</v>
      </c>
      <c r="Z96" s="162">
        <f t="shared" si="53"/>
        <v>1.3066202090592336E-3</v>
      </c>
      <c r="AA96" s="160">
        <f t="shared" si="54"/>
        <v>3.9999999999999996E-4</v>
      </c>
      <c r="AB96" s="161">
        <f t="shared" si="55"/>
        <v>1.7000000000000001E-3</v>
      </c>
    </row>
    <row r="97" spans="1:28" ht="13.8" customHeight="1">
      <c r="A97" s="205">
        <v>86</v>
      </c>
      <c r="B97" s="59" t="s">
        <v>140</v>
      </c>
      <c r="C97" s="60" t="s">
        <v>87</v>
      </c>
      <c r="D97" s="146" t="s">
        <v>329</v>
      </c>
      <c r="E97" s="71">
        <v>23898971.030000001</v>
      </c>
      <c r="F97" s="66">
        <f t="shared" si="56"/>
        <v>1.0087504370493427E-4</v>
      </c>
      <c r="G97" s="146" t="s">
        <v>329</v>
      </c>
      <c r="H97" s="91">
        <v>0.72860000000000003</v>
      </c>
      <c r="I97" s="146" t="s">
        <v>329</v>
      </c>
      <c r="J97" s="91">
        <v>0.72860000000000003</v>
      </c>
      <c r="K97" s="67">
        <v>744</v>
      </c>
      <c r="L97" s="68">
        <v>1.9E-3</v>
      </c>
      <c r="M97" s="68">
        <v>8.0000000000000004E-4</v>
      </c>
      <c r="N97" s="146" t="s">
        <v>329</v>
      </c>
      <c r="O97" s="71">
        <v>23959607.02</v>
      </c>
      <c r="P97" s="66">
        <f t="shared" si="50"/>
        <v>1.0100530397454207E-4</v>
      </c>
      <c r="Q97" s="146" t="s">
        <v>329</v>
      </c>
      <c r="R97" s="91">
        <v>0.7319</v>
      </c>
      <c r="S97" s="146" t="s">
        <v>329</v>
      </c>
      <c r="T97" s="91">
        <v>0.7319</v>
      </c>
      <c r="U97" s="67">
        <v>744</v>
      </c>
      <c r="V97" s="68">
        <v>2.5999999999999999E-3</v>
      </c>
      <c r="W97" s="68">
        <v>3.3999999999999998E-3</v>
      </c>
      <c r="X97" s="162">
        <f t="shared" si="51"/>
        <v>2.5371799448554904E-3</v>
      </c>
      <c r="Y97" s="162">
        <f t="shared" si="52"/>
        <v>4.5292341476804417E-3</v>
      </c>
      <c r="Z97" s="162">
        <f t="shared" si="53"/>
        <v>0</v>
      </c>
      <c r="AA97" s="160">
        <f t="shared" si="54"/>
        <v>6.9999999999999988E-4</v>
      </c>
      <c r="AB97" s="161">
        <f t="shared" si="55"/>
        <v>2.5999999999999999E-3</v>
      </c>
    </row>
    <row r="98" spans="1:28" ht="15.6" customHeight="1">
      <c r="A98" s="205">
        <v>87</v>
      </c>
      <c r="B98" s="59" t="s">
        <v>141</v>
      </c>
      <c r="C98" s="60" t="s">
        <v>35</v>
      </c>
      <c r="D98" s="146" t="s">
        <v>329</v>
      </c>
      <c r="E98" s="71">
        <v>12915603637.51</v>
      </c>
      <c r="F98" s="66">
        <f t="shared" si="56"/>
        <v>5.4515404858810325E-2</v>
      </c>
      <c r="G98" s="146" t="s">
        <v>329</v>
      </c>
      <c r="H98" s="91">
        <v>1</v>
      </c>
      <c r="I98" s="146" t="s">
        <v>329</v>
      </c>
      <c r="J98" s="91">
        <v>1</v>
      </c>
      <c r="K98" s="67">
        <v>6326</v>
      </c>
      <c r="L98" s="68">
        <v>0.06</v>
      </c>
      <c r="M98" s="68">
        <v>0.06</v>
      </c>
      <c r="N98" s="146" t="s">
        <v>329</v>
      </c>
      <c r="O98" s="71">
        <v>13007358294.120001</v>
      </c>
      <c r="P98" s="66">
        <f t="shared" si="50"/>
        <v>5.4834462740005807E-2</v>
      </c>
      <c r="Q98" s="146" t="s">
        <v>329</v>
      </c>
      <c r="R98" s="91">
        <v>1</v>
      </c>
      <c r="S98" s="146" t="s">
        <v>329</v>
      </c>
      <c r="T98" s="91">
        <v>1</v>
      </c>
      <c r="U98" s="67">
        <v>6376</v>
      </c>
      <c r="V98" s="68">
        <v>0.06</v>
      </c>
      <c r="W98" s="68">
        <v>0.06</v>
      </c>
      <c r="X98" s="162">
        <f t="shared" si="51"/>
        <v>7.1041709845851226E-3</v>
      </c>
      <c r="Y98" s="162">
        <f t="shared" si="52"/>
        <v>0</v>
      </c>
      <c r="Z98" s="162">
        <f t="shared" si="53"/>
        <v>7.9038887132469177E-3</v>
      </c>
      <c r="AA98" s="160">
        <f t="shared" si="54"/>
        <v>0</v>
      </c>
      <c r="AB98" s="161">
        <f t="shared" si="55"/>
        <v>0</v>
      </c>
    </row>
    <row r="99" spans="1:28" ht="14.4" customHeight="1">
      <c r="A99" s="205">
        <v>88</v>
      </c>
      <c r="B99" s="59" t="s">
        <v>142</v>
      </c>
      <c r="C99" s="60" t="s">
        <v>143</v>
      </c>
      <c r="D99" s="146" t="s">
        <v>329</v>
      </c>
      <c r="E99" s="71">
        <v>1956004879.02</v>
      </c>
      <c r="F99" s="66">
        <f t="shared" si="56"/>
        <v>8.2560909174928254E-3</v>
      </c>
      <c r="G99" s="146" t="s">
        <v>329</v>
      </c>
      <c r="H99" s="71">
        <v>287.79000000000002</v>
      </c>
      <c r="I99" s="146" t="s">
        <v>329</v>
      </c>
      <c r="J99" s="71">
        <v>287.79000000000002</v>
      </c>
      <c r="K99" s="67">
        <v>562</v>
      </c>
      <c r="L99" s="68">
        <v>3.0000000000000001E-3</v>
      </c>
      <c r="M99" s="68">
        <v>0.16950000000000001</v>
      </c>
      <c r="N99" s="146" t="s">
        <v>329</v>
      </c>
      <c r="O99" s="71">
        <v>1946441747.02</v>
      </c>
      <c r="P99" s="66">
        <f t="shared" si="50"/>
        <v>8.2055160655341089E-3</v>
      </c>
      <c r="Q99" s="146" t="s">
        <v>329</v>
      </c>
      <c r="R99" s="71">
        <v>288.20999999999998</v>
      </c>
      <c r="S99" s="146" t="s">
        <v>329</v>
      </c>
      <c r="T99" s="71">
        <v>288.20999999999998</v>
      </c>
      <c r="U99" s="67">
        <v>562</v>
      </c>
      <c r="V99" s="68">
        <v>3.0000000000000001E-3</v>
      </c>
      <c r="W99" s="68">
        <v>0.16830000000000001</v>
      </c>
      <c r="X99" s="162">
        <f t="shared" si="51"/>
        <v>-4.8891145940245977E-3</v>
      </c>
      <c r="Y99" s="162">
        <f t="shared" si="52"/>
        <v>1.4593974773270755E-3</v>
      </c>
      <c r="Z99" s="162">
        <f t="shared" si="53"/>
        <v>0</v>
      </c>
      <c r="AA99" s="160">
        <f t="shared" si="54"/>
        <v>0</v>
      </c>
      <c r="AB99" s="161">
        <f t="shared" si="55"/>
        <v>-1.2000000000000066E-3</v>
      </c>
    </row>
    <row r="100" spans="1:28" ht="13.8" customHeight="1">
      <c r="A100" s="205">
        <v>89</v>
      </c>
      <c r="B100" s="59" t="s">
        <v>144</v>
      </c>
      <c r="C100" s="60" t="s">
        <v>40</v>
      </c>
      <c r="D100" s="146" t="s">
        <v>329</v>
      </c>
      <c r="E100" s="71">
        <v>789034440.17999995</v>
      </c>
      <c r="F100" s="66">
        <f t="shared" si="56"/>
        <v>3.3304314038434079E-3</v>
      </c>
      <c r="G100" s="146" t="s">
        <v>329</v>
      </c>
      <c r="H100" s="91">
        <v>115.19</v>
      </c>
      <c r="I100" s="146" t="s">
        <v>329</v>
      </c>
      <c r="J100" s="91">
        <v>115.19</v>
      </c>
      <c r="K100" s="85">
        <v>215</v>
      </c>
      <c r="L100" s="86">
        <v>0.14940000000000001</v>
      </c>
      <c r="M100" s="86">
        <v>0.17130000000000001</v>
      </c>
      <c r="N100" s="146" t="s">
        <v>329</v>
      </c>
      <c r="O100" s="71">
        <v>788903511.38</v>
      </c>
      <c r="P100" s="66">
        <f t="shared" si="50"/>
        <v>3.3257406478748044E-3</v>
      </c>
      <c r="Q100" s="146" t="s">
        <v>329</v>
      </c>
      <c r="R100" s="91">
        <v>115.46</v>
      </c>
      <c r="S100" s="146" t="s">
        <v>329</v>
      </c>
      <c r="T100" s="91">
        <v>115.46</v>
      </c>
      <c r="U100" s="85">
        <v>212</v>
      </c>
      <c r="V100" s="86">
        <v>0.14779999999999999</v>
      </c>
      <c r="W100" s="86">
        <v>0.16969999999999999</v>
      </c>
      <c r="X100" s="162">
        <f t="shared" si="51"/>
        <v>-1.6593546914135199E-4</v>
      </c>
      <c r="Y100" s="162">
        <f t="shared" si="52"/>
        <v>2.3439534681829674E-3</v>
      </c>
      <c r="Z100" s="162">
        <f t="shared" si="53"/>
        <v>-1.3953488372093023E-2</v>
      </c>
      <c r="AA100" s="160">
        <f t="shared" si="54"/>
        <v>-1.6000000000000181E-3</v>
      </c>
      <c r="AB100" s="161">
        <f t="shared" si="55"/>
        <v>-1.6000000000000181E-3</v>
      </c>
    </row>
    <row r="101" spans="1:28" ht="15.6" customHeight="1">
      <c r="A101" s="205">
        <v>90</v>
      </c>
      <c r="B101" s="60" t="s">
        <v>145</v>
      </c>
      <c r="C101" s="93" t="s">
        <v>44</v>
      </c>
      <c r="D101" s="146" t="s">
        <v>329</v>
      </c>
      <c r="E101" s="71">
        <v>1217101077</v>
      </c>
      <c r="F101" s="66">
        <f t="shared" si="56"/>
        <v>5.1372556660108882E-3</v>
      </c>
      <c r="G101" s="146" t="s">
        <v>329</v>
      </c>
      <c r="H101" s="91">
        <v>114.94</v>
      </c>
      <c r="I101" s="146" t="s">
        <v>329</v>
      </c>
      <c r="J101" s="91">
        <v>115.55</v>
      </c>
      <c r="K101" s="67">
        <v>3772</v>
      </c>
      <c r="L101" s="68">
        <v>8.9999999999999998E-4</v>
      </c>
      <c r="M101" s="68">
        <v>5.1700000000000003E-2</v>
      </c>
      <c r="N101" s="146" t="s">
        <v>329</v>
      </c>
      <c r="O101" s="71">
        <v>1213320658</v>
      </c>
      <c r="P101" s="66">
        <f t="shared" si="50"/>
        <v>5.1149345553782545E-3</v>
      </c>
      <c r="Q101" s="146" t="s">
        <v>329</v>
      </c>
      <c r="R101" s="91">
        <v>114.8</v>
      </c>
      <c r="S101" s="146" t="s">
        <v>329</v>
      </c>
      <c r="T101" s="91">
        <v>115.46</v>
      </c>
      <c r="U101" s="67">
        <v>3836</v>
      </c>
      <c r="V101" s="68">
        <v>-5.9999999999999995E-4</v>
      </c>
      <c r="W101" s="68">
        <v>6.3200000000000006E-2</v>
      </c>
      <c r="X101" s="162">
        <f t="shared" si="51"/>
        <v>-3.1060846723743388E-3</v>
      </c>
      <c r="Y101" s="162">
        <f t="shared" si="52"/>
        <v>-7.7888360017311473E-4</v>
      </c>
      <c r="Z101" s="162">
        <f t="shared" si="53"/>
        <v>1.6967126193001062E-2</v>
      </c>
      <c r="AA101" s="160">
        <f t="shared" si="54"/>
        <v>-1.5E-3</v>
      </c>
      <c r="AB101" s="161">
        <f t="shared" si="55"/>
        <v>1.1500000000000003E-2</v>
      </c>
    </row>
    <row r="102" spans="1:28" ht="13.2" customHeight="1">
      <c r="A102" s="205">
        <v>91</v>
      </c>
      <c r="B102" s="59" t="s">
        <v>146</v>
      </c>
      <c r="C102" s="60" t="s">
        <v>19</v>
      </c>
      <c r="D102" s="146" t="s">
        <v>329</v>
      </c>
      <c r="E102" s="72">
        <v>1764596064.27</v>
      </c>
      <c r="F102" s="62">
        <f t="shared" si="56"/>
        <v>7.4481744373574082E-3</v>
      </c>
      <c r="G102" s="146" t="s">
        <v>329</v>
      </c>
      <c r="H102" s="94">
        <v>407.1438</v>
      </c>
      <c r="I102" s="146" t="s">
        <v>329</v>
      </c>
      <c r="J102" s="94">
        <v>407.1438</v>
      </c>
      <c r="K102" s="63">
        <v>96</v>
      </c>
      <c r="L102" s="64">
        <v>1E-3</v>
      </c>
      <c r="M102" s="64">
        <v>5.8799999999999998E-2</v>
      </c>
      <c r="N102" s="146" t="s">
        <v>329</v>
      </c>
      <c r="O102" s="72">
        <v>1767167279.2</v>
      </c>
      <c r="P102" s="62">
        <f t="shared" si="50"/>
        <v>7.449757755228009E-3</v>
      </c>
      <c r="Q102" s="146" t="s">
        <v>329</v>
      </c>
      <c r="R102" s="94">
        <v>407.94810000000001</v>
      </c>
      <c r="S102" s="146" t="s">
        <v>329</v>
      </c>
      <c r="T102" s="94">
        <v>407.94810000000001</v>
      </c>
      <c r="U102" s="63">
        <v>96</v>
      </c>
      <c r="V102" s="64">
        <v>2E-3</v>
      </c>
      <c r="W102" s="64">
        <v>6.08E-2</v>
      </c>
      <c r="X102" s="160">
        <f t="shared" si="51"/>
        <v>1.4571124701356279E-3</v>
      </c>
      <c r="Y102" s="160">
        <f t="shared" si="52"/>
        <v>1.9754691094399867E-3</v>
      </c>
      <c r="Z102" s="160">
        <f t="shared" si="53"/>
        <v>0</v>
      </c>
      <c r="AA102" s="160">
        <f t="shared" si="54"/>
        <v>1E-3</v>
      </c>
      <c r="AB102" s="161">
        <f t="shared" si="55"/>
        <v>2.0000000000000018E-3</v>
      </c>
    </row>
    <row r="103" spans="1:28" ht="14.4" customHeight="1">
      <c r="A103" s="205">
        <v>92</v>
      </c>
      <c r="B103" s="59" t="s">
        <v>147</v>
      </c>
      <c r="C103" s="60" t="s">
        <v>98</v>
      </c>
      <c r="D103" s="146" t="s">
        <v>329</v>
      </c>
      <c r="E103" s="82">
        <v>5686002430</v>
      </c>
      <c r="F103" s="66">
        <f>(E103/$O$76)</f>
        <v>9.5621883793312783E-4</v>
      </c>
      <c r="G103" s="146" t="s">
        <v>329</v>
      </c>
      <c r="H103" s="91">
        <v>104.96</v>
      </c>
      <c r="I103" s="167" t="s">
        <v>329</v>
      </c>
      <c r="J103" s="91">
        <v>104.96</v>
      </c>
      <c r="K103" s="67">
        <v>502</v>
      </c>
      <c r="L103" s="68">
        <v>-3.5000000000000001E-3</v>
      </c>
      <c r="M103" s="68">
        <v>0.12520000000000001</v>
      </c>
      <c r="N103" s="146" t="s">
        <v>329</v>
      </c>
      <c r="O103" s="82">
        <v>5685853136</v>
      </c>
      <c r="P103" s="66">
        <f t="shared" si="50"/>
        <v>2.3969563602478622E-2</v>
      </c>
      <c r="Q103" s="146" t="s">
        <v>329</v>
      </c>
      <c r="R103" s="91">
        <v>105.08</v>
      </c>
      <c r="S103" s="167" t="s">
        <v>329</v>
      </c>
      <c r="T103" s="91">
        <v>105.08</v>
      </c>
      <c r="U103" s="67">
        <v>503</v>
      </c>
      <c r="V103" s="68">
        <v>1.1000000000000001E-3</v>
      </c>
      <c r="W103" s="68">
        <v>0.1226</v>
      </c>
      <c r="X103" s="162">
        <f t="shared" si="51"/>
        <v>-2.6256408054331414E-5</v>
      </c>
      <c r="Y103" s="162">
        <f t="shared" si="52"/>
        <v>1.1432926829268726E-3</v>
      </c>
      <c r="Z103" s="162">
        <f t="shared" si="53"/>
        <v>1.9920318725099601E-3</v>
      </c>
      <c r="AA103" s="160">
        <f t="shared" si="54"/>
        <v>4.5999999999999999E-3</v>
      </c>
      <c r="AB103" s="161">
        <f t="shared" si="55"/>
        <v>-2.6000000000000051E-3</v>
      </c>
    </row>
    <row r="104" spans="1:28" ht="14.4" customHeight="1">
      <c r="A104" s="205">
        <v>93</v>
      </c>
      <c r="B104" s="59" t="s">
        <v>148</v>
      </c>
      <c r="C104" s="60" t="s">
        <v>42</v>
      </c>
      <c r="D104" s="146" t="s">
        <v>329</v>
      </c>
      <c r="E104" s="71">
        <v>62998607.890000001</v>
      </c>
      <c r="F104" s="66">
        <f t="shared" ref="F104:F116" si="64">(E104/$E$117)</f>
        <v>2.6591049950545784E-4</v>
      </c>
      <c r="G104" s="146" t="s">
        <v>329</v>
      </c>
      <c r="H104" s="71">
        <v>13.08</v>
      </c>
      <c r="I104" s="146" t="s">
        <v>329</v>
      </c>
      <c r="J104" s="71">
        <v>13.41</v>
      </c>
      <c r="K104" s="67">
        <v>54</v>
      </c>
      <c r="L104" s="68">
        <v>0</v>
      </c>
      <c r="M104" s="68">
        <v>6.6E-3</v>
      </c>
      <c r="N104" s="146" t="s">
        <v>329</v>
      </c>
      <c r="O104" s="71">
        <v>62506038.869999997</v>
      </c>
      <c r="P104" s="66">
        <f t="shared" si="50"/>
        <v>2.6350354791039858E-4</v>
      </c>
      <c r="Q104" s="146" t="s">
        <v>329</v>
      </c>
      <c r="R104" s="71">
        <v>12.97</v>
      </c>
      <c r="S104" s="146" t="s">
        <v>329</v>
      </c>
      <c r="T104" s="71">
        <v>13.31</v>
      </c>
      <c r="U104" s="67">
        <v>54</v>
      </c>
      <c r="V104" s="68">
        <v>0</v>
      </c>
      <c r="W104" s="68">
        <v>6.6E-3</v>
      </c>
      <c r="X104" s="162">
        <f t="shared" si="51"/>
        <v>-7.8187286433386502E-3</v>
      </c>
      <c r="Y104" s="162">
        <f t="shared" si="52"/>
        <v>-7.4571215510812559E-3</v>
      </c>
      <c r="Z104" s="162">
        <f t="shared" si="53"/>
        <v>0</v>
      </c>
      <c r="AA104" s="160">
        <f t="shared" si="54"/>
        <v>0</v>
      </c>
      <c r="AB104" s="161">
        <f t="shared" si="55"/>
        <v>0</v>
      </c>
    </row>
    <row r="105" spans="1:28" ht="13.8" customHeight="1">
      <c r="A105" s="205">
        <v>94</v>
      </c>
      <c r="B105" s="59" t="s">
        <v>149</v>
      </c>
      <c r="C105" s="60" t="s">
        <v>150</v>
      </c>
      <c r="D105" s="146" t="s">
        <v>329</v>
      </c>
      <c r="E105" s="71">
        <v>1118787447.6500001</v>
      </c>
      <c r="F105" s="66">
        <f t="shared" si="64"/>
        <v>4.7222841743503139E-3</v>
      </c>
      <c r="G105" s="146" t="s">
        <v>329</v>
      </c>
      <c r="H105" s="71">
        <v>167.42</v>
      </c>
      <c r="I105" s="146" t="s">
        <v>329</v>
      </c>
      <c r="J105" s="71">
        <v>167.42</v>
      </c>
      <c r="K105" s="67">
        <v>191</v>
      </c>
      <c r="L105" s="68">
        <v>0.1138</v>
      </c>
      <c r="M105" s="68">
        <v>0.17430000000000001</v>
      </c>
      <c r="N105" s="146" t="s">
        <v>329</v>
      </c>
      <c r="O105" s="71">
        <v>1128974013.9400001</v>
      </c>
      <c r="P105" s="66">
        <f t="shared" si="50"/>
        <v>4.759358672376447E-3</v>
      </c>
      <c r="Q105" s="146" t="s">
        <v>329</v>
      </c>
      <c r="R105" s="71">
        <v>168.03</v>
      </c>
      <c r="S105" s="146" t="s">
        <v>329</v>
      </c>
      <c r="T105" s="71">
        <v>168.03</v>
      </c>
      <c r="U105" s="67">
        <v>188</v>
      </c>
      <c r="V105" s="68">
        <v>0.2198</v>
      </c>
      <c r="W105" s="68">
        <v>0.1757</v>
      </c>
      <c r="X105" s="162">
        <f t="shared" si="51"/>
        <v>9.1050058806046892E-3</v>
      </c>
      <c r="Y105" s="162">
        <f t="shared" si="52"/>
        <v>3.6435312388007029E-3</v>
      </c>
      <c r="Z105" s="162">
        <f t="shared" si="53"/>
        <v>-1.5706806282722512E-2</v>
      </c>
      <c r="AA105" s="160">
        <f t="shared" si="54"/>
        <v>0.106</v>
      </c>
      <c r="AB105" s="161">
        <f t="shared" si="55"/>
        <v>1.3999999999999846E-3</v>
      </c>
    </row>
    <row r="106" spans="1:28" ht="14.4" customHeight="1">
      <c r="A106" s="205">
        <v>95</v>
      </c>
      <c r="B106" s="59" t="s">
        <v>151</v>
      </c>
      <c r="C106" s="60" t="s">
        <v>152</v>
      </c>
      <c r="D106" s="146" t="s">
        <v>329</v>
      </c>
      <c r="E106" s="71">
        <v>12561951648.709999</v>
      </c>
      <c r="F106" s="66">
        <f t="shared" si="64"/>
        <v>5.3022677001123265E-2</v>
      </c>
      <c r="G106" s="146" t="s">
        <v>329</v>
      </c>
      <c r="H106" s="71">
        <v>1.06</v>
      </c>
      <c r="I106" s="146" t="s">
        <v>329</v>
      </c>
      <c r="J106" s="71">
        <v>1.06</v>
      </c>
      <c r="K106" s="67">
        <v>5435</v>
      </c>
      <c r="L106" s="68">
        <v>0.1605</v>
      </c>
      <c r="M106" s="68">
        <v>0.1605</v>
      </c>
      <c r="N106" s="146" t="s">
        <v>329</v>
      </c>
      <c r="O106" s="71">
        <v>12285722001.309999</v>
      </c>
      <c r="P106" s="66">
        <f t="shared" si="50"/>
        <v>5.1792297104588977E-2</v>
      </c>
      <c r="Q106" s="146" t="s">
        <v>329</v>
      </c>
      <c r="R106" s="71">
        <v>1.06</v>
      </c>
      <c r="S106" s="146" t="s">
        <v>329</v>
      </c>
      <c r="T106" s="71">
        <v>1.06</v>
      </c>
      <c r="U106" s="67">
        <v>5439</v>
      </c>
      <c r="V106" s="68">
        <v>0.16020000000000001</v>
      </c>
      <c r="W106" s="68">
        <v>0.16020000000000001</v>
      </c>
      <c r="X106" s="162">
        <f t="shared" si="51"/>
        <v>-2.1989389477419772E-2</v>
      </c>
      <c r="Y106" s="162">
        <f t="shared" si="52"/>
        <v>0</v>
      </c>
      <c r="Z106" s="162">
        <f t="shared" si="53"/>
        <v>7.3597056117755285E-4</v>
      </c>
      <c r="AA106" s="160">
        <f t="shared" si="54"/>
        <v>-2.9999999999999472E-4</v>
      </c>
      <c r="AB106" s="161">
        <f t="shared" si="55"/>
        <v>-2.9999999999999472E-4</v>
      </c>
    </row>
    <row r="107" spans="1:28" ht="13.5" customHeight="1">
      <c r="A107" s="205">
        <v>96</v>
      </c>
      <c r="B107" s="59" t="s">
        <v>153</v>
      </c>
      <c r="C107" s="60" t="s">
        <v>46</v>
      </c>
      <c r="D107" s="146" t="s">
        <v>329</v>
      </c>
      <c r="E107" s="71">
        <v>15058091606.34</v>
      </c>
      <c r="F107" s="66">
        <f t="shared" si="64"/>
        <v>6.3558621289414211E-2</v>
      </c>
      <c r="G107" s="146" t="s">
        <v>329</v>
      </c>
      <c r="H107" s="91">
        <v>259.25</v>
      </c>
      <c r="I107" s="146" t="s">
        <v>329</v>
      </c>
      <c r="J107" s="91">
        <v>259.25</v>
      </c>
      <c r="K107" s="67">
        <v>5891</v>
      </c>
      <c r="L107" s="68">
        <v>0</v>
      </c>
      <c r="M107" s="68">
        <v>0</v>
      </c>
      <c r="N107" s="146" t="s">
        <v>329</v>
      </c>
      <c r="O107" s="71">
        <v>15058023405.07</v>
      </c>
      <c r="P107" s="66">
        <f t="shared" si="50"/>
        <v>6.3479347971578892E-2</v>
      </c>
      <c r="Q107" s="146" t="s">
        <v>329</v>
      </c>
      <c r="R107" s="91">
        <v>259.25</v>
      </c>
      <c r="S107" s="146" t="s">
        <v>329</v>
      </c>
      <c r="T107" s="91">
        <v>259.25</v>
      </c>
      <c r="U107" s="67">
        <v>5892</v>
      </c>
      <c r="V107" s="68">
        <v>0</v>
      </c>
      <c r="W107" s="68">
        <v>0</v>
      </c>
      <c r="X107" s="162">
        <f t="shared" si="51"/>
        <v>-4.5292107249329366E-6</v>
      </c>
      <c r="Y107" s="162">
        <f t="shared" si="52"/>
        <v>0</v>
      </c>
      <c r="Z107" s="162">
        <f t="shared" si="53"/>
        <v>1.6975046681378373E-4</v>
      </c>
      <c r="AA107" s="160">
        <f t="shared" si="54"/>
        <v>0</v>
      </c>
      <c r="AB107" s="161">
        <f t="shared" si="55"/>
        <v>0</v>
      </c>
    </row>
    <row r="108" spans="1:28" ht="13.5" customHeight="1">
      <c r="A108" s="205">
        <v>97</v>
      </c>
      <c r="B108" s="59" t="s">
        <v>154</v>
      </c>
      <c r="C108" s="60" t="s">
        <v>46</v>
      </c>
      <c r="D108" s="146" t="s">
        <v>329</v>
      </c>
      <c r="E108" s="71">
        <v>1455143469.28</v>
      </c>
      <c r="F108" s="66">
        <f t="shared" si="64"/>
        <v>6.1420075733097232E-3</v>
      </c>
      <c r="G108" s="146" t="s">
        <v>329</v>
      </c>
      <c r="H108" s="70">
        <v>10924.86</v>
      </c>
      <c r="I108" s="146" t="s">
        <v>329</v>
      </c>
      <c r="J108" s="70">
        <v>10967.02</v>
      </c>
      <c r="K108" s="67">
        <v>33</v>
      </c>
      <c r="L108" s="68">
        <v>-3.3E-3</v>
      </c>
      <c r="M108" s="68">
        <v>0.1641</v>
      </c>
      <c r="N108" s="146" t="s">
        <v>329</v>
      </c>
      <c r="O108" s="71">
        <v>1440917629.8699999</v>
      </c>
      <c r="P108" s="66">
        <f t="shared" si="50"/>
        <v>6.0744036029392288E-3</v>
      </c>
      <c r="Q108" s="146" t="s">
        <v>329</v>
      </c>
      <c r="R108" s="70">
        <v>10830.99</v>
      </c>
      <c r="S108" s="146" t="s">
        <v>329</v>
      </c>
      <c r="T108" s="70">
        <v>10871.73</v>
      </c>
      <c r="U108" s="67">
        <v>33</v>
      </c>
      <c r="V108" s="68">
        <v>-8.9999999999999993E-3</v>
      </c>
      <c r="W108" s="68">
        <v>0.15359999999999999</v>
      </c>
      <c r="X108" s="162">
        <f t="shared" si="51"/>
        <v>-9.7762452365188317E-3</v>
      </c>
      <c r="Y108" s="162">
        <f t="shared" si="52"/>
        <v>-8.6887778083746415E-3</v>
      </c>
      <c r="Z108" s="162">
        <f t="shared" si="53"/>
        <v>0</v>
      </c>
      <c r="AA108" s="160">
        <f t="shared" si="54"/>
        <v>-5.6999999999999993E-3</v>
      </c>
      <c r="AB108" s="161">
        <f t="shared" si="55"/>
        <v>-1.0500000000000009E-2</v>
      </c>
    </row>
    <row r="109" spans="1:28" ht="15" customHeight="1">
      <c r="A109" s="205">
        <v>98</v>
      </c>
      <c r="B109" s="59" t="s">
        <v>155</v>
      </c>
      <c r="C109" s="60" t="s">
        <v>46</v>
      </c>
      <c r="D109" s="146" t="s">
        <v>329</v>
      </c>
      <c r="E109" s="71">
        <v>5929651423.7700005</v>
      </c>
      <c r="F109" s="66">
        <f t="shared" si="64"/>
        <v>2.5028435147980699E-2</v>
      </c>
      <c r="G109" s="146" t="s">
        <v>329</v>
      </c>
      <c r="H109" s="91">
        <v>174.62</v>
      </c>
      <c r="I109" s="146" t="s">
        <v>329</v>
      </c>
      <c r="J109" s="91">
        <v>174.62</v>
      </c>
      <c r="K109" s="67">
        <v>6579</v>
      </c>
      <c r="L109" s="68">
        <v>5.4999999999999997E-3</v>
      </c>
      <c r="M109" s="68">
        <v>0.18410000000000001</v>
      </c>
      <c r="N109" s="146" t="s">
        <v>329</v>
      </c>
      <c r="O109" s="71">
        <v>5919756574.2700005</v>
      </c>
      <c r="P109" s="66">
        <f t="shared" si="50"/>
        <v>2.4955618501602418E-2</v>
      </c>
      <c r="Q109" s="146" t="s">
        <v>329</v>
      </c>
      <c r="R109" s="91">
        <v>174.74</v>
      </c>
      <c r="S109" s="146" t="s">
        <v>329</v>
      </c>
      <c r="T109" s="91">
        <v>174.74</v>
      </c>
      <c r="U109" s="67">
        <v>6651</v>
      </c>
      <c r="V109" s="68">
        <v>2.9999999999999997E-4</v>
      </c>
      <c r="W109" s="68">
        <v>0.17699999999999999</v>
      </c>
      <c r="X109" s="162">
        <f t="shared" si="51"/>
        <v>-1.6687067742860633E-3</v>
      </c>
      <c r="Y109" s="162">
        <f t="shared" si="52"/>
        <v>6.8720650555494523E-4</v>
      </c>
      <c r="Z109" s="162">
        <f t="shared" si="53"/>
        <v>1.094391244870041E-2</v>
      </c>
      <c r="AA109" s="160">
        <f t="shared" si="54"/>
        <v>-5.1999999999999998E-3</v>
      </c>
      <c r="AB109" s="161">
        <f t="shared" si="55"/>
        <v>-7.100000000000023E-3</v>
      </c>
    </row>
    <row r="110" spans="1:28" ht="15" customHeight="1">
      <c r="A110" s="205">
        <v>99</v>
      </c>
      <c r="B110" s="59" t="s">
        <v>156</v>
      </c>
      <c r="C110" s="60" t="s">
        <v>46</v>
      </c>
      <c r="D110" s="146" t="s">
        <v>329</v>
      </c>
      <c r="E110" s="71">
        <v>5550617223.6300001</v>
      </c>
      <c r="F110" s="66">
        <f t="shared" si="64"/>
        <v>2.3428571645205142E-2</v>
      </c>
      <c r="G110" s="146" t="s">
        <v>329</v>
      </c>
      <c r="H110" s="91">
        <v>390.85</v>
      </c>
      <c r="I110" s="146" t="s">
        <v>329</v>
      </c>
      <c r="J110" s="91">
        <v>390.85</v>
      </c>
      <c r="K110" s="67">
        <v>12652</v>
      </c>
      <c r="L110" s="68">
        <v>2.2000000000000001E-3</v>
      </c>
      <c r="M110" s="68">
        <v>1.49E-2</v>
      </c>
      <c r="N110" s="146" t="s">
        <v>329</v>
      </c>
      <c r="O110" s="71">
        <v>5616840920.8900003</v>
      </c>
      <c r="P110" s="66">
        <f t="shared" si="50"/>
        <v>2.3678632296329761E-2</v>
      </c>
      <c r="Q110" s="146" t="s">
        <v>329</v>
      </c>
      <c r="R110" s="91">
        <v>391.82</v>
      </c>
      <c r="S110" s="146" t="s">
        <v>329</v>
      </c>
      <c r="T110" s="91">
        <v>391.82</v>
      </c>
      <c r="U110" s="67">
        <v>12812</v>
      </c>
      <c r="V110" s="68">
        <v>2.2000000000000001E-3</v>
      </c>
      <c r="W110" s="68">
        <v>1.7100000000000001E-2</v>
      </c>
      <c r="X110" s="162">
        <f t="shared" si="51"/>
        <v>1.1930870854879662E-2</v>
      </c>
      <c r="Y110" s="162">
        <f t="shared" si="52"/>
        <v>2.4817705001918136E-3</v>
      </c>
      <c r="Z110" s="162">
        <f t="shared" si="53"/>
        <v>1.2646221941195067E-2</v>
      </c>
      <c r="AA110" s="160">
        <f t="shared" si="54"/>
        <v>0</v>
      </c>
      <c r="AB110" s="161">
        <f t="shared" si="55"/>
        <v>2.2000000000000006E-3</v>
      </c>
    </row>
    <row r="111" spans="1:28" ht="15" customHeight="1">
      <c r="A111" s="205">
        <v>100</v>
      </c>
      <c r="B111" s="59" t="s">
        <v>157</v>
      </c>
      <c r="C111" s="60" t="s">
        <v>112</v>
      </c>
      <c r="D111" s="146" t="s">
        <v>329</v>
      </c>
      <c r="E111" s="71">
        <v>116037903.61</v>
      </c>
      <c r="F111" s="66">
        <f t="shared" si="64"/>
        <v>4.8978378957797747E-4</v>
      </c>
      <c r="G111" s="146" t="s">
        <v>329</v>
      </c>
      <c r="H111" s="91">
        <v>119.419</v>
      </c>
      <c r="I111" s="146" t="s">
        <v>329</v>
      </c>
      <c r="J111" s="91">
        <v>119.419</v>
      </c>
      <c r="K111" s="67">
        <v>28</v>
      </c>
      <c r="L111" s="68">
        <v>-3.7877000000000002E-3</v>
      </c>
      <c r="M111" s="68">
        <v>0.1234</v>
      </c>
      <c r="N111" s="146" t="s">
        <v>329</v>
      </c>
      <c r="O111" s="71">
        <v>116072752.91</v>
      </c>
      <c r="P111" s="66">
        <f t="shared" si="50"/>
        <v>4.8932203608556774E-4</v>
      </c>
      <c r="Q111" s="146" t="s">
        <v>329</v>
      </c>
      <c r="R111" s="91">
        <v>119.71899999999999</v>
      </c>
      <c r="S111" s="146" t="s">
        <v>329</v>
      </c>
      <c r="T111" s="91">
        <v>119.35299999999999</v>
      </c>
      <c r="U111" s="67">
        <v>29</v>
      </c>
      <c r="V111" s="68">
        <v>-1.9452E-3</v>
      </c>
      <c r="W111" s="68">
        <v>0.117412</v>
      </c>
      <c r="X111" s="162">
        <f t="shared" ref="X111" si="65">((O111-E111)/E111)</f>
        <v>3.0032686661700213E-4</v>
      </c>
      <c r="Y111" s="162">
        <f t="shared" ref="Y111" si="66">((T111-J111)/J111)</f>
        <v>-5.5267587234864219E-4</v>
      </c>
      <c r="Z111" s="162">
        <f t="shared" ref="Z111" si="67">((U111-K111)/K111)</f>
        <v>3.5714285714285712E-2</v>
      </c>
      <c r="AA111" s="160">
        <f t="shared" ref="AA111" si="68">V111-L111</f>
        <v>1.8425000000000002E-3</v>
      </c>
      <c r="AB111" s="161">
        <f t="shared" ref="AB111" si="69">W111-M111</f>
        <v>-5.9879999999999933E-3</v>
      </c>
    </row>
    <row r="112" spans="1:28" ht="13.8" customHeight="1">
      <c r="A112" s="205">
        <v>101</v>
      </c>
      <c r="B112" s="59" t="s">
        <v>158</v>
      </c>
      <c r="C112" s="60" t="s">
        <v>49</v>
      </c>
      <c r="D112" s="146" t="s">
        <v>329</v>
      </c>
      <c r="E112" s="71">
        <v>78353442370.839996</v>
      </c>
      <c r="F112" s="66">
        <f t="shared" si="64"/>
        <v>0.33072164126517761</v>
      </c>
      <c r="G112" s="146" t="s">
        <v>329</v>
      </c>
      <c r="H112" s="71">
        <v>2.05301</v>
      </c>
      <c r="I112" s="146" t="s">
        <v>329</v>
      </c>
      <c r="J112" s="71">
        <v>2.05301</v>
      </c>
      <c r="K112" s="67">
        <v>7121</v>
      </c>
      <c r="L112" s="68">
        <v>1.2999999999999999E-3</v>
      </c>
      <c r="M112" s="68">
        <v>8.77E-2</v>
      </c>
      <c r="N112" s="146" t="s">
        <v>329</v>
      </c>
      <c r="O112" s="71">
        <v>78495613542.800003</v>
      </c>
      <c r="P112" s="66">
        <f t="shared" si="50"/>
        <v>0.33090998946437206</v>
      </c>
      <c r="Q112" s="146" t="s">
        <v>329</v>
      </c>
      <c r="R112" s="71">
        <v>2.0567199999999999</v>
      </c>
      <c r="S112" s="146" t="s">
        <v>329</v>
      </c>
      <c r="T112" s="71">
        <v>2.0567199999999999</v>
      </c>
      <c r="U112" s="67">
        <v>7136</v>
      </c>
      <c r="V112" s="68">
        <v>1.8E-3</v>
      </c>
      <c r="W112" s="68">
        <v>8.7599999999999997E-2</v>
      </c>
      <c r="X112" s="162">
        <f t="shared" si="51"/>
        <v>1.8144853328475727E-3</v>
      </c>
      <c r="Y112" s="162">
        <f t="shared" si="52"/>
        <v>1.8071027418277944E-3</v>
      </c>
      <c r="Z112" s="162">
        <f t="shared" si="53"/>
        <v>2.1064457239151806E-3</v>
      </c>
      <c r="AA112" s="160">
        <f t="shared" si="54"/>
        <v>5.0000000000000001E-4</v>
      </c>
      <c r="AB112" s="161">
        <f t="shared" si="55"/>
        <v>-1.0000000000000286E-4</v>
      </c>
    </row>
    <row r="113" spans="1:34" ht="12.6" customHeight="1">
      <c r="A113" s="205">
        <v>102</v>
      </c>
      <c r="B113" s="59" t="s">
        <v>159</v>
      </c>
      <c r="C113" s="60" t="s">
        <v>49</v>
      </c>
      <c r="D113" s="146" t="s">
        <v>329</v>
      </c>
      <c r="E113" s="71">
        <v>58492746843.239998</v>
      </c>
      <c r="F113" s="66">
        <f t="shared" si="64"/>
        <v>0.24689173382513993</v>
      </c>
      <c r="G113" s="146" t="s">
        <v>329</v>
      </c>
      <c r="H113" s="71">
        <v>137.44489999999999</v>
      </c>
      <c r="I113" s="146" t="s">
        <v>329</v>
      </c>
      <c r="J113" s="71">
        <v>137.44489999999999</v>
      </c>
      <c r="K113" s="67">
        <v>1721</v>
      </c>
      <c r="L113" s="68">
        <v>2.3999999999999998E-3</v>
      </c>
      <c r="M113" s="68">
        <v>0.154</v>
      </c>
      <c r="N113" s="146" t="s">
        <v>329</v>
      </c>
      <c r="O113" s="71">
        <v>58305677129.120003</v>
      </c>
      <c r="P113" s="66">
        <f t="shared" si="50"/>
        <v>0.24579629527948205</v>
      </c>
      <c r="Q113" s="146" t="s">
        <v>329</v>
      </c>
      <c r="R113" s="71">
        <v>137.88154</v>
      </c>
      <c r="S113" s="146" t="s">
        <v>329</v>
      </c>
      <c r="T113" s="71">
        <v>137.88154</v>
      </c>
      <c r="U113" s="67">
        <v>1747</v>
      </c>
      <c r="V113" s="68">
        <v>3.2000000000000002E-3</v>
      </c>
      <c r="W113" s="68">
        <v>0.15409999999999999</v>
      </c>
      <c r="X113" s="162">
        <f t="shared" ref="X113:X115" si="70">((O113-E113)/E113)</f>
        <v>-3.1981694178483387E-3</v>
      </c>
      <c r="Y113" s="162">
        <f t="shared" ref="Y113:Y115" si="71">((T113-J113)/J113)</f>
        <v>3.1768366814629808E-3</v>
      </c>
      <c r="Z113" s="162">
        <f t="shared" ref="Z113:Z115" si="72">((U113-K113)/K113)</f>
        <v>1.5107495642068565E-2</v>
      </c>
      <c r="AA113" s="160">
        <f t="shared" ref="AA113:AA115" si="73">V113-L113</f>
        <v>8.0000000000000036E-4</v>
      </c>
      <c r="AB113" s="161">
        <f t="shared" ref="AB113:AB115" si="74">W113-M113</f>
        <v>9.9999999999988987E-5</v>
      </c>
      <c r="AD113" s="50"/>
    </row>
    <row r="114" spans="1:34" ht="15" customHeight="1">
      <c r="A114" s="205">
        <v>103</v>
      </c>
      <c r="B114" s="59" t="s">
        <v>160</v>
      </c>
      <c r="C114" s="59" t="s">
        <v>161</v>
      </c>
      <c r="D114" s="146" t="s">
        <v>329</v>
      </c>
      <c r="E114" s="71">
        <v>119158032.47</v>
      </c>
      <c r="F114" s="66">
        <f t="shared" si="64"/>
        <v>5.0295352540980192E-4</v>
      </c>
      <c r="G114" s="146" t="s">
        <v>329</v>
      </c>
      <c r="H114" s="71">
        <v>120</v>
      </c>
      <c r="I114" s="146" t="s">
        <v>329</v>
      </c>
      <c r="J114" s="71">
        <v>120</v>
      </c>
      <c r="K114" s="95">
        <v>89</v>
      </c>
      <c r="L114" s="96">
        <v>1.5E-3</v>
      </c>
      <c r="M114" s="96">
        <v>1.9099999999999999E-2</v>
      </c>
      <c r="N114" s="146" t="s">
        <v>329</v>
      </c>
      <c r="O114" s="71">
        <v>119391571.14</v>
      </c>
      <c r="P114" s="66">
        <f t="shared" si="50"/>
        <v>5.0331301030637123E-4</v>
      </c>
      <c r="Q114" s="146" t="s">
        <v>329</v>
      </c>
      <c r="R114" s="71">
        <v>120.29</v>
      </c>
      <c r="S114" s="146" t="s">
        <v>329</v>
      </c>
      <c r="T114" s="71">
        <v>120.29</v>
      </c>
      <c r="U114" s="95">
        <v>89</v>
      </c>
      <c r="V114" s="96">
        <v>1.5E-3</v>
      </c>
      <c r="W114" s="96">
        <v>1.9099999999999999E-2</v>
      </c>
      <c r="X114" s="162">
        <f t="shared" si="70"/>
        <v>1.9599070676061979E-3</v>
      </c>
      <c r="Y114" s="162">
        <f t="shared" si="71"/>
        <v>2.4166666666667188E-3</v>
      </c>
      <c r="Z114" s="162">
        <f t="shared" si="72"/>
        <v>0</v>
      </c>
      <c r="AA114" s="160">
        <f t="shared" si="73"/>
        <v>0</v>
      </c>
      <c r="AB114" s="161">
        <f t="shared" si="74"/>
        <v>0</v>
      </c>
      <c r="AD114" s="41"/>
    </row>
    <row r="115" spans="1:34" ht="15.6" customHeight="1">
      <c r="A115" s="205">
        <v>104</v>
      </c>
      <c r="B115" s="59" t="s">
        <v>162</v>
      </c>
      <c r="C115" s="60" t="s">
        <v>119</v>
      </c>
      <c r="D115" s="146" t="s">
        <v>329</v>
      </c>
      <c r="E115" s="71">
        <v>511984194.80000001</v>
      </c>
      <c r="F115" s="66">
        <f t="shared" si="64"/>
        <v>2.161031450343809E-3</v>
      </c>
      <c r="G115" s="146" t="s">
        <v>329</v>
      </c>
      <c r="H115" s="71">
        <v>1.44</v>
      </c>
      <c r="I115" s="146" t="s">
        <v>329</v>
      </c>
      <c r="J115" s="71">
        <v>1.44</v>
      </c>
      <c r="K115" s="67">
        <v>933</v>
      </c>
      <c r="L115" s="68">
        <v>-1.26E-2</v>
      </c>
      <c r="M115" s="68">
        <v>4.7600000000000003E-2</v>
      </c>
      <c r="N115" s="146" t="s">
        <v>329</v>
      </c>
      <c r="O115" s="71">
        <v>514491028.91000003</v>
      </c>
      <c r="P115" s="66">
        <f t="shared" si="50"/>
        <v>2.1689138191561819E-3</v>
      </c>
      <c r="Q115" s="146" t="s">
        <v>329</v>
      </c>
      <c r="R115" s="71">
        <v>1.45</v>
      </c>
      <c r="S115" s="146" t="s">
        <v>329</v>
      </c>
      <c r="T115" s="71">
        <v>1.45</v>
      </c>
      <c r="U115" s="67">
        <v>937</v>
      </c>
      <c r="V115" s="68">
        <v>-6.6E-3</v>
      </c>
      <c r="W115" s="68">
        <v>5.5399999999999998E-2</v>
      </c>
      <c r="X115" s="162">
        <f t="shared" si="70"/>
        <v>4.8963115179351908E-3</v>
      </c>
      <c r="Y115" s="162">
        <f t="shared" si="71"/>
        <v>6.944444444444451E-3</v>
      </c>
      <c r="Z115" s="162">
        <f t="shared" si="72"/>
        <v>4.2872454448017148E-3</v>
      </c>
      <c r="AA115" s="160">
        <f t="shared" si="73"/>
        <v>6.0000000000000001E-3</v>
      </c>
      <c r="AB115" s="161">
        <f t="shared" si="74"/>
        <v>7.7999999999999944E-3</v>
      </c>
    </row>
    <row r="116" spans="1:34" ht="16.8" customHeight="1">
      <c r="A116" s="205">
        <v>105</v>
      </c>
      <c r="B116" s="59" t="s">
        <v>163</v>
      </c>
      <c r="C116" s="60" t="s">
        <v>121</v>
      </c>
      <c r="D116" s="146" t="s">
        <v>329</v>
      </c>
      <c r="E116" s="71">
        <v>2064114118.1500001</v>
      </c>
      <c r="F116" s="66">
        <f t="shared" si="64"/>
        <v>8.7124086480117012E-3</v>
      </c>
      <c r="G116" s="146" t="s">
        <v>329</v>
      </c>
      <c r="H116" s="91">
        <v>31.684699999999999</v>
      </c>
      <c r="I116" s="146" t="s">
        <v>329</v>
      </c>
      <c r="J116" s="91">
        <v>31.684699999999999</v>
      </c>
      <c r="K116" s="67">
        <v>1355</v>
      </c>
      <c r="L116" s="68">
        <v>0.14549999999999999</v>
      </c>
      <c r="M116" s="68">
        <v>0.14549999999999999</v>
      </c>
      <c r="N116" s="146" t="s">
        <v>329</v>
      </c>
      <c r="O116" s="71">
        <v>2086799096.5599999</v>
      </c>
      <c r="P116" s="66">
        <f t="shared" si="50"/>
        <v>8.7972134478624085E-3</v>
      </c>
      <c r="Q116" s="146" t="s">
        <v>329</v>
      </c>
      <c r="R116" s="91">
        <v>32.036000000000001</v>
      </c>
      <c r="S116" s="146" t="s">
        <v>329</v>
      </c>
      <c r="T116" s="91">
        <v>32.036000000000001</v>
      </c>
      <c r="U116" s="67">
        <v>1550</v>
      </c>
      <c r="V116" s="68">
        <v>0.13950000000000001</v>
      </c>
      <c r="W116" s="68">
        <v>0.13950000000000001</v>
      </c>
      <c r="X116" s="162">
        <f t="shared" si="51"/>
        <v>1.099017646869819E-2</v>
      </c>
      <c r="Y116" s="162">
        <f t="shared" si="52"/>
        <v>1.1087370244944782E-2</v>
      </c>
      <c r="Z116" s="162">
        <f t="shared" si="53"/>
        <v>0.14391143911439114</v>
      </c>
      <c r="AA116" s="160">
        <f t="shared" si="54"/>
        <v>-5.9999999999999776E-3</v>
      </c>
      <c r="AB116" s="161">
        <f t="shared" si="55"/>
        <v>-5.9999999999999776E-3</v>
      </c>
    </row>
    <row r="117" spans="1:34">
      <c r="B117" s="74"/>
      <c r="C117" s="75" t="s">
        <v>52</v>
      </c>
      <c r="D117" s="120" t="s">
        <v>329</v>
      </c>
      <c r="E117" s="89">
        <f>SUM(E79:E116)</f>
        <v>236916586622.81195</v>
      </c>
      <c r="F117" s="77">
        <f>(E117/$E$238)</f>
        <v>2.6030401212996105E-2</v>
      </c>
      <c r="G117" s="146" t="s">
        <v>329</v>
      </c>
      <c r="H117" s="78"/>
      <c r="I117" s="146" t="s">
        <v>329</v>
      </c>
      <c r="J117" s="83"/>
      <c r="K117" s="80">
        <f>SUM(K79:K116)</f>
        <v>68892</v>
      </c>
      <c r="L117" s="86"/>
      <c r="M117" s="86"/>
      <c r="N117" s="146" t="s">
        <v>329</v>
      </c>
      <c r="O117" s="89">
        <f>SUM(O79:O116)</f>
        <v>237211374820.86002</v>
      </c>
      <c r="P117" s="77">
        <f>(O117/$O$238)</f>
        <v>2.6120251903950585E-2</v>
      </c>
      <c r="Q117" s="148"/>
      <c r="R117" s="78"/>
      <c r="S117" s="78"/>
      <c r="T117" s="83"/>
      <c r="U117" s="80">
        <f>SUM(U79:U116)</f>
        <v>69578</v>
      </c>
      <c r="V117" s="86"/>
      <c r="W117" s="86"/>
      <c r="X117" s="162">
        <f t="shared" si="51"/>
        <v>1.2442699865391398E-3</v>
      </c>
      <c r="Y117" s="162" t="e">
        <f t="shared" si="52"/>
        <v>#DIV/0!</v>
      </c>
      <c r="Z117" s="162">
        <f t="shared" si="53"/>
        <v>9.9576148173953442E-3</v>
      </c>
      <c r="AA117" s="160">
        <f t="shared" si="54"/>
        <v>0</v>
      </c>
      <c r="AB117" s="161">
        <f t="shared" si="55"/>
        <v>0</v>
      </c>
    </row>
    <row r="118" spans="1:34" ht="3.75" customHeight="1"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</row>
    <row r="119" spans="1:34" ht="15" customHeight="1">
      <c r="A119" s="166"/>
      <c r="B119" s="217" t="s">
        <v>164</v>
      </c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</row>
    <row r="120" spans="1:34">
      <c r="A120" s="170"/>
      <c r="B120" s="219" t="s">
        <v>337</v>
      </c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F120" s="23"/>
      <c r="AH120" s="25"/>
    </row>
    <row r="121" spans="1:34" ht="16.5" customHeight="1">
      <c r="A121" s="208">
        <v>106</v>
      </c>
      <c r="B121" s="59" t="s">
        <v>165</v>
      </c>
      <c r="C121" s="60" t="s">
        <v>19</v>
      </c>
      <c r="D121" s="164">
        <v>3280657.52</v>
      </c>
      <c r="E121" s="71">
        <v>4474242742.2139997</v>
      </c>
      <c r="F121" s="66">
        <f t="shared" ref="F121:F126" si="75">(E121/$E$161)</f>
        <v>2.4440978813153927E-3</v>
      </c>
      <c r="G121" s="149">
        <v>118.81270000000001</v>
      </c>
      <c r="H121" s="71">
        <v>162039.73057750001</v>
      </c>
      <c r="I121" s="149">
        <v>118.81270000000001</v>
      </c>
      <c r="J121" s="71">
        <v>162039.73057750001</v>
      </c>
      <c r="K121" s="67">
        <v>190</v>
      </c>
      <c r="L121" s="68">
        <v>5.0000000000000001E-4</v>
      </c>
      <c r="M121" s="68">
        <v>3.7199999999999997E-2</v>
      </c>
      <c r="N121" s="149">
        <v>3282091.04</v>
      </c>
      <c r="O121" s="71">
        <f>N121*C269</f>
        <v>4497960045.4778242</v>
      </c>
      <c r="P121" s="66">
        <f t="shared" ref="P121:P138" si="76">(O121/$O$161)</f>
        <v>2.4558301483933011E-3</v>
      </c>
      <c r="Q121" s="149">
        <v>118.8646</v>
      </c>
      <c r="R121" s="97">
        <f>Q121*C269</f>
        <v>162898.65671176001</v>
      </c>
      <c r="S121" s="149">
        <v>118.8646</v>
      </c>
      <c r="T121" s="71">
        <f>S121*C269</f>
        <v>162898.65671176001</v>
      </c>
      <c r="U121" s="67">
        <v>190</v>
      </c>
      <c r="V121" s="68">
        <v>4.0000000000000002E-4</v>
      </c>
      <c r="W121" s="68">
        <v>3.7699999999999997E-2</v>
      </c>
      <c r="X121" s="162">
        <f>((O121-E121)/E121)</f>
        <v>5.300853044930766E-3</v>
      </c>
      <c r="Y121" s="162">
        <f>((T121-J121)/J121)</f>
        <v>5.3007131720031317E-3</v>
      </c>
      <c r="Z121" s="162">
        <f>((U121-K121)/K121)</f>
        <v>0</v>
      </c>
      <c r="AA121" s="162">
        <f>V121-L121</f>
        <v>-9.9999999999999991E-5</v>
      </c>
      <c r="AB121" s="163">
        <f>W121-M121</f>
        <v>5.0000000000000044E-4</v>
      </c>
      <c r="AD121" s="23"/>
      <c r="AE121" s="26"/>
      <c r="AF121" s="23"/>
      <c r="AG121" s="27"/>
    </row>
    <row r="122" spans="1:34" ht="16.5" customHeight="1">
      <c r="A122" s="208">
        <v>107</v>
      </c>
      <c r="B122" s="59" t="s">
        <v>166</v>
      </c>
      <c r="C122" s="60" t="s">
        <v>56</v>
      </c>
      <c r="D122" s="164">
        <v>3981411.25</v>
      </c>
      <c r="E122" s="71">
        <v>5429948198.03125</v>
      </c>
      <c r="F122" s="66">
        <f t="shared" si="75"/>
        <v>2.966161125154652E-3</v>
      </c>
      <c r="G122" s="149">
        <v>106.55</v>
      </c>
      <c r="H122" s="71">
        <v>145315.55374999999</v>
      </c>
      <c r="I122" s="149">
        <v>106.55</v>
      </c>
      <c r="J122" s="71">
        <v>145315.55374999999</v>
      </c>
      <c r="K122" s="67">
        <v>114</v>
      </c>
      <c r="L122" s="68">
        <v>-7.6300000000000001E-4</v>
      </c>
      <c r="M122" s="68">
        <v>6.5506999999999996E-2</v>
      </c>
      <c r="N122" s="149">
        <v>4015668.59</v>
      </c>
      <c r="O122" s="71">
        <f>4015668.59*C269</f>
        <v>5503295506.9096041</v>
      </c>
      <c r="P122" s="66">
        <f t="shared" si="76"/>
        <v>3.0047307856755912E-3</v>
      </c>
      <c r="Q122" s="149">
        <v>106.68</v>
      </c>
      <c r="R122" s="71">
        <f>106.68*C269</f>
        <v>146200.203408</v>
      </c>
      <c r="S122" s="149">
        <v>106.68</v>
      </c>
      <c r="T122" s="71">
        <f>106.68*C269</f>
        <v>146200.203408</v>
      </c>
      <c r="U122" s="67">
        <v>115</v>
      </c>
      <c r="V122" s="68">
        <v>1.2800000000000001E-3</v>
      </c>
      <c r="W122" s="68">
        <v>6.6786999999999999E-2</v>
      </c>
      <c r="X122" s="162">
        <f>((O122-E122)/E122)</f>
        <v>1.3507920555291446E-2</v>
      </c>
      <c r="Y122" s="160">
        <f>((T122-J122)/J122)</f>
        <v>6.0877836898447588E-3</v>
      </c>
      <c r="Z122" s="160">
        <f>((U122-K122)/K122)</f>
        <v>8.771929824561403E-3</v>
      </c>
      <c r="AA122" s="160">
        <f>V122-L122</f>
        <v>2.0430000000000001E-3</v>
      </c>
      <c r="AB122" s="161">
        <f>W122-M122</f>
        <v>1.2800000000000034E-3</v>
      </c>
      <c r="AD122" s="23"/>
      <c r="AE122" s="26"/>
      <c r="AF122" s="23"/>
      <c r="AG122" s="27"/>
    </row>
    <row r="123" spans="1:34">
      <c r="A123" s="205">
        <v>108</v>
      </c>
      <c r="B123" s="59" t="s">
        <v>167</v>
      </c>
      <c r="C123" s="60" t="s">
        <v>23</v>
      </c>
      <c r="D123" s="164">
        <v>12668884.039999999</v>
      </c>
      <c r="E123" s="71">
        <v>17240255745.019783</v>
      </c>
      <c r="F123" s="66">
        <f t="shared" si="75"/>
        <v>9.4176545546314494E-3</v>
      </c>
      <c r="G123" s="149">
        <v>1.236</v>
      </c>
      <c r="H123" s="71">
        <v>1681.9915655999998</v>
      </c>
      <c r="I123" s="149">
        <v>1.236</v>
      </c>
      <c r="J123" s="71">
        <v>1681.9915655999998</v>
      </c>
      <c r="K123" s="67">
        <v>345</v>
      </c>
      <c r="L123" s="68">
        <v>3.3799999999999997E-2</v>
      </c>
      <c r="M123" s="68">
        <v>5.3199999999999997E-2</v>
      </c>
      <c r="N123" s="149">
        <v>12788552</v>
      </c>
      <c r="O123" s="71">
        <f>12788552*1364.3569</f>
        <v>17448149162.208801</v>
      </c>
      <c r="P123" s="66">
        <f t="shared" si="76"/>
        <v>9.5264720702212726E-3</v>
      </c>
      <c r="Q123" s="149">
        <v>1.2361</v>
      </c>
      <c r="R123" s="71">
        <f>1.2361*1364.3569</f>
        <v>1686.4815640899999</v>
      </c>
      <c r="S123" s="149">
        <v>1.2361</v>
      </c>
      <c r="T123" s="71">
        <f>1.2361*1364.3569</f>
        <v>1686.4815640899999</v>
      </c>
      <c r="U123" s="67">
        <v>345</v>
      </c>
      <c r="V123" s="68">
        <v>4.1999999999999997E-3</v>
      </c>
      <c r="W123" s="68">
        <v>5.1200000000000002E-2</v>
      </c>
      <c r="X123" s="160">
        <f t="shared" ref="X123:X136" si="77">((O123-E123)/E123)</f>
        <v>1.2058604017464921E-2</v>
      </c>
      <c r="Y123" s="160">
        <f t="shared" ref="Y123:Y136" si="78">((T123-J123)/J123)</f>
        <v>2.6694536297501526E-3</v>
      </c>
      <c r="Z123" s="160">
        <f t="shared" ref="Z123:Z136" si="79">((U123-K123)/K123)</f>
        <v>0</v>
      </c>
      <c r="AA123" s="160">
        <f t="shared" ref="AA123:AA136" si="80">V123-L123</f>
        <v>-2.9599999999999998E-2</v>
      </c>
      <c r="AB123" s="161">
        <f t="shared" ref="AB123:AB136" si="81">W123-M123</f>
        <v>-1.9999999999999948E-3</v>
      </c>
    </row>
    <row r="124" spans="1:34">
      <c r="A124" s="205">
        <v>109</v>
      </c>
      <c r="B124" s="59" t="s">
        <v>168</v>
      </c>
      <c r="C124" s="60" t="s">
        <v>23</v>
      </c>
      <c r="D124" s="164">
        <v>3135295.98</v>
      </c>
      <c r="E124" s="71">
        <v>4266619250.8249078</v>
      </c>
      <c r="F124" s="66">
        <f t="shared" si="75"/>
        <v>2.3306815638170979E-3</v>
      </c>
      <c r="G124" s="149">
        <v>1.0671999999999999</v>
      </c>
      <c r="H124" s="71">
        <v>1452.2826851199998</v>
      </c>
      <c r="I124" s="149">
        <v>1.0671999999999999</v>
      </c>
      <c r="J124" s="71">
        <v>1452.2826851199998</v>
      </c>
      <c r="K124" s="67">
        <v>127</v>
      </c>
      <c r="L124" s="68">
        <v>4.8899999999999999E-2</v>
      </c>
      <c r="M124" s="68">
        <v>4.8899999999999999E-2</v>
      </c>
      <c r="N124" s="149">
        <v>3136889.74</v>
      </c>
      <c r="O124" s="71">
        <f>3136889.74*1364.3569</f>
        <v>4279837161.3082061</v>
      </c>
      <c r="P124" s="66">
        <f t="shared" si="76"/>
        <v>2.3367377710528654E-3</v>
      </c>
      <c r="Q124" s="149">
        <v>1.0678000000000001</v>
      </c>
      <c r="R124" s="71">
        <f>1.0678*1364.3569</f>
        <v>1456.8602978200001</v>
      </c>
      <c r="S124" s="149">
        <v>1.0678000000000001</v>
      </c>
      <c r="T124" s="71">
        <f>1.0678*1364.3569</f>
        <v>1456.8602978200001</v>
      </c>
      <c r="U124" s="67">
        <v>126</v>
      </c>
      <c r="V124" s="68">
        <v>2.93E-2</v>
      </c>
      <c r="W124" s="68">
        <v>4.8099999999999997E-2</v>
      </c>
      <c r="X124" s="160">
        <f t="shared" si="77"/>
        <v>3.0979821976715527E-3</v>
      </c>
      <c r="Y124" s="160">
        <f t="shared" ref="Y124" si="82">((T124-J124)/J124)</f>
        <v>3.1520121715299058E-3</v>
      </c>
      <c r="Z124" s="160">
        <f t="shared" ref="Z124" si="83">((U124-K124)/K124)</f>
        <v>-7.874015748031496E-3</v>
      </c>
      <c r="AA124" s="160">
        <f t="shared" ref="AA124" si="84">V124-L124</f>
        <v>-1.9599999999999999E-2</v>
      </c>
      <c r="AB124" s="161">
        <f t="shared" ref="AB124" si="85">W124-M124</f>
        <v>-8.000000000000021E-4</v>
      </c>
    </row>
    <row r="125" spans="1:34">
      <c r="A125" s="205">
        <v>110</v>
      </c>
      <c r="B125" s="59" t="s">
        <v>169</v>
      </c>
      <c r="C125" s="60" t="s">
        <v>27</v>
      </c>
      <c r="D125" s="164">
        <v>36055792.399999999</v>
      </c>
      <c r="E125" s="71">
        <v>49173791069.93</v>
      </c>
      <c r="F125" s="66">
        <f t="shared" si="75"/>
        <v>2.6861653579123873E-2</v>
      </c>
      <c r="G125" s="149">
        <v>1.2952999999999999</v>
      </c>
      <c r="H125" s="71">
        <v>1766.5625224999999</v>
      </c>
      <c r="I125" s="149">
        <v>1.2952999999999999</v>
      </c>
      <c r="J125" s="71">
        <v>1766.5625224999999</v>
      </c>
      <c r="K125" s="67">
        <v>651</v>
      </c>
      <c r="L125" s="68">
        <v>-4.0000000000000001E-3</v>
      </c>
      <c r="M125" s="68">
        <v>6.7500000000000004E-2</v>
      </c>
      <c r="N125" s="149">
        <v>35793030.310000002</v>
      </c>
      <c r="O125" s="71">
        <f>35793030.31*C269</f>
        <v>49052758829.309242</v>
      </c>
      <c r="P125" s="66">
        <f t="shared" si="76"/>
        <v>2.6782195212248967E-2</v>
      </c>
      <c r="Q125" s="149">
        <v>1.2972999999999999</v>
      </c>
      <c r="R125" s="71">
        <f>1.2973*C269</f>
        <v>1777.8920498799998</v>
      </c>
      <c r="S125" s="149">
        <v>1.2972999999999999</v>
      </c>
      <c r="T125" s="71">
        <f>1.2973*C269</f>
        <v>1777.8920498799998</v>
      </c>
      <c r="U125" s="67">
        <v>651</v>
      </c>
      <c r="V125" s="68">
        <v>1.5E-3</v>
      </c>
      <c r="W125" s="68">
        <v>6.9099999999999995E-2</v>
      </c>
      <c r="X125" s="160">
        <f t="shared" si="77"/>
        <v>-2.4613160382252861E-3</v>
      </c>
      <c r="Y125" s="160">
        <f t="shared" ref="Y125:Z128" si="86">((T125-J125)/J125)</f>
        <v>6.4133180884912303E-3</v>
      </c>
      <c r="Z125" s="160">
        <f t="shared" si="86"/>
        <v>0</v>
      </c>
      <c r="AA125" s="160">
        <f t="shared" si="80"/>
        <v>5.4999999999999997E-3</v>
      </c>
      <c r="AB125" s="161">
        <f t="shared" si="81"/>
        <v>1.5999999999999903E-3</v>
      </c>
    </row>
    <row r="126" spans="1:34">
      <c r="A126" s="208">
        <v>111</v>
      </c>
      <c r="B126" s="59" t="s">
        <v>170</v>
      </c>
      <c r="C126" s="60" t="s">
        <v>65</v>
      </c>
      <c r="D126" s="164">
        <v>1193390.25</v>
      </c>
      <c r="E126" s="71">
        <v>1627575457.70625</v>
      </c>
      <c r="F126" s="66">
        <f t="shared" si="75"/>
        <v>8.8907865689297769E-4</v>
      </c>
      <c r="G126" s="149">
        <v>1.077</v>
      </c>
      <c r="H126" s="71">
        <v>1468.8395250000001</v>
      </c>
      <c r="I126" s="149">
        <v>1.111</v>
      </c>
      <c r="J126" s="71">
        <v>1515.2095750000001</v>
      </c>
      <c r="K126" s="67">
        <v>79</v>
      </c>
      <c r="L126" s="68">
        <v>1.47E-3</v>
      </c>
      <c r="M126" s="68">
        <v>6.5299999999999997E-2</v>
      </c>
      <c r="N126" s="149">
        <v>984648.66</v>
      </c>
      <c r="O126" s="71">
        <f>N126*C269</f>
        <v>1349417270.1294961</v>
      </c>
      <c r="P126" s="66">
        <f t="shared" si="76"/>
        <v>7.367650181949448E-4</v>
      </c>
      <c r="Q126" s="149">
        <v>1.1087</v>
      </c>
      <c r="R126" s="71">
        <f>Q126*C269</f>
        <v>1519.4241237200001</v>
      </c>
      <c r="S126" s="71">
        <v>1.1200000000000001</v>
      </c>
      <c r="T126" s="71">
        <f>S126*C269</f>
        <v>1534.9102720000001</v>
      </c>
      <c r="U126" s="67">
        <v>79</v>
      </c>
      <c r="V126" s="68">
        <v>7.6999999999999996E-4</v>
      </c>
      <c r="W126" s="68">
        <v>6.4600000000000005E-2</v>
      </c>
      <c r="X126" s="160">
        <f t="shared" si="77"/>
        <v>-0.17090340497562156</v>
      </c>
      <c r="Y126" s="160">
        <f t="shared" si="86"/>
        <v>1.300196179132513E-2</v>
      </c>
      <c r="Z126" s="160">
        <f t="shared" si="86"/>
        <v>0</v>
      </c>
      <c r="AA126" s="160">
        <f t="shared" si="80"/>
        <v>-6.9999999999999999E-4</v>
      </c>
      <c r="AB126" s="161">
        <f t="shared" si="81"/>
        <v>-6.999999999999923E-4</v>
      </c>
    </row>
    <row r="127" spans="1:34">
      <c r="A127" s="208">
        <v>112</v>
      </c>
      <c r="B127" s="59" t="s">
        <v>171</v>
      </c>
      <c r="C127" s="60" t="s">
        <v>29</v>
      </c>
      <c r="D127" s="164">
        <v>699737.11</v>
      </c>
      <c r="E127" s="71">
        <v>954318964.04575002</v>
      </c>
      <c r="F127" s="66">
        <v>0</v>
      </c>
      <c r="G127" s="149">
        <v>1.5132000000000001</v>
      </c>
      <c r="H127" s="71">
        <v>2063.73999</v>
      </c>
      <c r="I127" s="149">
        <v>1.5132000000000001</v>
      </c>
      <c r="J127" s="71">
        <v>2063.73999</v>
      </c>
      <c r="K127" s="67">
        <v>81</v>
      </c>
      <c r="L127" s="68">
        <v>2.6800000000000001E-4</v>
      </c>
      <c r="M127" s="68">
        <v>7.1999999999999995E-2</v>
      </c>
      <c r="N127" s="149">
        <v>703798.56</v>
      </c>
      <c r="O127" s="71">
        <f>703798.56*C269</f>
        <v>964524677.8239361</v>
      </c>
      <c r="P127" s="66">
        <f t="shared" si="76"/>
        <v>5.2661845786087385E-4</v>
      </c>
      <c r="Q127" s="149">
        <v>1.5132000000000001</v>
      </c>
      <c r="R127" s="71">
        <f>1.5132*C269</f>
        <v>2073.7734139200002</v>
      </c>
      <c r="S127" s="149">
        <v>1.5132000000000001</v>
      </c>
      <c r="T127" s="71">
        <f>1.5132*C269</f>
        <v>2073.7734139200002</v>
      </c>
      <c r="U127" s="67">
        <v>82</v>
      </c>
      <c r="V127" s="68">
        <v>2.6400000000000002E-4</v>
      </c>
      <c r="W127" s="68">
        <v>7.3999999999999996E-2</v>
      </c>
      <c r="X127" s="160">
        <f t="shared" si="77"/>
        <v>1.0694237631954699E-2</v>
      </c>
      <c r="Y127" s="160">
        <f t="shared" si="86"/>
        <v>4.8617674555020531E-3</v>
      </c>
      <c r="Z127" s="160">
        <f t="shared" si="86"/>
        <v>1.2345679012345678E-2</v>
      </c>
      <c r="AA127" s="160">
        <f t="shared" si="80"/>
        <v>-3.9999999999999888E-6</v>
      </c>
      <c r="AB127" s="161">
        <f t="shared" si="81"/>
        <v>2.0000000000000018E-3</v>
      </c>
    </row>
    <row r="128" spans="1:34">
      <c r="A128" s="205">
        <v>113</v>
      </c>
      <c r="B128" s="59" t="s">
        <v>172</v>
      </c>
      <c r="C128" s="60" t="s">
        <v>75</v>
      </c>
      <c r="D128" s="164">
        <v>2955723.27</v>
      </c>
      <c r="E128" s="71">
        <v>4031089288.7077503</v>
      </c>
      <c r="F128" s="66">
        <f t="shared" ref="F128:F138" si="87">(E128/$E$161)</f>
        <v>2.2020210698377334E-3</v>
      </c>
      <c r="G128" s="149">
        <v>111.06</v>
      </c>
      <c r="H128" s="71">
        <v>151466.4045</v>
      </c>
      <c r="I128" s="149">
        <v>111.52</v>
      </c>
      <c r="J128" s="71">
        <v>152093.764</v>
      </c>
      <c r="K128" s="67">
        <v>84</v>
      </c>
      <c r="L128" s="68">
        <v>-1.5E-3</v>
      </c>
      <c r="M128" s="68">
        <v>3.6499999999999998E-2</v>
      </c>
      <c r="N128" s="149">
        <v>2982481.48</v>
      </c>
      <c r="O128" s="71">
        <f>2982481.48*C269</f>
        <v>4087358446.1622882</v>
      </c>
      <c r="P128" s="66">
        <f t="shared" si="76"/>
        <v>2.2316467905194588E-3</v>
      </c>
      <c r="Q128" s="149">
        <v>110.28</v>
      </c>
      <c r="R128" s="71">
        <f>110.28*C269</f>
        <v>151133.84356800001</v>
      </c>
      <c r="S128" s="71">
        <v>110.28</v>
      </c>
      <c r="T128" s="71">
        <f>110.28*C269</f>
        <v>151133.84356800001</v>
      </c>
      <c r="U128" s="67">
        <v>85</v>
      </c>
      <c r="V128" s="68">
        <v>6.9999999999999999E-4</v>
      </c>
      <c r="W128" s="68">
        <v>3.7199999999999997E-2</v>
      </c>
      <c r="X128" s="160">
        <f t="shared" si="77"/>
        <v>1.3958797095406468E-2</v>
      </c>
      <c r="Y128" s="160">
        <f t="shared" si="86"/>
        <v>-6.3113727134794587E-3</v>
      </c>
      <c r="Z128" s="160">
        <f t="shared" si="86"/>
        <v>1.1904761904761904E-2</v>
      </c>
      <c r="AA128" s="160">
        <f t="shared" si="80"/>
        <v>2.2000000000000001E-3</v>
      </c>
      <c r="AB128" s="161">
        <f t="shared" si="81"/>
        <v>6.9999999999999923E-4</v>
      </c>
    </row>
    <row r="129" spans="1:111">
      <c r="A129" s="208">
        <v>114</v>
      </c>
      <c r="B129" s="59" t="s">
        <v>173</v>
      </c>
      <c r="C129" s="60" t="s">
        <v>78</v>
      </c>
      <c r="D129" s="164">
        <v>3234046.7</v>
      </c>
      <c r="E129" s="71">
        <v>4415767364.1800003</v>
      </c>
      <c r="F129" s="66">
        <f t="shared" si="87"/>
        <v>2.4121551469139745E-3</v>
      </c>
      <c r="G129" s="149">
        <v>114.49</v>
      </c>
      <c r="H129" s="71">
        <v>156278.85</v>
      </c>
      <c r="I129" s="149">
        <v>114.49</v>
      </c>
      <c r="J129" s="71">
        <v>156278.85</v>
      </c>
      <c r="K129" s="67">
        <v>66</v>
      </c>
      <c r="L129" s="68">
        <v>4.0000000000000002E-4</v>
      </c>
      <c r="M129" s="68">
        <v>5.5899999999999998E-2</v>
      </c>
      <c r="N129" s="149">
        <v>3237832.38</v>
      </c>
      <c r="O129" s="71">
        <f>N129*1371.5</f>
        <v>4440687109.1700001</v>
      </c>
      <c r="P129" s="66">
        <f t="shared" si="76"/>
        <v>2.4245598386863098E-3</v>
      </c>
      <c r="Q129" s="149">
        <v>114.64</v>
      </c>
      <c r="R129" s="71">
        <f>Q129*1371.5</f>
        <v>157228.76</v>
      </c>
      <c r="S129" s="149">
        <v>114.64</v>
      </c>
      <c r="T129" s="71">
        <f>S129*1371.5</f>
        <v>157228.76</v>
      </c>
      <c r="U129" s="67">
        <v>68</v>
      </c>
      <c r="V129" s="68">
        <v>6.9999999999999999E-4</v>
      </c>
      <c r="W129" s="68">
        <v>5.6099999999999997E-2</v>
      </c>
      <c r="X129" s="160">
        <f t="shared" si="77"/>
        <v>5.6433554883676077E-3</v>
      </c>
      <c r="Y129" s="160">
        <f t="shared" si="78"/>
        <v>6.078301702373696E-3</v>
      </c>
      <c r="Z129" s="160">
        <f t="shared" si="79"/>
        <v>3.0303030303030304E-2</v>
      </c>
      <c r="AA129" s="160">
        <f t="shared" si="80"/>
        <v>2.9999999999999997E-4</v>
      </c>
      <c r="AB129" s="161">
        <f t="shared" si="81"/>
        <v>1.9999999999999879E-4</v>
      </c>
      <c r="AD129" s="24"/>
    </row>
    <row r="130" spans="1:111">
      <c r="A130" s="205">
        <v>115</v>
      </c>
      <c r="B130" s="59" t="s">
        <v>319</v>
      </c>
      <c r="C130" s="60" t="s">
        <v>38</v>
      </c>
      <c r="D130" s="164">
        <v>8506030.1999999993</v>
      </c>
      <c r="E130" s="71">
        <v>11600736637.514999</v>
      </c>
      <c r="F130" s="66">
        <f t="shared" si="87"/>
        <v>6.3370133162283723E-3</v>
      </c>
      <c r="G130" s="149">
        <v>1.53</v>
      </c>
      <c r="H130" s="71">
        <v>2086.6522500000001</v>
      </c>
      <c r="I130" s="149">
        <v>1.53</v>
      </c>
      <c r="J130" s="71">
        <v>2086.6522500000001</v>
      </c>
      <c r="K130" s="85">
        <v>120</v>
      </c>
      <c r="L130" s="86">
        <v>8.0999999999999996E-3</v>
      </c>
      <c r="M130" s="86">
        <v>7.6799999999999993E-2</v>
      </c>
      <c r="N130" s="150">
        <v>8494759.0099999998</v>
      </c>
      <c r="O130" s="71">
        <f>8494759.01*C269</f>
        <v>11641690055.904955</v>
      </c>
      <c r="P130" s="66">
        <f t="shared" si="76"/>
        <v>6.3562177361459263E-3</v>
      </c>
      <c r="Q130" s="149">
        <v>1.53</v>
      </c>
      <c r="R130" s="71">
        <f>1.53*C269</f>
        <v>2096.7970679999999</v>
      </c>
      <c r="S130" s="71">
        <v>1.53</v>
      </c>
      <c r="T130" s="71">
        <f>1.53*C269</f>
        <v>2096.7970679999999</v>
      </c>
      <c r="U130" s="85">
        <v>121</v>
      </c>
      <c r="V130" s="86">
        <v>5.8999999999999999E-3</v>
      </c>
      <c r="W130" s="86">
        <v>6.88E-2</v>
      </c>
      <c r="X130" s="160">
        <f>((O130-E130)/E130)</f>
        <v>3.5302429207399173E-3</v>
      </c>
      <c r="Y130" s="160">
        <f>((T130-J130)/J130)</f>
        <v>4.8617674555018735E-3</v>
      </c>
      <c r="Z130" s="160">
        <f>((U130-K130)/K130)</f>
        <v>8.3333333333333332E-3</v>
      </c>
      <c r="AA130" s="160">
        <f>V130-L130</f>
        <v>-2.1999999999999997E-3</v>
      </c>
      <c r="AB130" s="161">
        <f>W130-M130</f>
        <v>-7.9999999999999932E-3</v>
      </c>
      <c r="AD130" s="24"/>
    </row>
    <row r="131" spans="1:111">
      <c r="A131" s="205">
        <v>116</v>
      </c>
      <c r="B131" s="59" t="s">
        <v>323</v>
      </c>
      <c r="C131" s="60" t="s">
        <v>79</v>
      </c>
      <c r="D131" s="164">
        <v>39383515.479999997</v>
      </c>
      <c r="E131" s="71">
        <v>53657676830.571198</v>
      </c>
      <c r="F131" s="66">
        <f t="shared" si="87"/>
        <v>2.9311019051463112E-2</v>
      </c>
      <c r="G131" s="149">
        <v>132.07</v>
      </c>
      <c r="H131" s="71">
        <v>179937.45079999999</v>
      </c>
      <c r="I131" s="149">
        <v>132.11000000000001</v>
      </c>
      <c r="J131" s="71">
        <v>179991.94840000002</v>
      </c>
      <c r="K131" s="67">
        <v>2698</v>
      </c>
      <c r="L131" s="68">
        <v>1.1000000000000001E-3</v>
      </c>
      <c r="M131" s="68">
        <v>3.27E-2</v>
      </c>
      <c r="N131" s="149">
        <v>39503174.57</v>
      </c>
      <c r="O131" s="70">
        <f>N131*1368</f>
        <v>54040342811.760002</v>
      </c>
      <c r="P131" s="66">
        <f t="shared" si="76"/>
        <v>2.9505353930401813E-2</v>
      </c>
      <c r="Q131" s="149">
        <v>132.29</v>
      </c>
      <c r="R131" s="71">
        <f>Q131*1368</f>
        <v>180972.72</v>
      </c>
      <c r="S131" s="71">
        <v>132.33000000000001</v>
      </c>
      <c r="T131" s="71">
        <f>S131*1368</f>
        <v>181027.44000000003</v>
      </c>
      <c r="U131" s="67">
        <v>2702</v>
      </c>
      <c r="V131" s="68">
        <v>1.5E-3</v>
      </c>
      <c r="W131" s="68">
        <v>3.4099999999999998E-2</v>
      </c>
      <c r="X131" s="160">
        <f t="shared" si="77"/>
        <v>7.1316166444757925E-3</v>
      </c>
      <c r="Y131" s="160">
        <f t="shared" si="78"/>
        <v>5.7529884486766762E-3</v>
      </c>
      <c r="Z131" s="160">
        <f t="shared" si="79"/>
        <v>1.4825796886582653E-3</v>
      </c>
      <c r="AA131" s="160">
        <f t="shared" si="80"/>
        <v>3.9999999999999996E-4</v>
      </c>
      <c r="AB131" s="161">
        <f t="shared" si="81"/>
        <v>1.3999999999999985E-3</v>
      </c>
      <c r="DG131" s="172" t="s">
        <v>339</v>
      </c>
    </row>
    <row r="132" spans="1:111">
      <c r="A132" s="205">
        <v>117</v>
      </c>
      <c r="B132" s="209" t="s">
        <v>324</v>
      </c>
      <c r="C132" s="60" t="s">
        <v>79</v>
      </c>
      <c r="D132" s="164">
        <v>119080323.22</v>
      </c>
      <c r="E132" s="71">
        <v>162239795567.85681</v>
      </c>
      <c r="F132" s="66">
        <f t="shared" si="87"/>
        <v>8.8625039690230459E-2</v>
      </c>
      <c r="G132" s="149">
        <v>128.94</v>
      </c>
      <c r="H132" s="71">
        <v>175673.01360000001</v>
      </c>
      <c r="I132" s="149">
        <v>128.99</v>
      </c>
      <c r="J132" s="71">
        <v>175741.13560000001</v>
      </c>
      <c r="K132" s="67">
        <v>1090</v>
      </c>
      <c r="L132" s="68">
        <v>1.1000000000000001E-3</v>
      </c>
      <c r="M132" s="68">
        <v>3.4200000000000001E-2</v>
      </c>
      <c r="N132" s="149">
        <v>119087545.88</v>
      </c>
      <c r="O132" s="70">
        <f>N132*1368</f>
        <v>162911762763.84</v>
      </c>
      <c r="P132" s="66">
        <f t="shared" si="76"/>
        <v>8.8947792883481258E-2</v>
      </c>
      <c r="Q132" s="149">
        <v>129.18</v>
      </c>
      <c r="R132" s="71">
        <f>Q132*1368</f>
        <v>176718.24000000002</v>
      </c>
      <c r="S132" s="71">
        <v>129.22999999999999</v>
      </c>
      <c r="T132" s="71">
        <f>S132*1368</f>
        <v>176786.63999999998</v>
      </c>
      <c r="U132" s="67">
        <v>1098</v>
      </c>
      <c r="V132" s="68">
        <v>1.6999999999999999E-3</v>
      </c>
      <c r="W132" s="68">
        <v>7.6200000000000004E-2</v>
      </c>
      <c r="X132" s="160">
        <f t="shared" si="77"/>
        <v>4.1418148588712594E-3</v>
      </c>
      <c r="Y132" s="160">
        <f t="shared" si="78"/>
        <v>5.9491159905761763E-3</v>
      </c>
      <c r="Z132" s="160">
        <f t="shared" si="79"/>
        <v>7.3394495412844041E-3</v>
      </c>
      <c r="AA132" s="160">
        <f t="shared" si="80"/>
        <v>5.9999999999999984E-4</v>
      </c>
      <c r="AB132" s="161">
        <f t="shared" si="81"/>
        <v>4.2000000000000003E-2</v>
      </c>
      <c r="AD132" s="23"/>
    </row>
    <row r="133" spans="1:111">
      <c r="A133" s="205">
        <v>118</v>
      </c>
      <c r="B133" s="59" t="s">
        <v>174</v>
      </c>
      <c r="C133" s="60" t="s">
        <v>83</v>
      </c>
      <c r="D133" s="164">
        <v>1553282.55</v>
      </c>
      <c r="E133" s="71">
        <v>2118405573.7537501</v>
      </c>
      <c r="F133" s="66">
        <f t="shared" si="87"/>
        <v>1.157199301175202E-3</v>
      </c>
      <c r="G133" s="149">
        <v>1</v>
      </c>
      <c r="H133" s="71">
        <v>1363.825</v>
      </c>
      <c r="I133" s="149">
        <v>1</v>
      </c>
      <c r="J133" s="71">
        <v>1363.825</v>
      </c>
      <c r="K133" s="67">
        <v>16</v>
      </c>
      <c r="L133" s="68">
        <v>7.9600000000000004E-2</v>
      </c>
      <c r="M133" s="68">
        <v>8.4699999999999998E-2</v>
      </c>
      <c r="N133" s="149">
        <v>1555491.27</v>
      </c>
      <c r="O133" s="71">
        <f>N133*C269</f>
        <v>2131731721.7226121</v>
      </c>
      <c r="P133" s="66">
        <f t="shared" si="76"/>
        <v>1.1638989625432769E-3</v>
      </c>
      <c r="Q133" s="149">
        <v>1</v>
      </c>
      <c r="R133" s="71">
        <f>1*C269</f>
        <v>1370.4556</v>
      </c>
      <c r="S133" s="71">
        <v>1</v>
      </c>
      <c r="T133" s="71">
        <f>1*C269</f>
        <v>1370.4556</v>
      </c>
      <c r="U133" s="67">
        <v>16</v>
      </c>
      <c r="V133" s="68">
        <v>8.0199999999999994E-2</v>
      </c>
      <c r="W133" s="68">
        <v>8.4699999999999998E-2</v>
      </c>
      <c r="X133" s="160">
        <f t="shared" ref="X133" si="88">((O133-E133)/E133)</f>
        <v>6.2906499746639777E-3</v>
      </c>
      <c r="Y133" s="160">
        <f t="shared" ref="Y133" si="89">((T133-J133)/J133)</f>
        <v>4.8617674555019585E-3</v>
      </c>
      <c r="Z133" s="160">
        <f t="shared" si="79"/>
        <v>0</v>
      </c>
      <c r="AA133" s="160">
        <f t="shared" si="80"/>
        <v>5.9999999999998943E-4</v>
      </c>
      <c r="AB133" s="161">
        <f t="shared" si="81"/>
        <v>0</v>
      </c>
    </row>
    <row r="134" spans="1:111">
      <c r="A134" s="205">
        <v>119</v>
      </c>
      <c r="B134" s="59" t="s">
        <v>175</v>
      </c>
      <c r="C134" s="60" t="s">
        <v>33</v>
      </c>
      <c r="D134" s="164">
        <v>213919.93719999999</v>
      </c>
      <c r="E134" s="71">
        <v>291749358.35179001</v>
      </c>
      <c r="F134" s="66">
        <f t="shared" si="87"/>
        <v>1.593708767508417E-4</v>
      </c>
      <c r="G134" s="149">
        <v>146.55529999999999</v>
      </c>
      <c r="H134" s="71">
        <v>199875.7820225</v>
      </c>
      <c r="I134" s="149">
        <v>146.55529999999999</v>
      </c>
      <c r="J134" s="71">
        <v>199875.7820225</v>
      </c>
      <c r="K134" s="67">
        <v>11</v>
      </c>
      <c r="L134" s="68">
        <v>1.6999999999999999E-3</v>
      </c>
      <c r="M134" s="68">
        <v>8.3400000000000002E-2</v>
      </c>
      <c r="N134" s="149">
        <v>214232.7133</v>
      </c>
      <c r="O134" s="71">
        <f>N134*C269</f>
        <v>293596421.64517951</v>
      </c>
      <c r="P134" s="66">
        <f t="shared" si="76"/>
        <v>1.6029998853847715E-4</v>
      </c>
      <c r="Q134" s="149">
        <v>146.76949999999999</v>
      </c>
      <c r="R134" s="71">
        <f>Q134*C269</f>
        <v>201141.08318419999</v>
      </c>
      <c r="S134" s="149">
        <v>146.76949999999999</v>
      </c>
      <c r="T134" s="71">
        <f>S134*C269</f>
        <v>201141.08318419999</v>
      </c>
      <c r="U134" s="67">
        <v>11</v>
      </c>
      <c r="V134" s="68">
        <v>1.5E-3</v>
      </c>
      <c r="W134" s="68">
        <v>7.6399999999999996E-2</v>
      </c>
      <c r="X134" s="160">
        <f t="shared" si="77"/>
        <v>6.3309935069756655E-3</v>
      </c>
      <c r="Y134" s="160">
        <f t="shared" si="78"/>
        <v>6.3304375792638638E-3</v>
      </c>
      <c r="Z134" s="160">
        <f t="shared" si="79"/>
        <v>0</v>
      </c>
      <c r="AA134" s="160">
        <f t="shared" si="80"/>
        <v>-1.9999999999999987E-4</v>
      </c>
      <c r="AB134" s="161">
        <f t="shared" si="81"/>
        <v>-7.0000000000000062E-3</v>
      </c>
    </row>
    <row r="135" spans="1:111">
      <c r="A135" s="205">
        <v>120</v>
      </c>
      <c r="B135" s="59" t="s">
        <v>314</v>
      </c>
      <c r="C135" s="60" t="s">
        <v>312</v>
      </c>
      <c r="D135" s="164">
        <v>52853.31</v>
      </c>
      <c r="E135" s="71">
        <v>72082665.510749996</v>
      </c>
      <c r="F135" s="66">
        <f t="shared" si="87"/>
        <v>3.9375845300519409E-5</v>
      </c>
      <c r="G135" s="149">
        <v>1.124539</v>
      </c>
      <c r="H135" s="65">
        <v>1533.6744016749999</v>
      </c>
      <c r="I135" s="149">
        <v>1.1262190000000001</v>
      </c>
      <c r="J135" s="65">
        <v>1535.6669499999998</v>
      </c>
      <c r="K135" s="67">
        <v>3</v>
      </c>
      <c r="L135" s="68">
        <v>0.119364</v>
      </c>
      <c r="M135" s="68">
        <v>0</v>
      </c>
      <c r="N135" s="149">
        <v>54904.47</v>
      </c>
      <c r="O135" s="71">
        <f>54904.47*C269</f>
        <v>75244138.376532003</v>
      </c>
      <c r="P135" s="66">
        <f t="shared" si="76"/>
        <v>4.1082362147868867E-5</v>
      </c>
      <c r="Q135" s="149">
        <v>1.1200000000000001</v>
      </c>
      <c r="R135" s="65">
        <f>Q135*C269</f>
        <v>1534.9102720000001</v>
      </c>
      <c r="S135" s="65">
        <v>1.1220000000000001</v>
      </c>
      <c r="T135" s="65">
        <f>1.122*C269</f>
        <v>1537.6511832000001</v>
      </c>
      <c r="U135" s="67">
        <v>3</v>
      </c>
      <c r="V135" s="68">
        <v>3.8809000000000003E-2</v>
      </c>
      <c r="W135" s="68">
        <v>0</v>
      </c>
      <c r="X135" s="160">
        <f>((O135-E135)/E135)</f>
        <v>4.3858989444702533E-2</v>
      </c>
      <c r="Y135" s="160">
        <f>((T135-J135)/J135)</f>
        <v>1.2920986545945331E-3</v>
      </c>
      <c r="Z135" s="160">
        <f>((U135-K135)/K135)</f>
        <v>0</v>
      </c>
      <c r="AA135" s="160">
        <f>V135-L135</f>
        <v>-8.0554999999999988E-2</v>
      </c>
      <c r="AB135" s="161">
        <f>W135-M135</f>
        <v>0</v>
      </c>
    </row>
    <row r="136" spans="1:111">
      <c r="A136" s="205">
        <v>121</v>
      </c>
      <c r="B136" s="59" t="s">
        <v>176</v>
      </c>
      <c r="C136" s="60" t="s">
        <v>98</v>
      </c>
      <c r="D136" s="164">
        <v>31758898</v>
      </c>
      <c r="E136" s="71">
        <v>43313579064.849998</v>
      </c>
      <c r="F136" s="66">
        <f t="shared" si="87"/>
        <v>2.3660456735121706E-2</v>
      </c>
      <c r="G136" s="149">
        <v>107.82</v>
      </c>
      <c r="H136" s="71">
        <v>147047.6115</v>
      </c>
      <c r="I136" s="149">
        <v>107.82</v>
      </c>
      <c r="J136" s="71">
        <v>147047.6115</v>
      </c>
      <c r="K136" s="67">
        <v>949</v>
      </c>
      <c r="L136" s="86">
        <v>-5.0000000000000001E-4</v>
      </c>
      <c r="M136" s="68">
        <v>0.1163</v>
      </c>
      <c r="N136" s="149">
        <v>31887647</v>
      </c>
      <c r="O136" s="71">
        <f>31887647*C269</f>
        <v>43700604401.973198</v>
      </c>
      <c r="P136" s="66">
        <f t="shared" si="76"/>
        <v>2.3859985573076364E-2</v>
      </c>
      <c r="Q136" s="149">
        <v>108.06</v>
      </c>
      <c r="R136" s="71">
        <f>108.06*C269</f>
        <v>148091.43213600002</v>
      </c>
      <c r="S136" s="149">
        <v>108.06</v>
      </c>
      <c r="T136" s="71">
        <f>108.06*C269</f>
        <v>148091.43213600002</v>
      </c>
      <c r="U136" s="67">
        <v>953</v>
      </c>
      <c r="V136" s="86">
        <v>2.2000000000000001E-3</v>
      </c>
      <c r="W136" s="68">
        <v>0.11650000000000001</v>
      </c>
      <c r="X136" s="160">
        <f t="shared" si="77"/>
        <v>8.9354273066129444E-3</v>
      </c>
      <c r="Y136" s="160">
        <f t="shared" si="78"/>
        <v>7.0985215288588257E-3</v>
      </c>
      <c r="Z136" s="160">
        <f t="shared" si="79"/>
        <v>4.2149631190727078E-3</v>
      </c>
      <c r="AA136" s="160">
        <f t="shared" si="80"/>
        <v>2.7000000000000001E-3</v>
      </c>
      <c r="AB136" s="161">
        <f t="shared" si="81"/>
        <v>2.0000000000000573E-4</v>
      </c>
    </row>
    <row r="137" spans="1:111">
      <c r="A137" s="205">
        <v>122</v>
      </c>
      <c r="B137" s="59" t="s">
        <v>177</v>
      </c>
      <c r="C137" s="60" t="s">
        <v>42</v>
      </c>
      <c r="D137" s="164">
        <v>2052097.91</v>
      </c>
      <c r="E137" s="71">
        <v>2798702432.1057501</v>
      </c>
      <c r="F137" s="66">
        <f t="shared" si="87"/>
        <v>1.5288179651507014E-3</v>
      </c>
      <c r="G137" s="149">
        <v>163.22</v>
      </c>
      <c r="H137" s="71">
        <v>222603.5165</v>
      </c>
      <c r="I137" s="149">
        <v>169.59</v>
      </c>
      <c r="J137" s="71">
        <v>231291.08175000001</v>
      </c>
      <c r="K137" s="67">
        <v>53</v>
      </c>
      <c r="L137" s="68">
        <v>0</v>
      </c>
      <c r="M137" s="68">
        <v>-2.0000000000000001E-4</v>
      </c>
      <c r="N137" s="149">
        <v>2046928.57</v>
      </c>
      <c r="O137" s="71">
        <f>2046928.57*C269</f>
        <v>2805224721.5564923</v>
      </c>
      <c r="P137" s="66">
        <f t="shared" si="76"/>
        <v>1.5316177499493091E-3</v>
      </c>
      <c r="Q137" s="149">
        <v>162.66</v>
      </c>
      <c r="R137" s="71">
        <f>162.66*C269</f>
        <v>222918.30789599998</v>
      </c>
      <c r="S137" s="71">
        <v>169.08</v>
      </c>
      <c r="T137" s="71">
        <f>169.08*C269</f>
        <v>231716.63284800001</v>
      </c>
      <c r="U137" s="67">
        <v>53</v>
      </c>
      <c r="V137" s="68">
        <v>-1E-4</v>
      </c>
      <c r="W137" s="68">
        <v>-2.0000000000000001E-4</v>
      </c>
      <c r="X137" s="160">
        <f t="shared" ref="X137:X138" si="90">((O137-E137)/E137)</f>
        <v>2.330469068780156E-3</v>
      </c>
      <c r="Y137" s="160">
        <f t="shared" ref="Y137:Y138" si="91">((T137-J137)/J137)</f>
        <v>1.8398941056446342E-3</v>
      </c>
      <c r="Z137" s="160">
        <f t="shared" ref="Z137:Z138" si="92">((U137-K137)/K137)</f>
        <v>0</v>
      </c>
      <c r="AA137" s="160">
        <f t="shared" ref="AA137:AA138" si="93">V137-L137</f>
        <v>-1E-4</v>
      </c>
      <c r="AB137" s="161">
        <f t="shared" ref="AB137:AB138" si="94">W137-M137</f>
        <v>0</v>
      </c>
    </row>
    <row r="138" spans="1:111" ht="15" customHeight="1">
      <c r="A138" s="205">
        <v>123</v>
      </c>
      <c r="B138" s="59" t="s">
        <v>178</v>
      </c>
      <c r="C138" s="60" t="s">
        <v>49</v>
      </c>
      <c r="D138" s="164">
        <v>111910392.36</v>
      </c>
      <c r="E138" s="65">
        <v>152492457941.50681</v>
      </c>
      <c r="F138" s="66">
        <f t="shared" si="87"/>
        <v>8.3300463306330633E-2</v>
      </c>
      <c r="G138" s="149">
        <v>127.9645</v>
      </c>
      <c r="H138" s="71">
        <v>174368.26663500001</v>
      </c>
      <c r="I138" s="149">
        <v>127.9645</v>
      </c>
      <c r="J138" s="71">
        <v>174368.26663500001</v>
      </c>
      <c r="K138" s="67">
        <v>4461</v>
      </c>
      <c r="L138" s="68">
        <v>8.9999999999999998E-4</v>
      </c>
      <c r="M138" s="68">
        <v>5.8599999999999999E-2</v>
      </c>
      <c r="N138" s="149">
        <v>110741853.02</v>
      </c>
      <c r="O138" s="65">
        <f>110741853.02*1368</f>
        <v>151494854931.35999</v>
      </c>
      <c r="P138" s="66">
        <f t="shared" si="76"/>
        <v>8.2714303440945866E-2</v>
      </c>
      <c r="Q138" s="149">
        <v>128.09809999999999</v>
      </c>
      <c r="R138" s="71">
        <f>128.0981*1368</f>
        <v>175238.20079999999</v>
      </c>
      <c r="S138" s="149">
        <v>128.09809999999999</v>
      </c>
      <c r="T138" s="71">
        <f>128.0981*1368</f>
        <v>175238.20079999999</v>
      </c>
      <c r="U138" s="67">
        <v>4479</v>
      </c>
      <c r="V138" s="68">
        <v>1E-3</v>
      </c>
      <c r="W138" s="68">
        <v>5.8099999999999999E-2</v>
      </c>
      <c r="X138" s="160">
        <f t="shared" si="90"/>
        <v>-6.5419826240159466E-3</v>
      </c>
      <c r="Y138" s="160">
        <f t="shared" si="91"/>
        <v>4.9890624124915572E-3</v>
      </c>
      <c r="Z138" s="160">
        <f t="shared" si="92"/>
        <v>4.0349697377269674E-3</v>
      </c>
      <c r="AA138" s="160">
        <f t="shared" si="93"/>
        <v>1.0000000000000005E-4</v>
      </c>
      <c r="AB138" s="161">
        <f t="shared" si="94"/>
        <v>-5.0000000000000044E-4</v>
      </c>
    </row>
    <row r="139" spans="1:111" ht="4.8" customHeight="1"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</row>
    <row r="140" spans="1:111">
      <c r="A140" s="170"/>
      <c r="B140" s="219" t="s">
        <v>332</v>
      </c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8">
        <v>1374.9431</v>
      </c>
      <c r="AE140" s="32"/>
    </row>
    <row r="141" spans="1:111">
      <c r="A141" s="205">
        <v>124</v>
      </c>
      <c r="B141" s="59" t="s">
        <v>309</v>
      </c>
      <c r="C141" s="60" t="s">
        <v>310</v>
      </c>
      <c r="D141" s="164">
        <v>464280.48</v>
      </c>
      <c r="E141" s="65">
        <v>633197325.63600004</v>
      </c>
      <c r="F141" s="66">
        <f>(E141/$E$161)</f>
        <v>3.4589009385657964E-4</v>
      </c>
      <c r="G141" s="149">
        <v>1.01</v>
      </c>
      <c r="H141" s="71">
        <v>1377.46325</v>
      </c>
      <c r="I141" s="149">
        <v>1.01</v>
      </c>
      <c r="J141" s="71">
        <v>1377.46325</v>
      </c>
      <c r="K141" s="67">
        <v>44</v>
      </c>
      <c r="L141" s="68">
        <v>8.14E-2</v>
      </c>
      <c r="M141" s="68">
        <v>7.9500000000000001E-2</v>
      </c>
      <c r="N141" s="149">
        <v>459059.96</v>
      </c>
      <c r="O141" s="65">
        <f>459059.96*C269</f>
        <v>629121292.91777599</v>
      </c>
      <c r="P141" s="66">
        <f>(O141/$O$161)</f>
        <v>3.4349238822096258E-4</v>
      </c>
      <c r="Q141" s="149">
        <v>1.01</v>
      </c>
      <c r="R141" s="71">
        <f>1.01*C269</f>
        <v>1384.1601559999999</v>
      </c>
      <c r="S141" s="71">
        <v>1.01</v>
      </c>
      <c r="T141" s="71">
        <f>1.01*C269</f>
        <v>1384.1601559999999</v>
      </c>
      <c r="U141" s="67">
        <v>45</v>
      </c>
      <c r="V141" s="68">
        <v>8.3699999999999997E-2</v>
      </c>
      <c r="W141" s="68">
        <v>7.8200000000000006E-2</v>
      </c>
      <c r="X141" s="160">
        <f>((O141-E141)/E141)</f>
        <v>-6.4372235213248476E-3</v>
      </c>
      <c r="Y141" s="160">
        <f>((T141-J141)/J141)</f>
        <v>4.8617674555019152E-3</v>
      </c>
      <c r="Z141" s="160">
        <f>((U141-K141)/K141)</f>
        <v>2.2727272727272728E-2</v>
      </c>
      <c r="AA141" s="160">
        <f>V141-L141</f>
        <v>2.2999999999999965E-3</v>
      </c>
      <c r="AB141" s="161">
        <f>W141-M141</f>
        <v>-1.2999999999999956E-3</v>
      </c>
      <c r="AC141" s="28"/>
      <c r="AE141" s="32"/>
    </row>
    <row r="142" spans="1:111">
      <c r="A142" s="205">
        <v>125</v>
      </c>
      <c r="B142" s="59" t="s">
        <v>179</v>
      </c>
      <c r="C142" s="60" t="s">
        <v>60</v>
      </c>
      <c r="D142" s="164">
        <v>1064237.02</v>
      </c>
      <c r="E142" s="65">
        <v>1451433053.8015001</v>
      </c>
      <c r="F142" s="66">
        <f>(E142/$E$161)</f>
        <v>7.9285918445989075E-4</v>
      </c>
      <c r="G142" s="149">
        <v>119.24</v>
      </c>
      <c r="H142" s="71">
        <v>162622.49299999999</v>
      </c>
      <c r="I142" s="149">
        <v>119.24</v>
      </c>
      <c r="J142" s="71">
        <v>162622.49299999999</v>
      </c>
      <c r="K142" s="67">
        <v>76</v>
      </c>
      <c r="L142" s="68">
        <v>2.7000000000000001E-3</v>
      </c>
      <c r="M142" s="68">
        <v>6.8699999999999997E-2</v>
      </c>
      <c r="N142" s="149">
        <v>1062713.07</v>
      </c>
      <c r="O142" s="65">
        <f>1062713.07*C269</f>
        <v>1456401077.9746921</v>
      </c>
      <c r="P142" s="66">
        <f>(O142/$O$161)</f>
        <v>7.9517684445389448E-4</v>
      </c>
      <c r="Q142" s="149">
        <v>119.07</v>
      </c>
      <c r="R142" s="71">
        <f>119.07*C269</f>
        <v>163180.148292</v>
      </c>
      <c r="S142" s="71">
        <v>119.07</v>
      </c>
      <c r="T142" s="71">
        <f>119.07*C269</f>
        <v>163180.148292</v>
      </c>
      <c r="U142" s="67">
        <v>76</v>
      </c>
      <c r="V142" s="68">
        <v>1.5E-3</v>
      </c>
      <c r="W142" s="68">
        <v>6.2700000000000006E-2</v>
      </c>
      <c r="X142" s="160">
        <f>((O142-E142)/E142)</f>
        <v>3.4228407298428922E-3</v>
      </c>
      <c r="Y142" s="160">
        <f>((T142-J142)/J142)</f>
        <v>3.4291399775799184E-3</v>
      </c>
      <c r="Z142" s="160">
        <f>((U142-K142)/K142)</f>
        <v>0</v>
      </c>
      <c r="AA142" s="160">
        <f>V142-L142</f>
        <v>-1.2000000000000001E-3</v>
      </c>
      <c r="AB142" s="161">
        <f>W142-M142</f>
        <v>-5.9999999999999915E-3</v>
      </c>
    </row>
    <row r="143" spans="1:111">
      <c r="A143" s="205">
        <v>126</v>
      </c>
      <c r="B143" s="60" t="s">
        <v>180</v>
      </c>
      <c r="C143" s="60" t="s">
        <v>25</v>
      </c>
      <c r="D143" s="164">
        <v>19411232.579999998</v>
      </c>
      <c r="E143" s="71">
        <v>26473524273.418499</v>
      </c>
      <c r="F143" s="66">
        <f>(E143/$E$161)</f>
        <v>1.4461415778169472E-2</v>
      </c>
      <c r="G143" s="149">
        <v>138.71</v>
      </c>
      <c r="H143" s="65">
        <v>189176.16575000001</v>
      </c>
      <c r="I143" s="149">
        <v>138.71</v>
      </c>
      <c r="J143" s="65">
        <v>189176.16575000001</v>
      </c>
      <c r="K143" s="67">
        <v>690</v>
      </c>
      <c r="L143" s="68">
        <v>5.0000000000000001E-4</v>
      </c>
      <c r="M143" s="68">
        <v>2.2800000000000001E-2</v>
      </c>
      <c r="N143" s="149">
        <v>19497056.690000001</v>
      </c>
      <c r="O143" s="71">
        <f>19497056.69*C269</f>
        <v>26719850524.327965</v>
      </c>
      <c r="P143" s="66">
        <f>(O143/$O$161)</f>
        <v>1.4588705505327879E-2</v>
      </c>
      <c r="Q143" s="149">
        <v>138.82</v>
      </c>
      <c r="R143" s="65">
        <f>138.82*C269</f>
        <v>190246.646392</v>
      </c>
      <c r="S143" s="65">
        <v>138.82</v>
      </c>
      <c r="T143" s="65">
        <f>138.82*C269</f>
        <v>190246.646392</v>
      </c>
      <c r="U143" s="67">
        <v>692</v>
      </c>
      <c r="V143" s="68">
        <v>5.0000000000000001E-4</v>
      </c>
      <c r="W143" s="68">
        <v>2.3599999999999999E-2</v>
      </c>
      <c r="X143" s="160">
        <f t="shared" ref="X143:X161" si="95">((O143-E143)/E143)</f>
        <v>9.3046263264916617E-3</v>
      </c>
      <c r="Y143" s="160">
        <f t="shared" ref="Y143:Y161" si="96">((T143-J143)/J143)</f>
        <v>5.6586443527703242E-3</v>
      </c>
      <c r="Z143" s="160">
        <f t="shared" ref="Z143:Z161" si="97">((U143-K143)/K143)</f>
        <v>2.8985507246376812E-3</v>
      </c>
      <c r="AA143" s="160">
        <f t="shared" ref="AA143:AA161" si="98">V143-L143</f>
        <v>0</v>
      </c>
      <c r="AB143" s="161">
        <f t="shared" ref="AB143:AB161" si="99">W143-M143</f>
        <v>7.9999999999999863E-4</v>
      </c>
    </row>
    <row r="144" spans="1:111">
      <c r="A144" s="205">
        <v>127</v>
      </c>
      <c r="B144" s="60" t="s">
        <v>181</v>
      </c>
      <c r="C144" s="60" t="s">
        <v>130</v>
      </c>
      <c r="D144" s="164">
        <v>438933.53</v>
      </c>
      <c r="E144" s="71">
        <v>598628521.55225003</v>
      </c>
      <c r="F144" s="66">
        <f>(E144/$E$161)</f>
        <v>3.2700655407373537E-4</v>
      </c>
      <c r="G144" s="149">
        <v>105.41</v>
      </c>
      <c r="H144" s="65">
        <v>143760.79324999999</v>
      </c>
      <c r="I144" s="149">
        <v>105.41</v>
      </c>
      <c r="J144" s="65">
        <v>143760.79324999999</v>
      </c>
      <c r="K144" s="67">
        <v>19</v>
      </c>
      <c r="L144" s="68">
        <v>4.8999999999999998E-4</v>
      </c>
      <c r="M144" s="68">
        <v>6.3079999999999997E-2</v>
      </c>
      <c r="N144" s="149">
        <v>441054.4</v>
      </c>
      <c r="O144" s="71">
        <f>N144*C269</f>
        <v>604445472.38463998</v>
      </c>
      <c r="P144" s="66">
        <f>(O144/$O$161)</f>
        <v>3.3001969762591301E-4</v>
      </c>
      <c r="Q144" s="149">
        <v>105.54</v>
      </c>
      <c r="R144" s="65">
        <f>Q144*C269</f>
        <v>144637.884024</v>
      </c>
      <c r="S144" s="65">
        <v>105.54</v>
      </c>
      <c r="T144" s="65">
        <f>S144*C269</f>
        <v>144637.884024</v>
      </c>
      <c r="U144" s="67">
        <v>19</v>
      </c>
      <c r="V144" s="68">
        <v>6.7000000000000002E-4</v>
      </c>
      <c r="W144" s="68">
        <v>6.2810000000000005E-2</v>
      </c>
      <c r="X144" s="160">
        <v>0</v>
      </c>
      <c r="Y144" s="160">
        <f t="shared" ref="Y144" si="100">((T144-J144)/J144)</f>
        <v>6.1010429489961873E-3</v>
      </c>
      <c r="Z144" s="160">
        <f t="shared" ref="Z144" si="101">((U144-K144)/K144)</f>
        <v>0</v>
      </c>
      <c r="AA144" s="160">
        <f t="shared" ref="AA144" si="102">V144-L144</f>
        <v>1.8000000000000004E-4</v>
      </c>
      <c r="AB144" s="161">
        <f t="shared" ref="AB144" si="103">W144-M144</f>
        <v>-2.6999999999999247E-4</v>
      </c>
    </row>
    <row r="145" spans="1:30">
      <c r="A145" s="205">
        <v>128</v>
      </c>
      <c r="B145" s="59" t="s">
        <v>182</v>
      </c>
      <c r="C145" s="60" t="s">
        <v>69</v>
      </c>
      <c r="D145" s="164">
        <v>12869778.73</v>
      </c>
      <c r="E145" s="65">
        <v>17541508408.990002</v>
      </c>
      <c r="F145" s="66">
        <f>(E145/$E$161)</f>
        <v>9.5822167029483932E-3</v>
      </c>
      <c r="G145" s="149">
        <v>116.42</v>
      </c>
      <c r="H145" s="65">
        <v>158680.46</v>
      </c>
      <c r="I145" s="149">
        <v>116.42</v>
      </c>
      <c r="J145" s="65">
        <v>158680.46</v>
      </c>
      <c r="K145" s="67">
        <v>470</v>
      </c>
      <c r="L145" s="68">
        <v>8.9999999999999998E-4</v>
      </c>
      <c r="M145" s="68">
        <v>6.6299999999999998E-2</v>
      </c>
      <c r="N145" s="149">
        <v>13308860.17</v>
      </c>
      <c r="O145" s="65">
        <v>18139976411.709999</v>
      </c>
      <c r="P145" s="66">
        <f t="shared" ref="P145:P146" si="104">(O145/$O$117)</f>
        <v>7.6471781445595313E-2</v>
      </c>
      <c r="Q145" s="149">
        <v>116.71</v>
      </c>
      <c r="R145" s="65">
        <v>159075.73000000001</v>
      </c>
      <c r="S145" s="149">
        <v>116.71</v>
      </c>
      <c r="T145" s="65">
        <v>159075.73000000001</v>
      </c>
      <c r="U145" s="67">
        <v>476</v>
      </c>
      <c r="V145" s="68">
        <v>2.5000000000000001E-3</v>
      </c>
      <c r="W145" s="68">
        <v>6.6299999999999998E-2</v>
      </c>
      <c r="X145" s="160">
        <f t="shared" si="95"/>
        <v>3.4117248572151482E-2</v>
      </c>
      <c r="Y145" s="160">
        <f t="shared" si="96"/>
        <v>2.4909809311116104E-3</v>
      </c>
      <c r="Z145" s="160">
        <f t="shared" si="97"/>
        <v>1.276595744680851E-2</v>
      </c>
      <c r="AA145" s="160">
        <f t="shared" si="98"/>
        <v>1.6000000000000001E-3</v>
      </c>
      <c r="AB145" s="161">
        <f t="shared" si="99"/>
        <v>0</v>
      </c>
    </row>
    <row r="146" spans="1:30">
      <c r="A146" s="205">
        <v>129</v>
      </c>
      <c r="B146" s="59" t="s">
        <v>183</v>
      </c>
      <c r="C146" s="60" t="s">
        <v>71</v>
      </c>
      <c r="D146" s="164">
        <v>251316.02</v>
      </c>
      <c r="E146" s="71">
        <v>342751070.97649997</v>
      </c>
      <c r="F146" s="66">
        <f t="shared" ref="F146" si="105">(E146/$E$117)</f>
        <v>1.4467162298019431E-3</v>
      </c>
      <c r="G146" s="149">
        <v>1.0507</v>
      </c>
      <c r="H146" s="70">
        <v>1432.9709275</v>
      </c>
      <c r="I146" s="149">
        <v>1.0507</v>
      </c>
      <c r="J146" s="70">
        <v>1432.9709275</v>
      </c>
      <c r="K146" s="67">
        <v>13</v>
      </c>
      <c r="L146" s="68">
        <v>-2.0999999999999999E-3</v>
      </c>
      <c r="M146" s="68">
        <v>7.8299999999999995E-2</v>
      </c>
      <c r="N146" s="149">
        <v>250235.56</v>
      </c>
      <c r="O146" s="71">
        <f>N146*C269</f>
        <v>342936724.52113599</v>
      </c>
      <c r="P146" s="66">
        <f t="shared" si="104"/>
        <v>1.4457010115139666E-3</v>
      </c>
      <c r="Q146" s="149">
        <v>1.0462</v>
      </c>
      <c r="R146" s="70">
        <f>Q146*C269</f>
        <v>1433.7706487200001</v>
      </c>
      <c r="S146" s="149">
        <v>1.0462</v>
      </c>
      <c r="T146" s="70">
        <f>S146*C269</f>
        <v>1433.7706487200001</v>
      </c>
      <c r="U146" s="67">
        <v>13</v>
      </c>
      <c r="V146" s="68">
        <v>-4.3E-3</v>
      </c>
      <c r="W146" s="68">
        <v>7.3800000000000004E-2</v>
      </c>
      <c r="X146" s="162">
        <f t="shared" si="95"/>
        <v>5.4165708106201677E-4</v>
      </c>
      <c r="Y146" s="162">
        <f t="shared" si="96"/>
        <v>5.5808614442391582E-4</v>
      </c>
      <c r="Z146" s="162">
        <f t="shared" si="97"/>
        <v>0</v>
      </c>
      <c r="AA146" s="160">
        <f t="shared" si="98"/>
        <v>-2.2000000000000001E-3</v>
      </c>
      <c r="AB146" s="161">
        <f t="shared" si="99"/>
        <v>-4.4999999999999901E-3</v>
      </c>
    </row>
    <row r="147" spans="1:30">
      <c r="A147" s="208">
        <v>130</v>
      </c>
      <c r="B147" s="59" t="s">
        <v>184</v>
      </c>
      <c r="C147" s="60" t="s">
        <v>67</v>
      </c>
      <c r="D147" s="164">
        <v>10502218.275937162</v>
      </c>
      <c r="E147" s="65">
        <v>14323187840.18</v>
      </c>
      <c r="F147" s="66">
        <f t="shared" ref="F147:F160" si="106">(E147/$E$161)</f>
        <v>7.8241783181713584E-3</v>
      </c>
      <c r="G147" s="149">
        <v>1.3808443165362125</v>
      </c>
      <c r="H147" s="65">
        <v>1883.23</v>
      </c>
      <c r="I147" s="149">
        <v>1.3808443165362125</v>
      </c>
      <c r="J147" s="65">
        <v>1883.23</v>
      </c>
      <c r="K147" s="67">
        <v>371</v>
      </c>
      <c r="L147" s="68">
        <v>5.7500000000000002E-2</v>
      </c>
      <c r="M147" s="68">
        <v>7.1999999999999995E-2</v>
      </c>
      <c r="N147" s="149">
        <f>O147/C269</f>
        <v>9844385.8537481986</v>
      </c>
      <c r="O147" s="65">
        <v>13491293721.83</v>
      </c>
      <c r="P147" s="66">
        <f t="shared" ref="P147:P160" si="107">(O147/$O$161)</f>
        <v>7.3660782950284503E-3</v>
      </c>
      <c r="Q147" s="149">
        <f>R147/C269</f>
        <v>1.3811246420533434</v>
      </c>
      <c r="R147" s="65">
        <v>1892.77</v>
      </c>
      <c r="S147" s="65">
        <f>T147/C269</f>
        <v>1.3811246420533434</v>
      </c>
      <c r="T147" s="65">
        <v>1892.77</v>
      </c>
      <c r="U147" s="67">
        <v>374</v>
      </c>
      <c r="V147" s="68">
        <v>5.8299999999999998E-2</v>
      </c>
      <c r="W147" s="68">
        <v>7.1499999999999994E-2</v>
      </c>
      <c r="X147" s="160">
        <f t="shared" si="95"/>
        <v>-5.8080235184540169E-2</v>
      </c>
      <c r="Y147" s="160">
        <f t="shared" si="96"/>
        <v>5.0657646702739253E-3</v>
      </c>
      <c r="Z147" s="162">
        <f t="shared" si="97"/>
        <v>8.0862533692722376E-3</v>
      </c>
      <c r="AA147" s="160">
        <f t="shared" si="98"/>
        <v>7.9999999999999516E-4</v>
      </c>
      <c r="AB147" s="161">
        <f t="shared" si="99"/>
        <v>-5.0000000000000044E-4</v>
      </c>
    </row>
    <row r="148" spans="1:30">
      <c r="A148" s="208">
        <v>131</v>
      </c>
      <c r="B148" s="59" t="s">
        <v>185</v>
      </c>
      <c r="C148" s="60" t="s">
        <v>89</v>
      </c>
      <c r="D148" s="164">
        <v>190200.06</v>
      </c>
      <c r="E148" s="65">
        <v>259399596.82950002</v>
      </c>
      <c r="F148" s="66">
        <f t="shared" si="106"/>
        <v>1.4169951018601316E-4</v>
      </c>
      <c r="G148" s="149">
        <v>1.08</v>
      </c>
      <c r="H148" s="65">
        <v>1472.931</v>
      </c>
      <c r="I148" s="149">
        <v>1.08</v>
      </c>
      <c r="J148" s="65">
        <v>1472.931</v>
      </c>
      <c r="K148" s="67">
        <v>9</v>
      </c>
      <c r="L148" s="68">
        <v>6.8199999999999997E-2</v>
      </c>
      <c r="M148" s="68">
        <v>6.8199999999999997E-2</v>
      </c>
      <c r="N148" s="149">
        <v>193425.69</v>
      </c>
      <c r="O148" s="65">
        <f>193425.69*C269</f>
        <v>265081320.04436401</v>
      </c>
      <c r="P148" s="66">
        <f t="shared" si="107"/>
        <v>1.4473109831096478E-4</v>
      </c>
      <c r="Q148" s="149">
        <v>1.08</v>
      </c>
      <c r="R148" s="65">
        <f>1.08*C269</f>
        <v>1480.0920480000002</v>
      </c>
      <c r="S148" s="149">
        <v>1.08</v>
      </c>
      <c r="T148" s="65">
        <f>1.08*C269</f>
        <v>1480.0920480000002</v>
      </c>
      <c r="U148" s="67">
        <v>10</v>
      </c>
      <c r="V148" s="68">
        <v>6.7100000000000007E-2</v>
      </c>
      <c r="W148" s="68">
        <v>6.7100000000000007E-2</v>
      </c>
      <c r="X148" s="160">
        <f t="shared" si="95"/>
        <v>2.190336177969663E-2</v>
      </c>
      <c r="Y148" s="160">
        <f t="shared" si="96"/>
        <v>4.8617674555021008E-3</v>
      </c>
      <c r="Z148" s="162">
        <f t="shared" si="97"/>
        <v>0.1111111111111111</v>
      </c>
      <c r="AA148" s="160">
        <f t="shared" si="98"/>
        <v>-1.0999999999999899E-3</v>
      </c>
      <c r="AB148" s="161">
        <f t="shared" si="99"/>
        <v>-1.0999999999999899E-3</v>
      </c>
    </row>
    <row r="149" spans="1:30" ht="15.6">
      <c r="A149" s="208">
        <v>132</v>
      </c>
      <c r="B149" s="59" t="s">
        <v>186</v>
      </c>
      <c r="C149" s="60" t="s">
        <v>35</v>
      </c>
      <c r="D149" s="164">
        <v>104791835.65294485</v>
      </c>
      <c r="E149" s="65">
        <v>144082486512.66</v>
      </c>
      <c r="F149" s="66">
        <f t="shared" si="106"/>
        <v>7.8706435995913343E-2</v>
      </c>
      <c r="G149" s="149">
        <v>100</v>
      </c>
      <c r="H149" s="65">
        <v>137325</v>
      </c>
      <c r="I149" s="149">
        <v>100</v>
      </c>
      <c r="J149" s="65">
        <v>137325</v>
      </c>
      <c r="K149" s="67">
        <v>3659</v>
      </c>
      <c r="L149" s="68">
        <v>5.7299999999999997E-2</v>
      </c>
      <c r="M149" s="68">
        <v>5.0500000000000003E-2</v>
      </c>
      <c r="N149" s="149">
        <f>O149/1373.25</f>
        <v>105126547.52999818</v>
      </c>
      <c r="O149" s="65">
        <v>144365031395.57001</v>
      </c>
      <c r="P149" s="66">
        <f t="shared" si="107"/>
        <v>7.882150861509564E-2</v>
      </c>
      <c r="Q149" s="149">
        <v>100</v>
      </c>
      <c r="R149" s="65">
        <f>100*1373.25</f>
        <v>137325</v>
      </c>
      <c r="S149" s="65">
        <v>100</v>
      </c>
      <c r="T149" s="65">
        <f>100*1373.25</f>
        <v>137325</v>
      </c>
      <c r="U149" s="67">
        <v>3729</v>
      </c>
      <c r="V149" s="68">
        <v>5.33E-2</v>
      </c>
      <c r="W149" s="68">
        <v>5.0599999999999999E-2</v>
      </c>
      <c r="X149" s="160">
        <f t="shared" si="95"/>
        <v>1.9609939399899061E-3</v>
      </c>
      <c r="Y149" s="160">
        <f t="shared" si="96"/>
        <v>0</v>
      </c>
      <c r="Z149" s="160">
        <f t="shared" si="97"/>
        <v>1.9130910084722601E-2</v>
      </c>
      <c r="AA149" s="160">
        <f t="shared" si="98"/>
        <v>-3.9999999999999966E-3</v>
      </c>
      <c r="AB149" s="161">
        <f t="shared" si="99"/>
        <v>9.9999999999995925E-5</v>
      </c>
      <c r="AD149" s="29"/>
    </row>
    <row r="150" spans="1:30" ht="15.6">
      <c r="A150" s="208">
        <v>133</v>
      </c>
      <c r="B150" s="59" t="s">
        <v>187</v>
      </c>
      <c r="C150" s="60" t="s">
        <v>143</v>
      </c>
      <c r="D150" s="164">
        <v>1161186.32</v>
      </c>
      <c r="E150" s="65">
        <v>1583654932.8740001</v>
      </c>
      <c r="F150" s="66">
        <f t="shared" si="106"/>
        <v>8.6508665022870719E-4</v>
      </c>
      <c r="G150" s="149">
        <v>1.1599999999999999</v>
      </c>
      <c r="H150" s="65">
        <v>1582.037</v>
      </c>
      <c r="I150" s="149">
        <v>1.1599999999999999</v>
      </c>
      <c r="J150" s="65">
        <v>1582.037</v>
      </c>
      <c r="K150" s="67">
        <v>53</v>
      </c>
      <c r="L150" s="68">
        <v>1.9E-3</v>
      </c>
      <c r="M150" s="68">
        <v>0.1007</v>
      </c>
      <c r="N150" s="149">
        <v>1136563.05</v>
      </c>
      <c r="O150" s="65">
        <f>1136563.05*C269</f>
        <v>1557609196.6255801</v>
      </c>
      <c r="P150" s="66">
        <f t="shared" si="107"/>
        <v>8.5043521636738112E-4</v>
      </c>
      <c r="Q150" s="149">
        <v>1.1599999999999999</v>
      </c>
      <c r="R150" s="65">
        <f>1.16*C269</f>
        <v>1589.728496</v>
      </c>
      <c r="S150" s="65">
        <v>1.1599999999999999</v>
      </c>
      <c r="T150" s="65">
        <f>1.16*C269</f>
        <v>1589.728496</v>
      </c>
      <c r="U150" s="67">
        <v>53</v>
      </c>
      <c r="V150" s="68">
        <v>1.9E-3</v>
      </c>
      <c r="W150" s="68">
        <v>0.10059999999999999</v>
      </c>
      <c r="X150" s="160">
        <f t="shared" si="95"/>
        <v>-1.6446598124221719E-2</v>
      </c>
      <c r="Y150" s="160">
        <f t="shared" si="96"/>
        <v>4.8617674555019351E-3</v>
      </c>
      <c r="Z150" s="160">
        <f t="shared" si="97"/>
        <v>0</v>
      </c>
      <c r="AA150" s="160">
        <f t="shared" si="98"/>
        <v>0</v>
      </c>
      <c r="AB150" s="161">
        <f t="shared" si="99"/>
        <v>-1.0000000000000286E-4</v>
      </c>
      <c r="AD150" s="29"/>
    </row>
    <row r="151" spans="1:30" ht="15.6">
      <c r="A151" s="208">
        <v>134</v>
      </c>
      <c r="B151" s="59" t="s">
        <v>303</v>
      </c>
      <c r="C151" s="60" t="s">
        <v>40</v>
      </c>
      <c r="D151" s="164">
        <v>7629122.3399999999</v>
      </c>
      <c r="E151" s="71">
        <v>10404787775.3505</v>
      </c>
      <c r="F151" s="66">
        <f t="shared" si="106"/>
        <v>5.6837148144284E-3</v>
      </c>
      <c r="G151" s="149">
        <v>10.86</v>
      </c>
      <c r="H151" s="65">
        <v>14811.139499999999</v>
      </c>
      <c r="I151" s="149">
        <v>10.86</v>
      </c>
      <c r="J151" s="65">
        <v>14811.139499999999</v>
      </c>
      <c r="K151" s="67">
        <v>163</v>
      </c>
      <c r="L151" s="68">
        <v>5.7200000000000001E-2</v>
      </c>
      <c r="M151" s="68">
        <v>7.5800000000000006E-2</v>
      </c>
      <c r="N151" s="149">
        <v>7743620.46</v>
      </c>
      <c r="O151" s="71">
        <f>7743620.46*C269</f>
        <v>10612288023.681576</v>
      </c>
      <c r="P151" s="66">
        <f t="shared" si="107"/>
        <v>5.7941770510373169E-3</v>
      </c>
      <c r="Q151" s="149">
        <v>10.85</v>
      </c>
      <c r="R151" s="65">
        <f>10.85*C269</f>
        <v>14869.44326</v>
      </c>
      <c r="S151" s="65">
        <v>10.85</v>
      </c>
      <c r="T151" s="65">
        <f>10.85*C269</f>
        <v>14869.44326</v>
      </c>
      <c r="U151" s="67">
        <v>161</v>
      </c>
      <c r="V151" s="68">
        <v>5.6500000000000002E-2</v>
      </c>
      <c r="W151" s="68">
        <v>7.46E-2</v>
      </c>
      <c r="X151" s="160">
        <f t="shared" si="95"/>
        <v>1.9942766043018666E-2</v>
      </c>
      <c r="Y151" s="160">
        <f t="shared" si="96"/>
        <v>3.9364803768137287E-3</v>
      </c>
      <c r="Z151" s="160">
        <f t="shared" si="97"/>
        <v>-1.2269938650306749E-2</v>
      </c>
      <c r="AA151" s="160">
        <f t="shared" si="98"/>
        <v>-6.9999999999999923E-4</v>
      </c>
      <c r="AB151" s="161">
        <f t="shared" si="99"/>
        <v>-1.2000000000000066E-3</v>
      </c>
      <c r="AD151" s="29"/>
    </row>
    <row r="152" spans="1:30" ht="15.6">
      <c r="A152" s="205">
        <v>135</v>
      </c>
      <c r="B152" s="60" t="s">
        <v>188</v>
      </c>
      <c r="C152" s="93" t="s">
        <v>44</v>
      </c>
      <c r="D152" s="164">
        <v>28879743.417227283</v>
      </c>
      <c r="E152" s="65">
        <v>39386916066</v>
      </c>
      <c r="F152" s="66">
        <f t="shared" si="106"/>
        <v>2.1515479524658633E-2</v>
      </c>
      <c r="G152" s="149">
        <v>1.1224000000000001</v>
      </c>
      <c r="H152" s="65">
        <v>1530.7571800000001</v>
      </c>
      <c r="I152" s="149">
        <v>1.1279999999999999</v>
      </c>
      <c r="J152" s="65">
        <v>1538.3945999999999</v>
      </c>
      <c r="K152" s="67">
        <v>775</v>
      </c>
      <c r="L152" s="68">
        <v>0.01</v>
      </c>
      <c r="M152" s="68">
        <v>7.4099999999999999E-2</v>
      </c>
      <c r="N152" s="149">
        <f>O152/C269</f>
        <v>28814538.817601971</v>
      </c>
      <c r="O152" s="65">
        <v>39489046084</v>
      </c>
      <c r="P152" s="66">
        <f t="shared" si="107"/>
        <v>2.1560527199853657E-2</v>
      </c>
      <c r="Q152" s="149">
        <v>1.1220000000000001</v>
      </c>
      <c r="R152" s="65">
        <f>Q152*C269</f>
        <v>1537.6511832000001</v>
      </c>
      <c r="S152" s="65">
        <v>1.127</v>
      </c>
      <c r="T152" s="65">
        <f>S152*C269</f>
        <v>1544.5034611999999</v>
      </c>
      <c r="U152" s="67">
        <v>775</v>
      </c>
      <c r="V152" s="68">
        <v>2E-3</v>
      </c>
      <c r="W152" s="68">
        <v>7.6300000000000007E-2</v>
      </c>
      <c r="X152" s="160">
        <f t="shared" si="95"/>
        <v>2.5929935166506164E-3</v>
      </c>
      <c r="Y152" s="160">
        <f t="shared" si="96"/>
        <v>3.9709325552755399E-3</v>
      </c>
      <c r="Z152" s="160">
        <f t="shared" si="97"/>
        <v>0</v>
      </c>
      <c r="AA152" s="160">
        <f t="shared" si="98"/>
        <v>-8.0000000000000002E-3</v>
      </c>
      <c r="AB152" s="161">
        <f t="shared" si="99"/>
        <v>2.2000000000000075E-3</v>
      </c>
      <c r="AD152" s="29"/>
    </row>
    <row r="153" spans="1:30">
      <c r="A153" s="208">
        <v>136</v>
      </c>
      <c r="B153" s="59" t="s">
        <v>189</v>
      </c>
      <c r="C153" s="60" t="s">
        <v>100</v>
      </c>
      <c r="D153" s="164">
        <v>317189.19</v>
      </c>
      <c r="E153" s="71">
        <v>432027536.23949999</v>
      </c>
      <c r="F153" s="66">
        <f t="shared" si="106"/>
        <v>2.3599917278300571E-4</v>
      </c>
      <c r="G153" s="149">
        <v>1.27</v>
      </c>
      <c r="H153" s="65">
        <v>1729.8035</v>
      </c>
      <c r="I153" s="149">
        <v>1.27</v>
      </c>
      <c r="J153" s="65">
        <v>1729.8035</v>
      </c>
      <c r="K153" s="67">
        <v>2</v>
      </c>
      <c r="L153" s="68">
        <v>8.0000000000000004E-4</v>
      </c>
      <c r="M153" s="68">
        <v>-4.41E-2</v>
      </c>
      <c r="N153" s="149">
        <v>337820.86</v>
      </c>
      <c r="O153" s="71">
        <f>N153*1370.45</f>
        <v>462966597.58700001</v>
      </c>
      <c r="P153" s="66">
        <f t="shared" si="107"/>
        <v>2.5277399455700199E-4</v>
      </c>
      <c r="Q153" s="149">
        <v>1.36</v>
      </c>
      <c r="R153" s="65">
        <f>1.36*1370.45</f>
        <v>1863.8120000000001</v>
      </c>
      <c r="S153" s="65">
        <v>1.36</v>
      </c>
      <c r="T153" s="65">
        <f>1.36*1370.45</f>
        <v>1863.8120000000001</v>
      </c>
      <c r="U153" s="67">
        <v>2</v>
      </c>
      <c r="V153" s="68">
        <v>6.6900000000000001E-2</v>
      </c>
      <c r="W153" s="68">
        <v>2.0299999999999999E-2</v>
      </c>
      <c r="X153" s="160">
        <f t="shared" si="95"/>
        <v>7.161363281795205E-2</v>
      </c>
      <c r="Y153" s="160">
        <f t="shared" si="96"/>
        <v>7.7470360072690425E-2</v>
      </c>
      <c r="Z153" s="160">
        <f t="shared" si="97"/>
        <v>0</v>
      </c>
      <c r="AA153" s="160">
        <f t="shared" ref="AA153" si="108">V153-L153</f>
        <v>6.6100000000000006E-2</v>
      </c>
      <c r="AB153" s="161">
        <f t="shared" ref="AB153" si="109">W153-M153</f>
        <v>6.4399999999999999E-2</v>
      </c>
    </row>
    <row r="154" spans="1:30">
      <c r="A154" s="208">
        <v>137</v>
      </c>
      <c r="B154" s="59" t="s">
        <v>190</v>
      </c>
      <c r="C154" s="60" t="s">
        <v>105</v>
      </c>
      <c r="D154" s="164">
        <v>554691.39</v>
      </c>
      <c r="E154" s="71">
        <v>756501984.96675003</v>
      </c>
      <c r="F154" s="66">
        <f t="shared" si="106"/>
        <v>4.1324644307367094E-4</v>
      </c>
      <c r="G154" s="149">
        <v>1.0859000000000001</v>
      </c>
      <c r="H154" s="65">
        <v>1480.9775675000001</v>
      </c>
      <c r="I154" s="149">
        <v>1.0859000000000001</v>
      </c>
      <c r="J154" s="65">
        <v>1480.9775675000001</v>
      </c>
      <c r="K154" s="67">
        <v>17</v>
      </c>
      <c r="L154" s="68">
        <v>3.6700000000000003E-2</v>
      </c>
      <c r="M154" s="68">
        <v>3.7100000000000001E-2</v>
      </c>
      <c r="N154" s="149">
        <v>558565.67000000004</v>
      </c>
      <c r="O154" s="71">
        <f>558565.67*C269</f>
        <v>765489450.41925204</v>
      </c>
      <c r="P154" s="66">
        <f t="shared" si="107"/>
        <v>4.1794770331645147E-4</v>
      </c>
      <c r="Q154" s="149">
        <v>1.0853999999999999</v>
      </c>
      <c r="R154" s="65">
        <f>1.0854*C269</f>
        <v>1487.49250824</v>
      </c>
      <c r="S154" s="65">
        <v>1.0853999999999999</v>
      </c>
      <c r="T154" s="65">
        <f>1.0854*C269</f>
        <v>1487.49250824</v>
      </c>
      <c r="U154" s="67">
        <v>17</v>
      </c>
      <c r="V154" s="68">
        <v>3.78E-2</v>
      </c>
      <c r="W154" s="68">
        <v>3.4599999999999999E-2</v>
      </c>
      <c r="X154" s="160">
        <f t="shared" ref="X154" si="110">((O154-E154)/E154)</f>
        <v>1.1880293285545089E-2</v>
      </c>
      <c r="Y154" s="160">
        <f t="shared" ref="Y154" si="111">((T154-J154)/J154)</f>
        <v>4.3990813115404792E-3</v>
      </c>
      <c r="Z154" s="160">
        <f t="shared" si="97"/>
        <v>0</v>
      </c>
      <c r="AA154" s="160">
        <f t="shared" si="98"/>
        <v>1.0999999999999968E-3</v>
      </c>
      <c r="AB154" s="161">
        <f t="shared" si="99"/>
        <v>-2.5000000000000022E-3</v>
      </c>
    </row>
    <row r="155" spans="1:30">
      <c r="A155" s="208">
        <v>138</v>
      </c>
      <c r="B155" s="59" t="s">
        <v>191</v>
      </c>
      <c r="C155" s="60" t="s">
        <v>46</v>
      </c>
      <c r="D155" s="164">
        <v>632525567.63999999</v>
      </c>
      <c r="E155" s="71">
        <v>861898314233.29321</v>
      </c>
      <c r="F155" s="66">
        <f t="shared" si="106"/>
        <v>0.47082019575104789</v>
      </c>
      <c r="G155" s="149">
        <v>1.7</v>
      </c>
      <c r="H155" s="65">
        <v>2316.471</v>
      </c>
      <c r="I155" s="149">
        <v>1.7</v>
      </c>
      <c r="J155" s="65">
        <v>2316.471</v>
      </c>
      <c r="K155" s="67">
        <v>13698</v>
      </c>
      <c r="L155" s="68">
        <v>8.0000000000000004E-4</v>
      </c>
      <c r="M155" s="68">
        <v>1.6400000000000001E-2</v>
      </c>
      <c r="N155" s="149">
        <v>629795277.88</v>
      </c>
      <c r="O155" s="71">
        <f>N155*1368</f>
        <v>861559940139.83997</v>
      </c>
      <c r="P155" s="66">
        <f t="shared" si="107"/>
        <v>0.47040099383954798</v>
      </c>
      <c r="Q155" s="149">
        <v>1.7014</v>
      </c>
      <c r="R155" s="65">
        <f>Q155*1368</f>
        <v>2327.5151999999998</v>
      </c>
      <c r="S155" s="149">
        <v>1.7014</v>
      </c>
      <c r="T155" s="65">
        <f>S155*1368</f>
        <v>2327.5151999999998</v>
      </c>
      <c r="U155" s="67">
        <v>13715</v>
      </c>
      <c r="V155" s="68">
        <v>6.9999999999999999E-4</v>
      </c>
      <c r="W155" s="68">
        <v>1.7100000000000001E-2</v>
      </c>
      <c r="X155" s="160">
        <f t="shared" si="95"/>
        <v>-3.9259166408075617E-4</v>
      </c>
      <c r="Y155" s="160">
        <f t="shared" si="96"/>
        <v>4.7676832561252954E-3</v>
      </c>
      <c r="Z155" s="160">
        <f t="shared" si="97"/>
        <v>1.2410570886260768E-3</v>
      </c>
      <c r="AA155" s="160">
        <f t="shared" si="98"/>
        <v>-1.0000000000000005E-4</v>
      </c>
      <c r="AB155" s="161">
        <f t="shared" si="99"/>
        <v>6.9999999999999923E-4</v>
      </c>
    </row>
    <row r="156" spans="1:30">
      <c r="A156" s="208">
        <v>139</v>
      </c>
      <c r="B156" s="59" t="s">
        <v>192</v>
      </c>
      <c r="C156" s="59" t="s">
        <v>110</v>
      </c>
      <c r="D156" s="164">
        <v>488512.77</v>
      </c>
      <c r="E156" s="71">
        <v>666245928.54525006</v>
      </c>
      <c r="F156" s="66">
        <f t="shared" si="106"/>
        <v>3.6394320921146134E-4</v>
      </c>
      <c r="G156" s="149">
        <v>117.2</v>
      </c>
      <c r="H156" s="65">
        <v>159840.29</v>
      </c>
      <c r="I156" s="149">
        <v>117.2</v>
      </c>
      <c r="J156" s="65">
        <v>159840.29</v>
      </c>
      <c r="K156" s="67">
        <v>32</v>
      </c>
      <c r="L156" s="68">
        <v>1.4E-3</v>
      </c>
      <c r="M156" s="68">
        <v>3.0800000000000001E-2</v>
      </c>
      <c r="N156" s="149">
        <v>489188.18</v>
      </c>
      <c r="O156" s="71">
        <f>489188.18*C269</f>
        <v>670410680.73480797</v>
      </c>
      <c r="P156" s="66">
        <f t="shared" si="107"/>
        <v>3.6603587957805364E-4</v>
      </c>
      <c r="Q156" s="149">
        <v>117.36</v>
      </c>
      <c r="R156" s="65">
        <f>117.36*C269</f>
        <v>160836.66921600001</v>
      </c>
      <c r="S156" s="65">
        <v>117.36</v>
      </c>
      <c r="T156" s="65">
        <f>117.36*C269</f>
        <v>160836.66921600001</v>
      </c>
      <c r="U156" s="67">
        <v>32</v>
      </c>
      <c r="V156" s="68">
        <v>1.4E-3</v>
      </c>
      <c r="W156" s="68">
        <v>3.2199999999999999E-2</v>
      </c>
      <c r="X156" s="160">
        <f t="shared" ref="X156" si="112">((O156-E156)/E156)</f>
        <v>6.25107338164401E-3</v>
      </c>
      <c r="Y156" s="160">
        <f t="shared" ref="Y156" si="113">((T156-J156)/J156)</f>
        <v>6.2335923940078008E-3</v>
      </c>
      <c r="Z156" s="160">
        <f t="shared" ref="Z156" si="114">((U156-K156)/K156)</f>
        <v>0</v>
      </c>
      <c r="AA156" s="160">
        <f t="shared" ref="AA156" si="115">V156-L156</f>
        <v>0</v>
      </c>
      <c r="AB156" s="161">
        <f t="shared" ref="AB156" si="116">W156-M156</f>
        <v>1.3999999999999985E-3</v>
      </c>
    </row>
    <row r="157" spans="1:30" ht="16.5" customHeight="1">
      <c r="A157" s="208">
        <v>140</v>
      </c>
      <c r="B157" s="59" t="s">
        <v>193</v>
      </c>
      <c r="C157" s="60" t="s">
        <v>49</v>
      </c>
      <c r="D157" s="164">
        <v>131706252.55</v>
      </c>
      <c r="E157" s="71">
        <v>179466890912.20651</v>
      </c>
      <c r="F157" s="66">
        <f t="shared" si="106"/>
        <v>9.8035505250154156E-2</v>
      </c>
      <c r="G157" s="149">
        <v>1.2798</v>
      </c>
      <c r="H157" s="65">
        <v>1743.8938740000001</v>
      </c>
      <c r="I157" s="149">
        <v>1.2798</v>
      </c>
      <c r="J157" s="65">
        <v>1743.8938740000001</v>
      </c>
      <c r="K157" s="67">
        <v>1051</v>
      </c>
      <c r="L157" s="68">
        <v>8.0000000000000004E-4</v>
      </c>
      <c r="M157" s="68">
        <v>5.8400000000000001E-2</v>
      </c>
      <c r="N157" s="149">
        <v>131241749.65000001</v>
      </c>
      <c r="O157" s="71">
        <f>131241749.65*1368</f>
        <v>179538713521.20001</v>
      </c>
      <c r="P157" s="66">
        <f t="shared" si="107"/>
        <v>9.8025900855300246E-2</v>
      </c>
      <c r="Q157" s="149">
        <v>1.2895000000000001</v>
      </c>
      <c r="R157" s="65">
        <f>1.2895*1368</f>
        <v>1764.0360000000001</v>
      </c>
      <c r="S157" s="65">
        <v>1.2895000000000001</v>
      </c>
      <c r="T157" s="65">
        <f>1.2895*1368</f>
        <v>1764.0360000000001</v>
      </c>
      <c r="U157" s="67">
        <v>1055</v>
      </c>
      <c r="V157" s="68">
        <v>7.4999999999999997E-3</v>
      </c>
      <c r="W157" s="68">
        <v>7.2700000000000001E-2</v>
      </c>
      <c r="X157" s="160">
        <f t="shared" si="95"/>
        <v>4.0019977294104175E-4</v>
      </c>
      <c r="Y157" s="160">
        <f t="shared" si="96"/>
        <v>1.1550087020949052E-2</v>
      </c>
      <c r="Z157" s="160">
        <f t="shared" si="97"/>
        <v>3.8058991436726928E-3</v>
      </c>
      <c r="AA157" s="160">
        <f t="shared" si="98"/>
        <v>6.6999999999999994E-3</v>
      </c>
      <c r="AB157" s="161">
        <f t="shared" si="99"/>
        <v>1.43E-2</v>
      </c>
    </row>
    <row r="158" spans="1:30" ht="16.5" customHeight="1">
      <c r="A158" s="208">
        <v>141</v>
      </c>
      <c r="B158" s="59" t="s">
        <v>194</v>
      </c>
      <c r="C158" s="60" t="s">
        <v>107</v>
      </c>
      <c r="D158" s="164">
        <v>1576001.25</v>
      </c>
      <c r="E158" s="65">
        <v>2147506588.6599998</v>
      </c>
      <c r="F158" s="66">
        <f t="shared" si="106"/>
        <v>1.1730960088360155E-3</v>
      </c>
      <c r="G158" s="149">
        <v>116.21</v>
      </c>
      <c r="H158" s="65">
        <v>158351.23000000001</v>
      </c>
      <c r="I158" s="149">
        <v>116.21</v>
      </c>
      <c r="J158" s="65">
        <v>158351.23000000001</v>
      </c>
      <c r="K158" s="67">
        <v>28</v>
      </c>
      <c r="L158" s="68">
        <v>-1.1999999999999999E-3</v>
      </c>
      <c r="M158" s="68">
        <v>3.9199999999999999E-2</v>
      </c>
      <c r="N158" s="149">
        <v>1575131.52</v>
      </c>
      <c r="O158" s="65">
        <v>2154779915.8899999</v>
      </c>
      <c r="P158" s="66">
        <f t="shared" si="107"/>
        <v>1.1764829894199051E-3</v>
      </c>
      <c r="Q158" s="149">
        <v>116.14</v>
      </c>
      <c r="R158" s="65">
        <v>158879.51999999999</v>
      </c>
      <c r="S158" s="149">
        <v>116.14</v>
      </c>
      <c r="T158" s="65">
        <v>158879.51999999999</v>
      </c>
      <c r="U158" s="67">
        <v>28</v>
      </c>
      <c r="V158" s="68">
        <v>-5.9999999999999995E-4</v>
      </c>
      <c r="W158" s="68">
        <v>3.8800000000000001E-2</v>
      </c>
      <c r="X158" s="160">
        <f t="shared" si="95"/>
        <v>3.3868707404238634E-3</v>
      </c>
      <c r="Y158" s="160">
        <f t="shared" si="96"/>
        <v>3.3361913260792418E-3</v>
      </c>
      <c r="Z158" s="160">
        <f t="shared" si="97"/>
        <v>0</v>
      </c>
      <c r="AA158" s="160">
        <f t="shared" si="98"/>
        <v>5.9999999999999995E-4</v>
      </c>
      <c r="AB158" s="161">
        <f t="shared" si="99"/>
        <v>-3.9999999999999758E-4</v>
      </c>
    </row>
    <row r="159" spans="1:30" ht="16.5" customHeight="1">
      <c r="A159" s="205">
        <v>142</v>
      </c>
      <c r="B159" s="59" t="s">
        <v>195</v>
      </c>
      <c r="C159" s="60" t="s">
        <v>117</v>
      </c>
      <c r="D159" s="164">
        <v>4263086.29</v>
      </c>
      <c r="E159" s="65">
        <v>5814103659.4592505</v>
      </c>
      <c r="F159" s="66">
        <f t="shared" si="106"/>
        <v>3.1760097193119078E-3</v>
      </c>
      <c r="G159" s="149">
        <v>1.18</v>
      </c>
      <c r="H159" s="65">
        <v>1609.3135</v>
      </c>
      <c r="I159" s="149">
        <v>1.18</v>
      </c>
      <c r="J159" s="65">
        <v>1609.3135</v>
      </c>
      <c r="K159" s="67">
        <v>59</v>
      </c>
      <c r="L159" s="68">
        <v>2.0799999999999999E-2</v>
      </c>
      <c r="M159" s="68">
        <v>2.06E-2</v>
      </c>
      <c r="N159" s="149">
        <v>4050244.76</v>
      </c>
      <c r="O159" s="65">
        <f>N159*C269</f>
        <v>5550680612.712656</v>
      </c>
      <c r="P159" s="66">
        <f t="shared" si="107"/>
        <v>3.0306024631114406E-3</v>
      </c>
      <c r="Q159" s="149">
        <v>1.18</v>
      </c>
      <c r="R159" s="65">
        <f>Q159*C269</f>
        <v>1617.137608</v>
      </c>
      <c r="S159" s="65">
        <v>1.18</v>
      </c>
      <c r="T159" s="65">
        <f>S159*C269</f>
        <v>1617.137608</v>
      </c>
      <c r="U159" s="67">
        <v>59</v>
      </c>
      <c r="V159" s="68">
        <v>2.1700000000000001E-2</v>
      </c>
      <c r="W159" s="68">
        <v>2.3900000000000001E-2</v>
      </c>
      <c r="X159" s="160">
        <f t="shared" ref="X159" si="117">((O159-E159)/E159)</f>
        <v>-4.5307593771228789E-2</v>
      </c>
      <c r="Y159" s="160">
        <f t="shared" ref="Y159" si="118">((T159-J159)/J159)</f>
        <v>4.8617674555020036E-3</v>
      </c>
      <c r="Z159" s="160">
        <f t="shared" si="97"/>
        <v>0</v>
      </c>
      <c r="AA159" s="160">
        <f t="shared" si="98"/>
        <v>9.0000000000000149E-4</v>
      </c>
      <c r="AB159" s="161">
        <f t="shared" si="99"/>
        <v>3.3000000000000008E-3</v>
      </c>
    </row>
    <row r="160" spans="1:30">
      <c r="A160" s="205">
        <v>143</v>
      </c>
      <c r="B160" s="59" t="s">
        <v>196</v>
      </c>
      <c r="C160" s="60" t="s">
        <v>119</v>
      </c>
      <c r="D160" s="164">
        <v>1590900.47</v>
      </c>
      <c r="E160" s="65">
        <v>2169709833.4977498</v>
      </c>
      <c r="F160" s="66">
        <f t="shared" si="106"/>
        <v>1.1852247436393978E-3</v>
      </c>
      <c r="G160" s="149">
        <v>1.5</v>
      </c>
      <c r="H160" s="65">
        <v>2045.7375000000002</v>
      </c>
      <c r="I160" s="149">
        <v>1.5</v>
      </c>
      <c r="J160" s="65">
        <v>2045.7375000000002</v>
      </c>
      <c r="K160" s="67">
        <v>150</v>
      </c>
      <c r="L160" s="68">
        <v>-1.7899999999999999E-2</v>
      </c>
      <c r="M160" s="68">
        <v>1.1299999999999999E-2</v>
      </c>
      <c r="N160" s="149">
        <v>1786646.61</v>
      </c>
      <c r="O160" s="65">
        <f>1786646.61*C269</f>
        <v>2448519851.8955159</v>
      </c>
      <c r="P160" s="66">
        <f t="shared" si="107"/>
        <v>1.3368613350111971E-3</v>
      </c>
      <c r="Q160" s="149">
        <v>1.54</v>
      </c>
      <c r="R160" s="65">
        <f>1.54*C269</f>
        <v>2110.501624</v>
      </c>
      <c r="S160" s="65">
        <v>1.54</v>
      </c>
      <c r="T160" s="65">
        <f>1.54*C269</f>
        <v>2110.501624</v>
      </c>
      <c r="U160" s="67">
        <v>151</v>
      </c>
      <c r="V160" s="68">
        <v>2.1600000000000001E-2</v>
      </c>
      <c r="W160" s="68">
        <v>3.3399999999999999E-2</v>
      </c>
      <c r="X160" s="160">
        <f t="shared" si="95"/>
        <v>0.12850106225877289</v>
      </c>
      <c r="Y160" s="160">
        <f t="shared" si="96"/>
        <v>3.1658081254315282E-2</v>
      </c>
      <c r="Z160" s="160">
        <f t="shared" si="97"/>
        <v>6.6666666666666671E-3</v>
      </c>
      <c r="AA160" s="160">
        <f t="shared" si="98"/>
        <v>3.95E-2</v>
      </c>
      <c r="AB160" s="161">
        <f t="shared" si="99"/>
        <v>2.2100000000000002E-2</v>
      </c>
    </row>
    <row r="161" spans="1:33">
      <c r="B161" s="74"/>
      <c r="C161" s="98" t="s">
        <v>52</v>
      </c>
      <c r="D161" s="89">
        <f>SUM(D121:D160)</f>
        <v>1342392537.4633093</v>
      </c>
      <c r="E161" s="89">
        <f>SUM(E121:E160)</f>
        <v>1830631570207.8184</v>
      </c>
      <c r="F161" s="77">
        <f>(E161/$E$238)</f>
        <v>0.20113439470387123</v>
      </c>
      <c r="G161" s="149"/>
      <c r="H161" s="78"/>
      <c r="I161" s="149">
        <v>0</v>
      </c>
      <c r="J161" s="83"/>
      <c r="K161" s="80">
        <f>SUM(K121:K160)</f>
        <v>32517</v>
      </c>
      <c r="L161" s="99"/>
      <c r="M161" s="99"/>
      <c r="N161" s="89">
        <f>SUM(N121:N160)</f>
        <v>1338224215.6446483</v>
      </c>
      <c r="O161" s="89">
        <f>SUM(O121:O160)</f>
        <v>1831543622192.5051</v>
      </c>
      <c r="P161" s="77">
        <f>(O161/$O$238)</f>
        <v>0.20167827458051274</v>
      </c>
      <c r="Q161" s="154"/>
      <c r="R161" s="78"/>
      <c r="S161" s="78"/>
      <c r="T161" s="83"/>
      <c r="U161" s="80">
        <f>SUM(U121:U160)</f>
        <v>32659</v>
      </c>
      <c r="V161" s="99"/>
      <c r="W161" s="99"/>
      <c r="X161" s="160">
        <f t="shared" si="95"/>
        <v>4.9821711781318674E-4</v>
      </c>
      <c r="Y161" s="160" t="e">
        <f t="shared" si="96"/>
        <v>#DIV/0!</v>
      </c>
      <c r="Z161" s="160">
        <f t="shared" si="97"/>
        <v>4.3669465202816988E-3</v>
      </c>
      <c r="AA161" s="160">
        <f t="shared" si="98"/>
        <v>0</v>
      </c>
      <c r="AB161" s="161">
        <f t="shared" si="99"/>
        <v>0</v>
      </c>
    </row>
    <row r="162" spans="1:33" ht="6" customHeight="1"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</row>
    <row r="163" spans="1:33">
      <c r="A163" s="166"/>
      <c r="B163" s="220" t="s">
        <v>336</v>
      </c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</row>
    <row r="164" spans="1:33">
      <c r="A164" s="205">
        <v>144</v>
      </c>
      <c r="B164" s="59" t="s">
        <v>197</v>
      </c>
      <c r="C164" s="60" t="s">
        <v>198</v>
      </c>
      <c r="D164" s="146" t="s">
        <v>329</v>
      </c>
      <c r="E164" s="100">
        <v>2572806457.23</v>
      </c>
      <c r="F164" s="66">
        <f>(E164/$E$170)</f>
        <v>5.0465974711610424E-3</v>
      </c>
      <c r="G164" s="146" t="s">
        <v>329</v>
      </c>
      <c r="H164" s="91">
        <v>121.24</v>
      </c>
      <c r="I164" s="146" t="s">
        <v>329</v>
      </c>
      <c r="J164" s="91">
        <v>121.24</v>
      </c>
      <c r="K164" s="67">
        <v>8</v>
      </c>
      <c r="L164" s="68">
        <v>5.3E-3</v>
      </c>
      <c r="M164" s="68">
        <v>0.15329999999999999</v>
      </c>
      <c r="N164" s="146" t="s">
        <v>329</v>
      </c>
      <c r="O164" s="100">
        <v>2590301541.1399999</v>
      </c>
      <c r="P164" s="66">
        <f>(O164/$O$170)</f>
        <v>5.0879474460078077E-3</v>
      </c>
      <c r="Q164" s="146" t="s">
        <v>329</v>
      </c>
      <c r="R164" s="91">
        <v>122.07</v>
      </c>
      <c r="S164" s="146" t="s">
        <v>329</v>
      </c>
      <c r="T164" s="91">
        <v>122.07</v>
      </c>
      <c r="U164" s="67">
        <v>8</v>
      </c>
      <c r="V164" s="68">
        <v>6.7999999999999996E-3</v>
      </c>
      <c r="W164" s="68">
        <v>0.16109999999999999</v>
      </c>
      <c r="X164" s="160">
        <f t="shared" ref="X164:X170" si="119">((O164-E164)/E164)</f>
        <v>6.8000000003248778E-3</v>
      </c>
      <c r="Y164" s="160">
        <f>((T164-J164)/J164)</f>
        <v>6.8459254371494417E-3</v>
      </c>
      <c r="Z164" s="160">
        <f>((U164-K164)/K164)</f>
        <v>0</v>
      </c>
      <c r="AA164" s="160">
        <f>V164-L164</f>
        <v>1.4999999999999996E-3</v>
      </c>
      <c r="AB164" s="161">
        <f>W164-M164</f>
        <v>7.8000000000000014E-3</v>
      </c>
    </row>
    <row r="165" spans="1:33">
      <c r="A165" s="205">
        <v>145</v>
      </c>
      <c r="B165" s="59" t="s">
        <v>199</v>
      </c>
      <c r="C165" s="60" t="s">
        <v>23</v>
      </c>
      <c r="D165" s="146" t="s">
        <v>329</v>
      </c>
      <c r="E165" s="100">
        <v>265231197804.54999</v>
      </c>
      <c r="F165" s="66">
        <v>0</v>
      </c>
      <c r="G165" s="146" t="s">
        <v>329</v>
      </c>
      <c r="H165" s="91">
        <v>106.0925</v>
      </c>
      <c r="I165" s="146" t="s">
        <v>329</v>
      </c>
      <c r="J165" s="91">
        <v>106.0925</v>
      </c>
      <c r="K165" s="67">
        <v>45</v>
      </c>
      <c r="L165" s="68">
        <v>6.4799999999999996E-2</v>
      </c>
      <c r="M165" s="68">
        <v>0.1119</v>
      </c>
      <c r="N165" s="146" t="s">
        <v>329</v>
      </c>
      <c r="O165" s="100">
        <v>265576479122.04999</v>
      </c>
      <c r="P165" s="66">
        <f t="shared" ref="P165:P169" si="120">(O165/$O$170)</f>
        <v>0.52165323118099038</v>
      </c>
      <c r="Q165" s="146" t="s">
        <v>329</v>
      </c>
      <c r="R165" s="91">
        <v>106.2306</v>
      </c>
      <c r="S165" s="146" t="s">
        <v>329</v>
      </c>
      <c r="T165" s="91">
        <v>106.2306</v>
      </c>
      <c r="U165" s="67">
        <v>45</v>
      </c>
      <c r="V165" s="68">
        <v>6.7900000000000002E-2</v>
      </c>
      <c r="W165" s="68">
        <v>0.1103</v>
      </c>
      <c r="X165" s="160">
        <f t="shared" ref="X165" si="121">((O165-E165)/E165)</f>
        <v>1.3018126086149159E-3</v>
      </c>
      <c r="Y165" s="160">
        <f t="shared" ref="Y165" si="122">((T165-J165)/J165)</f>
        <v>1.3016942762211687E-3</v>
      </c>
      <c r="Z165" s="160">
        <f t="shared" ref="Z165" si="123">((U165-K165)/K165)</f>
        <v>0</v>
      </c>
      <c r="AA165" s="160">
        <f t="shared" ref="AA165" si="124">V165-L165</f>
        <v>3.1000000000000055E-3</v>
      </c>
      <c r="AB165" s="161">
        <f t="shared" ref="AB165" si="125">W165-M165</f>
        <v>-1.6000000000000042E-3</v>
      </c>
    </row>
    <row r="166" spans="1:33">
      <c r="A166" s="205">
        <v>146</v>
      </c>
      <c r="B166" s="59" t="s">
        <v>200</v>
      </c>
      <c r="C166" s="60" t="s">
        <v>44</v>
      </c>
      <c r="D166" s="146" t="s">
        <v>329</v>
      </c>
      <c r="E166" s="71">
        <v>170647847866</v>
      </c>
      <c r="F166" s="66">
        <f>(E166/$E$170)</f>
        <v>0.3347282478553894</v>
      </c>
      <c r="G166" s="146" t="s">
        <v>329</v>
      </c>
      <c r="H166" s="91">
        <v>103</v>
      </c>
      <c r="I166" s="146" t="s">
        <v>329</v>
      </c>
      <c r="J166" s="91">
        <v>103</v>
      </c>
      <c r="K166" s="67">
        <v>1509</v>
      </c>
      <c r="L166" s="68">
        <v>0</v>
      </c>
      <c r="M166" s="68">
        <v>0</v>
      </c>
      <c r="N166" s="146" t="s">
        <v>329</v>
      </c>
      <c r="O166" s="71">
        <v>170647847866</v>
      </c>
      <c r="P166" s="66">
        <f t="shared" si="120"/>
        <v>0.3351915859704987</v>
      </c>
      <c r="Q166" s="146" t="s">
        <v>329</v>
      </c>
      <c r="R166" s="91">
        <v>103</v>
      </c>
      <c r="S166" s="146" t="s">
        <v>329</v>
      </c>
      <c r="T166" s="91">
        <v>103</v>
      </c>
      <c r="U166" s="67">
        <v>1509</v>
      </c>
      <c r="V166" s="68">
        <v>0</v>
      </c>
      <c r="W166" s="68">
        <v>0</v>
      </c>
      <c r="X166" s="160">
        <f t="shared" si="119"/>
        <v>0</v>
      </c>
      <c r="Y166" s="160">
        <f t="shared" ref="Y166:Z170" si="126">((T166-J166)/J166)</f>
        <v>0</v>
      </c>
      <c r="Z166" s="160">
        <f t="shared" si="126"/>
        <v>0</v>
      </c>
      <c r="AA166" s="160">
        <f t="shared" ref="AA166:AB170" si="127">V166-L166</f>
        <v>0</v>
      </c>
      <c r="AB166" s="161">
        <f t="shared" si="127"/>
        <v>0</v>
      </c>
    </row>
    <row r="167" spans="1:33" ht="15.75" customHeight="1">
      <c r="A167" s="205">
        <v>147</v>
      </c>
      <c r="B167" s="59" t="s">
        <v>202</v>
      </c>
      <c r="C167" s="60" t="s">
        <v>152</v>
      </c>
      <c r="D167" s="146" t="s">
        <v>329</v>
      </c>
      <c r="E167" s="71">
        <v>6105258025.9399996</v>
      </c>
      <c r="F167" s="66">
        <f>(E167/$E$170)</f>
        <v>1.1975552855097674E-2</v>
      </c>
      <c r="G167" s="146" t="s">
        <v>329</v>
      </c>
      <c r="H167" s="91">
        <v>418.75</v>
      </c>
      <c r="I167" s="146" t="s">
        <v>329</v>
      </c>
      <c r="J167" s="91">
        <v>418.75</v>
      </c>
      <c r="K167" s="67">
        <v>5533</v>
      </c>
      <c r="L167" s="68">
        <v>4.1399999999999999E-2</v>
      </c>
      <c r="M167" s="68">
        <v>1.7000000000000001E-2</v>
      </c>
      <c r="N167" s="146" t="s">
        <v>329</v>
      </c>
      <c r="O167" s="71">
        <v>6065981733.8199997</v>
      </c>
      <c r="P167" s="66">
        <f t="shared" si="120"/>
        <v>1.1914982012687373E-2</v>
      </c>
      <c r="Q167" s="146" t="s">
        <v>329</v>
      </c>
      <c r="R167" s="91">
        <v>418.75</v>
      </c>
      <c r="S167" s="146" t="s">
        <v>329</v>
      </c>
      <c r="T167" s="91">
        <v>418.75</v>
      </c>
      <c r="U167" s="67">
        <v>5533</v>
      </c>
      <c r="V167" s="68">
        <v>4.1399999999999999E-2</v>
      </c>
      <c r="W167" s="68">
        <v>1.7000000000000001E-2</v>
      </c>
      <c r="X167" s="160">
        <f t="shared" si="119"/>
        <v>-6.4331911858799265E-3</v>
      </c>
      <c r="Y167" s="160">
        <f t="shared" si="126"/>
        <v>0</v>
      </c>
      <c r="Z167" s="160">
        <f t="shared" si="126"/>
        <v>0</v>
      </c>
      <c r="AA167" s="160">
        <f t="shared" si="127"/>
        <v>0</v>
      </c>
      <c r="AB167" s="161">
        <f t="shared" si="127"/>
        <v>0</v>
      </c>
    </row>
    <row r="168" spans="1:33">
      <c r="A168" s="205">
        <v>148</v>
      </c>
      <c r="B168" s="59" t="s">
        <v>201</v>
      </c>
      <c r="C168" s="60" t="s">
        <v>152</v>
      </c>
      <c r="D168" s="146" t="s">
        <v>329</v>
      </c>
      <c r="E168" s="71">
        <v>28437117263.540001</v>
      </c>
      <c r="F168" s="66">
        <f>(E168/$E$170)</f>
        <v>5.5779821162218739E-2</v>
      </c>
      <c r="G168" s="146" t="s">
        <v>329</v>
      </c>
      <c r="H168" s="91">
        <v>70</v>
      </c>
      <c r="I168" s="146" t="s">
        <v>329</v>
      </c>
      <c r="J168" s="91">
        <v>70</v>
      </c>
      <c r="K168" s="67">
        <v>8119</v>
      </c>
      <c r="L168" s="68">
        <v>3.7400000000000003E-2</v>
      </c>
      <c r="M168" s="68">
        <v>6.5199999999999994E-2</v>
      </c>
      <c r="N168" s="146" t="s">
        <v>329</v>
      </c>
      <c r="O168" s="71">
        <v>27408902389.68</v>
      </c>
      <c r="P168" s="66">
        <f t="shared" si="120"/>
        <v>5.3837382519594627E-2</v>
      </c>
      <c r="Q168" s="146" t="s">
        <v>329</v>
      </c>
      <c r="R168" s="91">
        <v>70</v>
      </c>
      <c r="S168" s="146" t="s">
        <v>329</v>
      </c>
      <c r="T168" s="91">
        <v>70</v>
      </c>
      <c r="U168" s="67">
        <v>8119</v>
      </c>
      <c r="V168" s="68">
        <v>3.7400000000000003E-2</v>
      </c>
      <c r="W168" s="68">
        <v>6.59E-2</v>
      </c>
      <c r="X168" s="160">
        <f t="shared" si="119"/>
        <v>-3.6157493192121228E-2</v>
      </c>
      <c r="Y168" s="160">
        <f t="shared" si="126"/>
        <v>0</v>
      </c>
      <c r="Z168" s="160">
        <f t="shared" si="126"/>
        <v>0</v>
      </c>
      <c r="AA168" s="160">
        <f t="shared" si="127"/>
        <v>0</v>
      </c>
      <c r="AB168" s="161">
        <f t="shared" si="127"/>
        <v>7.0000000000000617E-4</v>
      </c>
    </row>
    <row r="169" spans="1:33">
      <c r="A169" s="205">
        <v>149</v>
      </c>
      <c r="B169" s="59" t="s">
        <v>299</v>
      </c>
      <c r="C169" s="60" t="s">
        <v>152</v>
      </c>
      <c r="D169" s="146" t="s">
        <v>329</v>
      </c>
      <c r="E169" s="71">
        <v>36815891565.360001</v>
      </c>
      <c r="F169" s="66">
        <f>(E169/$E$170)</f>
        <v>7.2214909423198595E-2</v>
      </c>
      <c r="G169" s="146" t="s">
        <v>329</v>
      </c>
      <c r="H169" s="91">
        <v>11</v>
      </c>
      <c r="I169" s="146" t="s">
        <v>329</v>
      </c>
      <c r="J169" s="91">
        <v>11</v>
      </c>
      <c r="K169" s="67">
        <v>215231</v>
      </c>
      <c r="L169" s="68">
        <v>0</v>
      </c>
      <c r="M169" s="68">
        <v>0</v>
      </c>
      <c r="N169" s="146" t="s">
        <v>329</v>
      </c>
      <c r="O169" s="71">
        <v>36815891565.360001</v>
      </c>
      <c r="P169" s="66">
        <f t="shared" si="120"/>
        <v>7.2314870870221093E-2</v>
      </c>
      <c r="Q169" s="146" t="s">
        <v>329</v>
      </c>
      <c r="R169" s="91">
        <v>10</v>
      </c>
      <c r="S169" s="146" t="s">
        <v>329</v>
      </c>
      <c r="T169" s="91">
        <v>10</v>
      </c>
      <c r="U169" s="67">
        <v>215231</v>
      </c>
      <c r="V169" s="68">
        <v>0</v>
      </c>
      <c r="W169" s="68">
        <v>0</v>
      </c>
      <c r="X169" s="160">
        <f t="shared" si="119"/>
        <v>0</v>
      </c>
      <c r="Y169" s="160">
        <f t="shared" si="126"/>
        <v>-9.0909090909090912E-2</v>
      </c>
      <c r="Z169" s="160">
        <f t="shared" si="126"/>
        <v>0</v>
      </c>
      <c r="AA169" s="160">
        <f t="shared" si="127"/>
        <v>0</v>
      </c>
      <c r="AB169" s="161">
        <f t="shared" si="127"/>
        <v>0</v>
      </c>
    </row>
    <row r="170" spans="1:33">
      <c r="B170" s="101"/>
      <c r="C170" s="75" t="s">
        <v>52</v>
      </c>
      <c r="D170" s="120" t="s">
        <v>329</v>
      </c>
      <c r="E170" s="76">
        <f>SUM(E164:E169)</f>
        <v>509810118982.62</v>
      </c>
      <c r="F170" s="77">
        <f>(E170/$E$238)</f>
        <v>5.601364652737699E-2</v>
      </c>
      <c r="G170" s="146"/>
      <c r="H170" s="78"/>
      <c r="I170" s="78"/>
      <c r="J170" s="102"/>
      <c r="K170" s="80">
        <f>SUM(K164:K169)</f>
        <v>230445</v>
      </c>
      <c r="L170" s="103"/>
      <c r="M170" s="103"/>
      <c r="N170" s="146"/>
      <c r="O170" s="76">
        <f>SUM(O164:O169)</f>
        <v>509105404218.04999</v>
      </c>
      <c r="P170" s="77">
        <f>(O170/$O$238)</f>
        <v>5.6059543577455163E-2</v>
      </c>
      <c r="Q170" s="148"/>
      <c r="R170" s="78"/>
      <c r="S170" s="78"/>
      <c r="T170" s="102"/>
      <c r="U170" s="80">
        <f>SUM(U164:U169)</f>
        <v>230445</v>
      </c>
      <c r="V170" s="103"/>
      <c r="W170" s="103"/>
      <c r="X170" s="160">
        <f t="shared" si="119"/>
        <v>-1.3823083111342319E-3</v>
      </c>
      <c r="Y170" s="160" t="e">
        <f t="shared" si="126"/>
        <v>#DIV/0!</v>
      </c>
      <c r="Z170" s="160">
        <f t="shared" si="126"/>
        <v>0</v>
      </c>
      <c r="AA170" s="160">
        <f t="shared" si="127"/>
        <v>0</v>
      </c>
      <c r="AB170" s="161">
        <f t="shared" si="127"/>
        <v>0</v>
      </c>
    </row>
    <row r="171" spans="1:33" ht="5.25" customHeight="1"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</row>
    <row r="172" spans="1:33" ht="15" customHeight="1">
      <c r="A172" s="166"/>
      <c r="B172" s="220" t="s">
        <v>203</v>
      </c>
      <c r="C172" s="220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</row>
    <row r="173" spans="1:33" ht="13.8" customHeight="1">
      <c r="A173" s="205">
        <v>150</v>
      </c>
      <c r="B173" s="59" t="s">
        <v>204</v>
      </c>
      <c r="C173" s="60" t="s">
        <v>56</v>
      </c>
      <c r="D173" s="146" t="s">
        <v>329</v>
      </c>
      <c r="E173" s="65">
        <v>1035937541.84</v>
      </c>
      <c r="F173" s="66">
        <f t="shared" ref="F173:F200" si="128">(E173/$E$203)</f>
        <v>6.5864413156341336E-3</v>
      </c>
      <c r="G173" s="146" t="s">
        <v>329</v>
      </c>
      <c r="H173" s="65">
        <v>9.69</v>
      </c>
      <c r="I173" s="146" t="s">
        <v>329</v>
      </c>
      <c r="J173" s="65">
        <v>9.8800000000000008</v>
      </c>
      <c r="K173" s="63">
        <v>12002</v>
      </c>
      <c r="L173" s="64">
        <v>4.2209999999999999E-3</v>
      </c>
      <c r="M173" s="64">
        <v>0.23486000000000001</v>
      </c>
      <c r="N173" s="146" t="s">
        <v>329</v>
      </c>
      <c r="O173" s="65">
        <v>1013843955.13</v>
      </c>
      <c r="P173" s="88">
        <f t="shared" ref="P173:P200" si="129">(O173/$O$203)</f>
        <v>6.5925168489460841E-3</v>
      </c>
      <c r="Q173" s="146" t="s">
        <v>329</v>
      </c>
      <c r="R173" s="65">
        <v>9.4700000000000006</v>
      </c>
      <c r="S173" s="146" t="s">
        <v>329</v>
      </c>
      <c r="T173" s="65">
        <v>9.66</v>
      </c>
      <c r="U173" s="63">
        <v>12005</v>
      </c>
      <c r="V173" s="64">
        <v>-2.7109999999999999E-2</v>
      </c>
      <c r="W173" s="64">
        <v>0.20774999999999999</v>
      </c>
      <c r="X173" s="160">
        <f>((O173-E173)/E173)</f>
        <v>-2.1327141664118181E-2</v>
      </c>
      <c r="Y173" s="160">
        <f t="shared" ref="Y173:Z176" si="130">((T173-J173)/J173)</f>
        <v>-2.2267206477732858E-2</v>
      </c>
      <c r="Z173" s="160">
        <f t="shared" si="130"/>
        <v>2.4995834027662057E-4</v>
      </c>
      <c r="AA173" s="160">
        <f t="shared" ref="AA173:AB176" si="131">V173-L173</f>
        <v>-3.1330999999999998E-2</v>
      </c>
      <c r="AB173" s="161">
        <f t="shared" si="131"/>
        <v>-2.7110000000000023E-2</v>
      </c>
      <c r="AD173" s="41"/>
    </row>
    <row r="174" spans="1:33" ht="14.4" customHeight="1">
      <c r="A174" s="205">
        <v>151</v>
      </c>
      <c r="B174" s="59" t="s">
        <v>205</v>
      </c>
      <c r="C174" s="59" t="s">
        <v>206</v>
      </c>
      <c r="D174" s="146" t="s">
        <v>329</v>
      </c>
      <c r="E174" s="65">
        <v>2987957069.3299999</v>
      </c>
      <c r="F174" s="66">
        <f t="shared" si="128"/>
        <v>1.8997288056402689E-2</v>
      </c>
      <c r="G174" s="146" t="s">
        <v>329</v>
      </c>
      <c r="H174" s="65">
        <v>3059.8</v>
      </c>
      <c r="I174" s="146" t="s">
        <v>329</v>
      </c>
      <c r="J174" s="65">
        <v>3081.89</v>
      </c>
      <c r="K174" s="63">
        <v>247</v>
      </c>
      <c r="L174" s="64">
        <v>1.6000000000000001E-3</v>
      </c>
      <c r="M174" s="64">
        <v>0.3931</v>
      </c>
      <c r="N174" s="146" t="s">
        <v>329</v>
      </c>
      <c r="O174" s="65">
        <v>3044954788.3600001</v>
      </c>
      <c r="P174" s="88">
        <f t="shared" si="129"/>
        <v>1.9799808091737731E-2</v>
      </c>
      <c r="Q174" s="146" t="s">
        <v>329</v>
      </c>
      <c r="R174" s="65">
        <v>3031.77</v>
      </c>
      <c r="S174" s="146" t="s">
        <v>329</v>
      </c>
      <c r="T174" s="65">
        <v>3052.44</v>
      </c>
      <c r="U174" s="63">
        <v>247</v>
      </c>
      <c r="V174" s="64">
        <v>-9.4000000000000004E-3</v>
      </c>
      <c r="W174" s="64">
        <v>0.38</v>
      </c>
      <c r="X174" s="160">
        <f>((O174-E174)/E174)</f>
        <v>1.9075815919530933E-2</v>
      </c>
      <c r="Y174" s="160">
        <f t="shared" si="130"/>
        <v>-9.5558245102842151E-3</v>
      </c>
      <c r="Z174" s="160">
        <f t="shared" si="130"/>
        <v>0</v>
      </c>
      <c r="AA174" s="160">
        <f t="shared" si="131"/>
        <v>-1.1000000000000001E-2</v>
      </c>
      <c r="AB174" s="161">
        <f t="shared" si="131"/>
        <v>-1.3100000000000001E-2</v>
      </c>
      <c r="AD174" s="50"/>
      <c r="AE174" s="50"/>
    </row>
    <row r="175" spans="1:33" ht="14.4" customHeight="1">
      <c r="A175" s="205">
        <v>152</v>
      </c>
      <c r="B175" s="59" t="s">
        <v>207</v>
      </c>
      <c r="C175" s="60" t="s">
        <v>23</v>
      </c>
      <c r="D175" s="146" t="s">
        <v>329</v>
      </c>
      <c r="E175" s="65">
        <v>16266163829.83</v>
      </c>
      <c r="F175" s="66">
        <f t="shared" si="128"/>
        <v>0.10341949120346965</v>
      </c>
      <c r="G175" s="146" t="s">
        <v>329</v>
      </c>
      <c r="H175" s="65">
        <v>1410.1747</v>
      </c>
      <c r="I175" s="146" t="s">
        <v>329</v>
      </c>
      <c r="J175" s="65">
        <v>1452.0630799999999</v>
      </c>
      <c r="K175" s="63">
        <v>23484</v>
      </c>
      <c r="L175" s="64">
        <v>4.7999999999999996E-3</v>
      </c>
      <c r="M175" s="64">
        <v>0.33600000000000002</v>
      </c>
      <c r="N175" s="146" t="s">
        <v>329</v>
      </c>
      <c r="O175" s="65">
        <v>15999441607.6</v>
      </c>
      <c r="P175" s="88">
        <f t="shared" si="129"/>
        <v>0.10403631430470708</v>
      </c>
      <c r="Q175" s="146" t="s">
        <v>329</v>
      </c>
      <c r="R175" s="65">
        <v>1389.7630999999999</v>
      </c>
      <c r="S175" s="146" t="s">
        <v>329</v>
      </c>
      <c r="T175" s="65">
        <v>1431.0360800000001</v>
      </c>
      <c r="U175" s="63">
        <v>23500</v>
      </c>
      <c r="V175" s="64">
        <v>-1.4500000000000001E-2</v>
      </c>
      <c r="W175" s="64">
        <v>0.31659999999999999</v>
      </c>
      <c r="X175" s="160">
        <f t="shared" ref="X175:X200" si="132">((O175-E175)/E175)</f>
        <v>-1.6397364800965927E-2</v>
      </c>
      <c r="Y175" s="160">
        <f t="shared" si="130"/>
        <v>-1.4480775862712396E-2</v>
      </c>
      <c r="Z175" s="160">
        <f t="shared" si="130"/>
        <v>6.8131493783001192E-4</v>
      </c>
      <c r="AA175" s="160">
        <f t="shared" si="131"/>
        <v>-1.9300000000000001E-2</v>
      </c>
      <c r="AB175" s="161">
        <f t="shared" si="131"/>
        <v>-1.9400000000000028E-2</v>
      </c>
      <c r="AD175" s="50"/>
      <c r="AE175" s="41"/>
    </row>
    <row r="176" spans="1:33" ht="16.2" customHeight="1">
      <c r="A176" s="205">
        <v>153</v>
      </c>
      <c r="B176" s="59" t="s">
        <v>208</v>
      </c>
      <c r="C176" s="60" t="s">
        <v>128</v>
      </c>
      <c r="D176" s="146" t="s">
        <v>329</v>
      </c>
      <c r="E176" s="71">
        <v>3752337170.71</v>
      </c>
      <c r="F176" s="66">
        <f t="shared" si="128"/>
        <v>2.3857180161129039E-2</v>
      </c>
      <c r="G176" s="146" t="s">
        <v>329</v>
      </c>
      <c r="H176" s="65">
        <v>8.8841999999999999</v>
      </c>
      <c r="I176" s="146" t="s">
        <v>329</v>
      </c>
      <c r="J176" s="65">
        <v>9.1164000000000005</v>
      </c>
      <c r="K176" s="67">
        <v>2741</v>
      </c>
      <c r="L176" s="68">
        <v>-6.0000000000000001E-3</v>
      </c>
      <c r="M176" s="68">
        <v>0.48370000000000002</v>
      </c>
      <c r="N176" s="146" t="s">
        <v>329</v>
      </c>
      <c r="O176" s="71">
        <v>3623577536.04</v>
      </c>
      <c r="P176" s="88">
        <f t="shared" si="129"/>
        <v>2.3562300528529697E-2</v>
      </c>
      <c r="Q176" s="146" t="s">
        <v>329</v>
      </c>
      <c r="R176" s="65">
        <v>8.5820000000000007</v>
      </c>
      <c r="S176" s="146" t="s">
        <v>329</v>
      </c>
      <c r="T176" s="65">
        <v>8.8008000000000006</v>
      </c>
      <c r="U176" s="67">
        <v>2741</v>
      </c>
      <c r="V176" s="68">
        <v>-3.4599999999999999E-2</v>
      </c>
      <c r="W176" s="68">
        <v>0.43240000000000001</v>
      </c>
      <c r="X176" s="160">
        <f t="shared" si="132"/>
        <v>-3.4314516210076286E-2</v>
      </c>
      <c r="Y176" s="160">
        <f t="shared" si="130"/>
        <v>-3.4618928524417517E-2</v>
      </c>
      <c r="Z176" s="160">
        <f t="shared" si="130"/>
        <v>0</v>
      </c>
      <c r="AA176" s="160">
        <f t="shared" si="131"/>
        <v>-2.86E-2</v>
      </c>
      <c r="AB176" s="161">
        <f t="shared" si="131"/>
        <v>-5.1300000000000012E-2</v>
      </c>
      <c r="AC176" s="41"/>
      <c r="AD176" s="41"/>
      <c r="AE176" s="41"/>
      <c r="AG176" s="50"/>
    </row>
    <row r="177" spans="1:33" ht="15.6" customHeight="1">
      <c r="A177" s="205">
        <v>154</v>
      </c>
      <c r="B177" s="59" t="s">
        <v>209</v>
      </c>
      <c r="C177" s="60" t="s">
        <v>27</v>
      </c>
      <c r="D177" s="146" t="s">
        <v>329</v>
      </c>
      <c r="E177" s="71">
        <v>4090760358.0999999</v>
      </c>
      <c r="F177" s="66">
        <f t="shared" si="128"/>
        <v>2.6008858591119132E-2</v>
      </c>
      <c r="G177" s="146" t="s">
        <v>329</v>
      </c>
      <c r="H177" s="65">
        <v>1.7803</v>
      </c>
      <c r="I177" s="146" t="s">
        <v>329</v>
      </c>
      <c r="J177" s="65">
        <v>1.7926</v>
      </c>
      <c r="K177" s="67">
        <v>732</v>
      </c>
      <c r="L177" s="68">
        <v>-1.8E-3</v>
      </c>
      <c r="M177" s="68">
        <v>0.43099999999999999</v>
      </c>
      <c r="N177" s="146" t="s">
        <v>329</v>
      </c>
      <c r="O177" s="71">
        <v>4138095949.29</v>
      </c>
      <c r="P177" s="88">
        <f t="shared" si="129"/>
        <v>2.6907954750050103E-2</v>
      </c>
      <c r="Q177" s="146" t="s">
        <v>329</v>
      </c>
      <c r="R177" s="65">
        <v>1.7647999999999999</v>
      </c>
      <c r="S177" s="146" t="s">
        <v>329</v>
      </c>
      <c r="T177" s="65">
        <v>1.7765</v>
      </c>
      <c r="U177" s="67">
        <v>752</v>
      </c>
      <c r="V177" s="68">
        <v>-8.8000000000000005E-3</v>
      </c>
      <c r="W177" s="68">
        <v>0.41830000000000001</v>
      </c>
      <c r="X177" s="160">
        <f t="shared" ref="X177" si="133">((O177-E177)/E177)</f>
        <v>1.1571342989151683E-2</v>
      </c>
      <c r="Y177" s="160">
        <f t="shared" ref="Y177" si="134">((T177-J177)/J177)</f>
        <v>-8.9813678455874166E-3</v>
      </c>
      <c r="Z177" s="160">
        <f t="shared" ref="Z177" si="135">((U177-K177)/K177)</f>
        <v>2.7322404371584699E-2</v>
      </c>
      <c r="AA177" s="160">
        <f t="shared" ref="AA177" si="136">V177-L177</f>
        <v>-7.000000000000001E-3</v>
      </c>
      <c r="AB177" s="161">
        <f t="shared" ref="AB177" si="137">W177-M177</f>
        <v>-1.2699999999999989E-2</v>
      </c>
      <c r="AD177" s="50"/>
      <c r="AE177" s="50"/>
    </row>
    <row r="178" spans="1:33" ht="16.2" customHeight="1">
      <c r="A178" s="205">
        <v>155</v>
      </c>
      <c r="B178" s="59" t="s">
        <v>210</v>
      </c>
      <c r="C178" s="60" t="s">
        <v>67</v>
      </c>
      <c r="D178" s="146" t="s">
        <v>329</v>
      </c>
      <c r="E178" s="65">
        <v>11669971441.030001</v>
      </c>
      <c r="F178" s="66">
        <f t="shared" si="128"/>
        <v>7.4197119948899326E-2</v>
      </c>
      <c r="G178" s="146" t="s">
        <v>329</v>
      </c>
      <c r="H178" s="65">
        <v>14575.85</v>
      </c>
      <c r="I178" s="146" t="s">
        <v>329</v>
      </c>
      <c r="J178" s="65">
        <v>14676.64</v>
      </c>
      <c r="K178" s="67">
        <v>1677</v>
      </c>
      <c r="L178" s="68">
        <v>-0.1552</v>
      </c>
      <c r="M178" s="68">
        <v>0.68330000000000002</v>
      </c>
      <c r="N178" s="146" t="s">
        <v>329</v>
      </c>
      <c r="O178" s="65">
        <v>11199021714.85</v>
      </c>
      <c r="P178" s="88">
        <f t="shared" si="129"/>
        <v>7.2821600378723858E-2</v>
      </c>
      <c r="Q178" s="146" t="s">
        <v>329</v>
      </c>
      <c r="R178" s="65">
        <v>14247.14</v>
      </c>
      <c r="S178" s="146" t="s">
        <v>329</v>
      </c>
      <c r="T178" s="65">
        <v>14343.98</v>
      </c>
      <c r="U178" s="67">
        <v>1668</v>
      </c>
      <c r="V178" s="68">
        <v>-2.2700000000000001E-2</v>
      </c>
      <c r="W178" s="68">
        <v>0.59189999999999998</v>
      </c>
      <c r="X178" s="160">
        <f t="shared" si="132"/>
        <v>-4.0355687977453515E-2</v>
      </c>
      <c r="Y178" s="160">
        <f t="shared" ref="Y178:Y190" si="138">((T178-J178)/J178)</f>
        <v>-2.2665950789826545E-2</v>
      </c>
      <c r="Z178" s="160">
        <f t="shared" ref="Z178:Z190" si="139">((U178-K178)/K178)</f>
        <v>-5.3667262969588547E-3</v>
      </c>
      <c r="AA178" s="160">
        <f t="shared" ref="AA178:AA190" si="140">V178-L178</f>
        <v>0.13250000000000001</v>
      </c>
      <c r="AB178" s="161">
        <f t="shared" ref="AB178:AB190" si="141">W178-M178</f>
        <v>-9.1400000000000037E-2</v>
      </c>
      <c r="AD178" s="41"/>
      <c r="AE178" s="41"/>
      <c r="AG178" s="50"/>
    </row>
    <row r="179" spans="1:33" ht="16.2" customHeight="1">
      <c r="A179" s="205">
        <v>156</v>
      </c>
      <c r="B179" s="59" t="s">
        <v>211</v>
      </c>
      <c r="C179" s="60" t="s">
        <v>69</v>
      </c>
      <c r="D179" s="146" t="s">
        <v>329</v>
      </c>
      <c r="E179" s="65">
        <v>3090542845.5799999</v>
      </c>
      <c r="F179" s="66">
        <f t="shared" si="128"/>
        <v>1.9649523512499094E-2</v>
      </c>
      <c r="G179" s="146" t="s">
        <v>329</v>
      </c>
      <c r="H179" s="65">
        <v>299.33999999999997</v>
      </c>
      <c r="I179" s="146" t="s">
        <v>329</v>
      </c>
      <c r="J179" s="65">
        <v>301.33</v>
      </c>
      <c r="K179" s="67">
        <v>508</v>
      </c>
      <c r="L179" s="68">
        <v>2.0000000000000001E-4</v>
      </c>
      <c r="M179" s="68">
        <v>0.33700000000000002</v>
      </c>
      <c r="N179" s="146" t="s">
        <v>329</v>
      </c>
      <c r="O179" s="65">
        <v>3359435415.0300002</v>
      </c>
      <c r="P179" s="88">
        <f t="shared" si="129"/>
        <v>2.1844717290533774E-2</v>
      </c>
      <c r="Q179" s="146" t="s">
        <v>329</v>
      </c>
      <c r="R179" s="65">
        <v>293.91000000000003</v>
      </c>
      <c r="S179" s="146" t="s">
        <v>329</v>
      </c>
      <c r="T179" s="65">
        <v>295.60000000000002</v>
      </c>
      <c r="U179" s="67">
        <v>508</v>
      </c>
      <c r="V179" s="68">
        <v>-1.8599999999999998E-2</v>
      </c>
      <c r="W179" s="68">
        <v>0.31290000000000001</v>
      </c>
      <c r="X179" s="160">
        <f t="shared" si="132"/>
        <v>8.7004964139087163E-2</v>
      </c>
      <c r="Y179" s="160">
        <f t="shared" si="138"/>
        <v>-1.9015697076294965E-2</v>
      </c>
      <c r="Z179" s="160">
        <f t="shared" si="139"/>
        <v>0</v>
      </c>
      <c r="AA179" s="160">
        <f t="shared" si="140"/>
        <v>-1.8799999999999997E-2</v>
      </c>
      <c r="AB179" s="161">
        <f t="shared" si="141"/>
        <v>-2.410000000000001E-2</v>
      </c>
    </row>
    <row r="180" spans="1:33" ht="14.4" customHeight="1">
      <c r="A180" s="205">
        <v>157</v>
      </c>
      <c r="B180" s="59" t="s">
        <v>212</v>
      </c>
      <c r="C180" s="60" t="s">
        <v>213</v>
      </c>
      <c r="D180" s="146" t="s">
        <v>329</v>
      </c>
      <c r="E180" s="65">
        <v>6453554491.4399996</v>
      </c>
      <c r="F180" s="66">
        <f t="shared" si="128"/>
        <v>4.103139061802788E-2</v>
      </c>
      <c r="G180" s="146" t="s">
        <v>329</v>
      </c>
      <c r="H180" s="65">
        <v>2.6962999999999999</v>
      </c>
      <c r="I180" s="146" t="s">
        <v>329</v>
      </c>
      <c r="J180" s="65">
        <v>2.7387999999999999</v>
      </c>
      <c r="K180" s="67">
        <v>5635</v>
      </c>
      <c r="L180" s="68">
        <v>-4.5999999999999999E-3</v>
      </c>
      <c r="M180" s="68">
        <v>0.36809999999999998</v>
      </c>
      <c r="N180" s="146" t="s">
        <v>329</v>
      </c>
      <c r="O180" s="65">
        <v>6293706627.2700005</v>
      </c>
      <c r="P180" s="88">
        <f t="shared" si="129"/>
        <v>4.0924805807300874E-2</v>
      </c>
      <c r="Q180" s="146" t="s">
        <v>329</v>
      </c>
      <c r="R180" s="65">
        <v>2.6482000000000001</v>
      </c>
      <c r="S180" s="146" t="s">
        <v>329</v>
      </c>
      <c r="T180" s="65">
        <v>2.6901000000000002</v>
      </c>
      <c r="U180" s="67">
        <v>5707</v>
      </c>
      <c r="V180" s="68">
        <v>-1.78E-2</v>
      </c>
      <c r="W180" s="68">
        <v>0.34549999999999997</v>
      </c>
      <c r="X180" s="160">
        <f t="shared" si="132"/>
        <v>-2.4768964821172808E-2</v>
      </c>
      <c r="Y180" s="160">
        <f t="shared" si="138"/>
        <v>-1.7781510150430752E-2</v>
      </c>
      <c r="Z180" s="160">
        <f t="shared" si="139"/>
        <v>1.2777284826974268E-2</v>
      </c>
      <c r="AA180" s="160">
        <f t="shared" si="140"/>
        <v>-1.32E-2</v>
      </c>
      <c r="AB180" s="161">
        <f t="shared" si="141"/>
        <v>-2.2600000000000009E-2</v>
      </c>
    </row>
    <row r="181" spans="1:33" ht="15.6" customHeight="1">
      <c r="A181" s="205">
        <v>158</v>
      </c>
      <c r="B181" s="59" t="s">
        <v>214</v>
      </c>
      <c r="C181" s="60" t="s">
        <v>29</v>
      </c>
      <c r="D181" s="146" t="s">
        <v>329</v>
      </c>
      <c r="E181" s="82">
        <v>1482410693.4000001</v>
      </c>
      <c r="F181" s="66">
        <f t="shared" si="128"/>
        <v>9.4250962470241468E-3</v>
      </c>
      <c r="G181" s="146" t="s">
        <v>329</v>
      </c>
      <c r="H181" s="65">
        <v>297.0111</v>
      </c>
      <c r="I181" s="146" t="s">
        <v>329</v>
      </c>
      <c r="J181" s="65">
        <v>298.50659999999999</v>
      </c>
      <c r="K181" s="67">
        <v>222</v>
      </c>
      <c r="L181" s="68">
        <v>1.83E-4</v>
      </c>
      <c r="M181" s="68">
        <v>0.40720000000000001</v>
      </c>
      <c r="N181" s="146" t="s">
        <v>329</v>
      </c>
      <c r="O181" s="82">
        <v>1452048212.3900001</v>
      </c>
      <c r="P181" s="88">
        <f t="shared" si="129"/>
        <v>9.441938532281988E-3</v>
      </c>
      <c r="Q181" s="146" t="s">
        <v>329</v>
      </c>
      <c r="R181" s="65">
        <v>291.00470000000001</v>
      </c>
      <c r="S181" s="146" t="s">
        <v>329</v>
      </c>
      <c r="T181" s="65">
        <v>292.43049999999999</v>
      </c>
      <c r="U181" s="67">
        <v>223</v>
      </c>
      <c r="V181" s="68">
        <v>-4.2459999999999998E-3</v>
      </c>
      <c r="W181" s="68">
        <v>0.37909999999999999</v>
      </c>
      <c r="X181" s="160">
        <f t="shared" si="132"/>
        <v>-2.0481828109565083E-2</v>
      </c>
      <c r="Y181" s="160">
        <f t="shared" si="138"/>
        <v>-2.0354993825932147E-2</v>
      </c>
      <c r="Z181" s="160">
        <f t="shared" si="139"/>
        <v>4.5045045045045045E-3</v>
      </c>
      <c r="AA181" s="160">
        <f t="shared" si="140"/>
        <v>-4.4289999999999998E-3</v>
      </c>
      <c r="AB181" s="161">
        <f t="shared" si="141"/>
        <v>-2.8100000000000014E-2</v>
      </c>
    </row>
    <row r="182" spans="1:33" ht="13.8" customHeight="1">
      <c r="A182" s="205">
        <v>159</v>
      </c>
      <c r="B182" s="59" t="s">
        <v>215</v>
      </c>
      <c r="C182" s="60" t="s">
        <v>75</v>
      </c>
      <c r="D182" s="146" t="s">
        <v>329</v>
      </c>
      <c r="E182" s="82">
        <v>2902347675.0799999</v>
      </c>
      <c r="F182" s="66">
        <f t="shared" si="128"/>
        <v>1.8452987624647799E-2</v>
      </c>
      <c r="G182" s="146" t="s">
        <v>329</v>
      </c>
      <c r="H182" s="65">
        <v>215.87</v>
      </c>
      <c r="I182" s="146" t="s">
        <v>329</v>
      </c>
      <c r="J182" s="65">
        <v>216.63</v>
      </c>
      <c r="K182" s="67">
        <v>137</v>
      </c>
      <c r="L182" s="68">
        <v>4.1000000000000003E-3</v>
      </c>
      <c r="M182" s="68">
        <v>0.27300000000000002</v>
      </c>
      <c r="N182" s="146" t="s">
        <v>329</v>
      </c>
      <c r="O182" s="82">
        <v>2392674343.5100002</v>
      </c>
      <c r="P182" s="88">
        <f t="shared" si="129"/>
        <v>1.5558356731148139E-2</v>
      </c>
      <c r="Q182" s="146" t="s">
        <v>329</v>
      </c>
      <c r="R182" s="65">
        <v>210.68</v>
      </c>
      <c r="S182" s="146" t="s">
        <v>329</v>
      </c>
      <c r="T182" s="65">
        <v>211.72</v>
      </c>
      <c r="U182" s="67">
        <v>190</v>
      </c>
      <c r="V182" s="68">
        <v>-2.9700000000000001E-2</v>
      </c>
      <c r="W182" s="68">
        <v>0.24329999999999999</v>
      </c>
      <c r="X182" s="160">
        <f t="shared" si="132"/>
        <v>-0.17560726302576796</v>
      </c>
      <c r="Y182" s="160">
        <f t="shared" si="138"/>
        <v>-2.2665374140239104E-2</v>
      </c>
      <c r="Z182" s="160">
        <f t="shared" si="139"/>
        <v>0.38686131386861317</v>
      </c>
      <c r="AA182" s="160">
        <f t="shared" si="140"/>
        <v>-3.3800000000000004E-2</v>
      </c>
      <c r="AB182" s="161">
        <f t="shared" si="141"/>
        <v>-2.9700000000000032E-2</v>
      </c>
    </row>
    <row r="183" spans="1:33" ht="15.75" customHeight="1">
      <c r="A183" s="205">
        <v>160</v>
      </c>
      <c r="B183" s="59" t="s">
        <v>216</v>
      </c>
      <c r="C183" s="60" t="s">
        <v>78</v>
      </c>
      <c r="D183" s="146" t="s">
        <v>329</v>
      </c>
      <c r="E183" s="71">
        <v>1200114482.3299999</v>
      </c>
      <c r="F183" s="66">
        <f t="shared" si="128"/>
        <v>7.6302704464880034E-3</v>
      </c>
      <c r="G183" s="146" t="s">
        <v>329</v>
      </c>
      <c r="H183" s="65">
        <v>2.2855099999999999</v>
      </c>
      <c r="I183" s="146" t="s">
        <v>329</v>
      </c>
      <c r="J183" s="65">
        <v>2.3199999999999998</v>
      </c>
      <c r="K183" s="67">
        <v>216</v>
      </c>
      <c r="L183" s="68">
        <v>3.7000000000000002E-3</v>
      </c>
      <c r="M183" s="68">
        <v>0.4551</v>
      </c>
      <c r="N183" s="146" t="s">
        <v>329</v>
      </c>
      <c r="O183" s="71">
        <v>1196319919.2</v>
      </c>
      <c r="P183" s="88">
        <f t="shared" si="129"/>
        <v>7.7790661808942183E-3</v>
      </c>
      <c r="Q183" s="146" t="s">
        <v>329</v>
      </c>
      <c r="R183" s="65">
        <v>2.27</v>
      </c>
      <c r="S183" s="146" t="s">
        <v>329</v>
      </c>
      <c r="T183" s="65">
        <v>2.29</v>
      </c>
      <c r="U183" s="67">
        <v>215</v>
      </c>
      <c r="V183" s="68">
        <v>-1.6199999999999999E-2</v>
      </c>
      <c r="W183" s="68">
        <v>0.43490000000000001</v>
      </c>
      <c r="X183" s="160">
        <f t="shared" si="132"/>
        <v>-3.161834296535446E-3</v>
      </c>
      <c r="Y183" s="160">
        <f t="shared" si="138"/>
        <v>-1.2931034482758537E-2</v>
      </c>
      <c r="Z183" s="160">
        <f t="shared" si="139"/>
        <v>-4.6296296296296294E-3</v>
      </c>
      <c r="AA183" s="160">
        <f t="shared" si="140"/>
        <v>-1.9900000000000001E-2</v>
      </c>
      <c r="AB183" s="161">
        <f t="shared" si="141"/>
        <v>-2.0199999999999996E-2</v>
      </c>
      <c r="AD183" s="41"/>
    </row>
    <row r="184" spans="1:33" ht="16.8" customHeight="1">
      <c r="A184" s="205">
        <v>161</v>
      </c>
      <c r="B184" s="59" t="s">
        <v>325</v>
      </c>
      <c r="C184" s="60" t="s">
        <v>79</v>
      </c>
      <c r="D184" s="146" t="s">
        <v>329</v>
      </c>
      <c r="E184" s="65">
        <v>21416494308.540001</v>
      </c>
      <c r="F184" s="66">
        <f t="shared" si="128"/>
        <v>0.13616504591509199</v>
      </c>
      <c r="G184" s="146" t="s">
        <v>329</v>
      </c>
      <c r="H184" s="65">
        <v>603.5</v>
      </c>
      <c r="I184" s="146" t="s">
        <v>329</v>
      </c>
      <c r="J184" s="65">
        <v>608.83000000000004</v>
      </c>
      <c r="K184" s="67">
        <v>5764</v>
      </c>
      <c r="L184" s="68">
        <v>-1.46E-2</v>
      </c>
      <c r="M184" s="68">
        <v>0.40899999999999997</v>
      </c>
      <c r="N184" s="146" t="s">
        <v>329</v>
      </c>
      <c r="O184" s="65">
        <v>21405095349.240002</v>
      </c>
      <c r="P184" s="88">
        <f t="shared" si="129"/>
        <v>0.13918655926203943</v>
      </c>
      <c r="Q184" s="146" t="s">
        <v>329</v>
      </c>
      <c r="R184" s="65">
        <v>595.11</v>
      </c>
      <c r="S184" s="146" t="s">
        <v>329</v>
      </c>
      <c r="T184" s="65">
        <v>600.22</v>
      </c>
      <c r="U184" s="67">
        <v>5579</v>
      </c>
      <c r="V184" s="68">
        <v>-1.4200000000000001E-2</v>
      </c>
      <c r="W184" s="68">
        <v>0.38940000000000002</v>
      </c>
      <c r="X184" s="160">
        <f t="shared" si="132"/>
        <v>-5.3225141032787093E-4</v>
      </c>
      <c r="Y184" s="160">
        <f t="shared" si="138"/>
        <v>-1.4141878685347328E-2</v>
      </c>
      <c r="Z184" s="160">
        <f t="shared" si="139"/>
        <v>-3.2095766828591256E-2</v>
      </c>
      <c r="AA184" s="160">
        <f t="shared" si="140"/>
        <v>3.9999999999999931E-4</v>
      </c>
      <c r="AB184" s="161">
        <f t="shared" si="141"/>
        <v>-1.9599999999999951E-2</v>
      </c>
    </row>
    <row r="185" spans="1:33" ht="13.8" customHeight="1">
      <c r="A185" s="205">
        <v>162</v>
      </c>
      <c r="B185" s="59" t="s">
        <v>217</v>
      </c>
      <c r="C185" s="60" t="s">
        <v>87</v>
      </c>
      <c r="D185" s="146" t="s">
        <v>329</v>
      </c>
      <c r="E185" s="65">
        <v>5670346125.8900003</v>
      </c>
      <c r="F185" s="66">
        <f t="shared" si="128"/>
        <v>3.6051789310746041E-2</v>
      </c>
      <c r="G185" s="146" t="s">
        <v>329</v>
      </c>
      <c r="H185" s="65">
        <v>3.8955000000000002</v>
      </c>
      <c r="I185" s="146" t="s">
        <v>329</v>
      </c>
      <c r="J185" s="65">
        <v>3.9687999999999999</v>
      </c>
      <c r="K185" s="67">
        <v>10198</v>
      </c>
      <c r="L185" s="68">
        <v>-7.7000000000000002E-3</v>
      </c>
      <c r="M185" s="68">
        <v>0.27229999999999999</v>
      </c>
      <c r="N185" s="146" t="s">
        <v>329</v>
      </c>
      <c r="O185" s="65">
        <v>5553631008.5100002</v>
      </c>
      <c r="P185" s="88">
        <f t="shared" si="129"/>
        <v>3.6112466628789038E-2</v>
      </c>
      <c r="Q185" s="146" t="s">
        <v>329</v>
      </c>
      <c r="R185" s="65">
        <v>3.8163</v>
      </c>
      <c r="S185" s="146" t="s">
        <v>329</v>
      </c>
      <c r="T185" s="65">
        <v>3.8862999999999999</v>
      </c>
      <c r="U185" s="67">
        <v>10199</v>
      </c>
      <c r="V185" s="68">
        <v>-2.06E-2</v>
      </c>
      <c r="W185" s="68">
        <v>0.24610000000000001</v>
      </c>
      <c r="X185" s="160">
        <f t="shared" si="132"/>
        <v>-2.0583420269019444E-2</v>
      </c>
      <c r="Y185" s="160">
        <f t="shared" si="138"/>
        <v>-2.078713968957872E-2</v>
      </c>
      <c r="Z185" s="160">
        <f t="shared" si="139"/>
        <v>9.8058442831927827E-5</v>
      </c>
      <c r="AA185" s="160">
        <f t="shared" si="140"/>
        <v>-1.29E-2</v>
      </c>
      <c r="AB185" s="161">
        <f t="shared" si="141"/>
        <v>-2.6199999999999973E-2</v>
      </c>
    </row>
    <row r="186" spans="1:33" ht="16.2" customHeight="1">
      <c r="A186" s="205">
        <v>163</v>
      </c>
      <c r="B186" s="59" t="s">
        <v>218</v>
      </c>
      <c r="C186" s="60" t="s">
        <v>89</v>
      </c>
      <c r="D186" s="146" t="s">
        <v>329</v>
      </c>
      <c r="E186" s="65">
        <v>39989733.850000001</v>
      </c>
      <c r="F186" s="66">
        <f t="shared" si="128"/>
        <v>2.5425281408667519E-4</v>
      </c>
      <c r="G186" s="146" t="s">
        <v>329</v>
      </c>
      <c r="H186" s="65">
        <v>368.79</v>
      </c>
      <c r="I186" s="146" t="s">
        <v>329</v>
      </c>
      <c r="J186" s="65">
        <v>368.79</v>
      </c>
      <c r="K186" s="67">
        <v>37</v>
      </c>
      <c r="L186" s="68">
        <v>6.0000000000000001E-3</v>
      </c>
      <c r="M186" s="68">
        <v>0.46579999999999999</v>
      </c>
      <c r="N186" s="146" t="s">
        <v>329</v>
      </c>
      <c r="O186" s="65">
        <v>392611934.86000001</v>
      </c>
      <c r="P186" s="88">
        <f t="shared" si="129"/>
        <v>2.5529577629429057E-3</v>
      </c>
      <c r="Q186" s="146" t="s">
        <v>329</v>
      </c>
      <c r="R186" s="65">
        <v>3662.06</v>
      </c>
      <c r="S186" s="146" t="s">
        <v>329</v>
      </c>
      <c r="T186" s="65">
        <v>362.06</v>
      </c>
      <c r="U186" s="67">
        <v>37</v>
      </c>
      <c r="V186" s="68">
        <v>-1.83E-2</v>
      </c>
      <c r="W186" s="68">
        <v>0.38779999999999998</v>
      </c>
      <c r="X186" s="160">
        <f t="shared" si="132"/>
        <v>8.8178181513453602</v>
      </c>
      <c r="Y186" s="160">
        <f t="shared" si="138"/>
        <v>-1.824886791941218E-2</v>
      </c>
      <c r="Z186" s="160">
        <f t="shared" si="139"/>
        <v>0</v>
      </c>
      <c r="AA186" s="160">
        <f t="shared" si="140"/>
        <v>-2.4300000000000002E-2</v>
      </c>
      <c r="AB186" s="161">
        <f t="shared" si="141"/>
        <v>-7.8000000000000014E-2</v>
      </c>
    </row>
    <row r="187" spans="1:33" ht="13.8" customHeight="1">
      <c r="A187" s="205">
        <v>164</v>
      </c>
      <c r="B187" s="59" t="s">
        <v>219</v>
      </c>
      <c r="C187" s="59" t="s">
        <v>91</v>
      </c>
      <c r="D187" s="146" t="s">
        <v>329</v>
      </c>
      <c r="E187" s="87">
        <v>81776057.549999997</v>
      </c>
      <c r="F187" s="66">
        <f t="shared" si="128"/>
        <v>5.1992826046281377E-4</v>
      </c>
      <c r="G187" s="146" t="s">
        <v>329</v>
      </c>
      <c r="H187" s="65">
        <v>1.58</v>
      </c>
      <c r="I187" s="146" t="s">
        <v>329</v>
      </c>
      <c r="J187" s="65">
        <v>1.58</v>
      </c>
      <c r="K187" s="67">
        <v>30</v>
      </c>
      <c r="L187" s="68">
        <v>4.4000000000000003E-3</v>
      </c>
      <c r="M187" s="68">
        <v>9.8900000000000002E-2</v>
      </c>
      <c r="N187" s="146" t="s">
        <v>329</v>
      </c>
      <c r="O187" s="87">
        <v>80074483.620000005</v>
      </c>
      <c r="P187" s="88">
        <f t="shared" si="129"/>
        <v>5.2068405573106006E-4</v>
      </c>
      <c r="Q187" s="146" t="s">
        <v>329</v>
      </c>
      <c r="R187" s="65">
        <v>1.54</v>
      </c>
      <c r="S187" s="146" t="s">
        <v>329</v>
      </c>
      <c r="T187" s="65">
        <v>1.54</v>
      </c>
      <c r="U187" s="67">
        <v>30</v>
      </c>
      <c r="V187" s="68">
        <v>-2.12E-2</v>
      </c>
      <c r="W187" s="68">
        <v>7.5800000000000006E-2</v>
      </c>
      <c r="X187" s="160">
        <f t="shared" si="132"/>
        <v>-2.0807727603640049E-2</v>
      </c>
      <c r="Y187" s="160">
        <f t="shared" si="138"/>
        <v>-2.5316455696202552E-2</v>
      </c>
      <c r="Z187" s="160">
        <f t="shared" si="139"/>
        <v>0</v>
      </c>
      <c r="AA187" s="160">
        <f t="shared" si="140"/>
        <v>-2.5600000000000001E-2</v>
      </c>
      <c r="AB187" s="161">
        <f t="shared" si="141"/>
        <v>-2.3099999999999996E-2</v>
      </c>
    </row>
    <row r="188" spans="1:33" ht="13.5" customHeight="1">
      <c r="A188" s="205">
        <v>165</v>
      </c>
      <c r="B188" s="59" t="s">
        <v>220</v>
      </c>
      <c r="C188" s="60" t="s">
        <v>35</v>
      </c>
      <c r="D188" s="146" t="s">
        <v>329</v>
      </c>
      <c r="E188" s="71">
        <v>14702093895.049999</v>
      </c>
      <c r="F188" s="66">
        <f t="shared" si="128"/>
        <v>9.3475209407601248E-2</v>
      </c>
      <c r="G188" s="146" t="s">
        <v>329</v>
      </c>
      <c r="H188" s="65">
        <v>8.0650999999999993</v>
      </c>
      <c r="I188" s="146" t="s">
        <v>329</v>
      </c>
      <c r="J188" s="65">
        <v>8.1854999999999993</v>
      </c>
      <c r="K188" s="67">
        <v>12211</v>
      </c>
      <c r="L188" s="68">
        <v>-1.7000000000000001E-2</v>
      </c>
      <c r="M188" s="68">
        <v>0.29880000000000001</v>
      </c>
      <c r="N188" s="146" t="s">
        <v>329</v>
      </c>
      <c r="O188" s="71">
        <v>14331282954.43</v>
      </c>
      <c r="P188" s="88">
        <f t="shared" si="129"/>
        <v>9.3189118370764476E-2</v>
      </c>
      <c r="Q188" s="146" t="s">
        <v>329</v>
      </c>
      <c r="R188" s="65">
        <v>8.1</v>
      </c>
      <c r="S188" s="146" t="s">
        <v>329</v>
      </c>
      <c r="T188" s="65">
        <v>7.97</v>
      </c>
      <c r="U188" s="67">
        <v>12378</v>
      </c>
      <c r="V188" s="68">
        <v>4.1999999999999997E-3</v>
      </c>
      <c r="W188" s="68">
        <v>0.30420000000000003</v>
      </c>
      <c r="X188" s="160">
        <f t="shared" si="132"/>
        <v>-2.5221641438764451E-2</v>
      </c>
      <c r="Y188" s="160">
        <f t="shared" si="138"/>
        <v>-2.632704172011479E-2</v>
      </c>
      <c r="Z188" s="160">
        <f t="shared" si="139"/>
        <v>1.3676193595938088E-2</v>
      </c>
      <c r="AA188" s="160">
        <f t="shared" si="140"/>
        <v>2.12E-2</v>
      </c>
      <c r="AB188" s="161">
        <f t="shared" si="141"/>
        <v>5.4000000000000159E-3</v>
      </c>
      <c r="AD188" s="41"/>
    </row>
    <row r="189" spans="1:33" ht="13.5" customHeight="1">
      <c r="A189" s="205">
        <v>166</v>
      </c>
      <c r="B189" s="59" t="s">
        <v>221</v>
      </c>
      <c r="C189" s="60" t="s">
        <v>222</v>
      </c>
      <c r="D189" s="146" t="s">
        <v>329</v>
      </c>
      <c r="E189" s="71">
        <v>173609365.94</v>
      </c>
      <c r="F189" s="66">
        <f t="shared" si="128"/>
        <v>1.1038000404708466E-3</v>
      </c>
      <c r="G189" s="146" t="s">
        <v>329</v>
      </c>
      <c r="H189" s="65">
        <v>3.3818999999999999</v>
      </c>
      <c r="I189" s="146" t="s">
        <v>329</v>
      </c>
      <c r="J189" s="65">
        <v>3.4043999999999999</v>
      </c>
      <c r="K189" s="67">
        <v>140</v>
      </c>
      <c r="L189" s="68">
        <v>2.9999999999999997E-4</v>
      </c>
      <c r="M189" s="68">
        <v>0.214</v>
      </c>
      <c r="N189" s="146" t="s">
        <v>329</v>
      </c>
      <c r="O189" s="71">
        <v>170490523.53999999</v>
      </c>
      <c r="P189" s="88">
        <f t="shared" si="129"/>
        <v>1.1086140459149545E-3</v>
      </c>
      <c r="Q189" s="146" t="s">
        <v>329</v>
      </c>
      <c r="R189" s="65">
        <v>3.3220000000000001</v>
      </c>
      <c r="S189" s="146" t="s">
        <v>329</v>
      </c>
      <c r="T189" s="65">
        <v>3.3412999999999999</v>
      </c>
      <c r="U189" s="67">
        <v>142</v>
      </c>
      <c r="V189" s="68">
        <v>-1.8200000000000001E-2</v>
      </c>
      <c r="W189" s="68">
        <v>0.19189999999999999</v>
      </c>
      <c r="X189" s="160">
        <f t="shared" si="132"/>
        <v>-1.7964712808627437E-2</v>
      </c>
      <c r="Y189" s="160">
        <f t="shared" si="138"/>
        <v>-1.853483726941603E-2</v>
      </c>
      <c r="Z189" s="160">
        <f t="shared" si="139"/>
        <v>1.4285714285714285E-2</v>
      </c>
      <c r="AA189" s="160">
        <f t="shared" si="140"/>
        <v>-1.8500000000000003E-2</v>
      </c>
      <c r="AB189" s="161">
        <f t="shared" si="141"/>
        <v>-2.2100000000000009E-2</v>
      </c>
    </row>
    <row r="190" spans="1:33" ht="15" customHeight="1">
      <c r="A190" s="205">
        <v>167</v>
      </c>
      <c r="B190" s="59" t="s">
        <v>223</v>
      </c>
      <c r="C190" s="60" t="s">
        <v>143</v>
      </c>
      <c r="D190" s="146" t="s">
        <v>329</v>
      </c>
      <c r="E190" s="71">
        <v>2227166012.9000001</v>
      </c>
      <c r="F190" s="66">
        <f t="shared" si="128"/>
        <v>1.4160214927712638E-2</v>
      </c>
      <c r="G190" s="146" t="s">
        <v>329</v>
      </c>
      <c r="H190" s="65">
        <v>496.88</v>
      </c>
      <c r="I190" s="146" t="s">
        <v>329</v>
      </c>
      <c r="J190" s="65">
        <v>501.88</v>
      </c>
      <c r="K190" s="67">
        <v>158</v>
      </c>
      <c r="L190" s="68">
        <v>1.37E-2</v>
      </c>
      <c r="M190" s="68">
        <v>0.3962</v>
      </c>
      <c r="N190" s="146" t="s">
        <v>329</v>
      </c>
      <c r="O190" s="71">
        <v>2213477189.9000001</v>
      </c>
      <c r="P190" s="88">
        <f t="shared" si="129"/>
        <v>1.4393127852996348E-2</v>
      </c>
      <c r="Q190" s="146" t="s">
        <v>329</v>
      </c>
      <c r="R190" s="65">
        <v>487.8</v>
      </c>
      <c r="S190" s="146" t="s">
        <v>329</v>
      </c>
      <c r="T190" s="65">
        <v>492.52</v>
      </c>
      <c r="U190" s="67">
        <v>158</v>
      </c>
      <c r="V190" s="68">
        <v>1.37E-2</v>
      </c>
      <c r="W190" s="68">
        <v>0.37069999999999997</v>
      </c>
      <c r="X190" s="160">
        <f t="shared" si="132"/>
        <v>-6.146296648167569E-3</v>
      </c>
      <c r="Y190" s="160">
        <f t="shared" si="138"/>
        <v>-1.8649876464493533E-2</v>
      </c>
      <c r="Z190" s="160">
        <f t="shared" si="139"/>
        <v>0</v>
      </c>
      <c r="AA190" s="160">
        <f t="shared" si="140"/>
        <v>0</v>
      </c>
      <c r="AB190" s="161">
        <f t="shared" si="141"/>
        <v>-2.5500000000000023E-2</v>
      </c>
    </row>
    <row r="191" spans="1:33" ht="15.6" customHeight="1">
      <c r="A191" s="205">
        <v>168</v>
      </c>
      <c r="B191" s="59" t="s">
        <v>313</v>
      </c>
      <c r="C191" s="60" t="s">
        <v>312</v>
      </c>
      <c r="D191" s="146" t="s">
        <v>329</v>
      </c>
      <c r="E191" s="65">
        <v>51907130.289999999</v>
      </c>
      <c r="F191" s="66">
        <f t="shared" si="128"/>
        <v>3.3002305033836069E-4</v>
      </c>
      <c r="G191" s="146" t="s">
        <v>329</v>
      </c>
      <c r="H191" s="65">
        <v>1</v>
      </c>
      <c r="I191" s="146" t="s">
        <v>329</v>
      </c>
      <c r="J191" s="65">
        <v>1</v>
      </c>
      <c r="K191" s="67">
        <v>5</v>
      </c>
      <c r="L191" s="68">
        <v>1.323E-3</v>
      </c>
      <c r="M191" s="68">
        <v>0</v>
      </c>
      <c r="N191" s="146" t="s">
        <v>329</v>
      </c>
      <c r="O191" s="65">
        <v>51892442.950000003</v>
      </c>
      <c r="P191" s="88">
        <f t="shared" si="129"/>
        <v>3.3743043271090227E-4</v>
      </c>
      <c r="Q191" s="146" t="s">
        <v>329</v>
      </c>
      <c r="R191" s="65">
        <v>1</v>
      </c>
      <c r="S191" s="146" t="s">
        <v>329</v>
      </c>
      <c r="T191" s="65">
        <v>1</v>
      </c>
      <c r="U191" s="67">
        <v>5</v>
      </c>
      <c r="V191" s="68">
        <v>-2.8299999999999999E-4</v>
      </c>
      <c r="W191" s="68">
        <v>0</v>
      </c>
      <c r="X191" s="160">
        <f t="shared" ref="X191" si="142">((O191-E191)/E191)</f>
        <v>-2.8295418987602303E-4</v>
      </c>
      <c r="Y191" s="160">
        <f t="shared" ref="Y191" si="143">((T191-J191)/J191)</f>
        <v>0</v>
      </c>
      <c r="Z191" s="160">
        <f t="shared" ref="Z191" si="144">((U191-K191)/K191)</f>
        <v>0</v>
      </c>
      <c r="AA191" s="160">
        <f t="shared" ref="AA191" si="145">V191-L191</f>
        <v>-1.606E-3</v>
      </c>
      <c r="AB191" s="161">
        <f t="shared" ref="AB191" si="146">W191-M191</f>
        <v>0</v>
      </c>
    </row>
    <row r="192" spans="1:33" ht="16.8" customHeight="1">
      <c r="A192" s="205">
        <v>169</v>
      </c>
      <c r="B192" s="59" t="s">
        <v>224</v>
      </c>
      <c r="C192" s="60" t="s">
        <v>31</v>
      </c>
      <c r="D192" s="146" t="s">
        <v>329</v>
      </c>
      <c r="E192" s="71">
        <v>3258698882.02</v>
      </c>
      <c r="F192" s="66">
        <f t="shared" si="128"/>
        <v>2.0718651544981148E-2</v>
      </c>
      <c r="G192" s="146" t="s">
        <v>329</v>
      </c>
      <c r="H192" s="65">
        <v>552.22</v>
      </c>
      <c r="I192" s="146" t="s">
        <v>329</v>
      </c>
      <c r="J192" s="65">
        <v>552.22</v>
      </c>
      <c r="K192" s="67">
        <v>823</v>
      </c>
      <c r="L192" s="68">
        <v>6.7699999999999996E-2</v>
      </c>
      <c r="M192" s="68">
        <v>0.51259999999999994</v>
      </c>
      <c r="N192" s="146" t="s">
        <v>329</v>
      </c>
      <c r="O192" s="71">
        <v>3228125336.48</v>
      </c>
      <c r="P192" s="88">
        <f t="shared" si="129"/>
        <v>2.0990873954094182E-2</v>
      </c>
      <c r="Q192" s="146" t="s">
        <v>329</v>
      </c>
      <c r="R192" s="65">
        <v>552.22</v>
      </c>
      <c r="S192" s="146" t="s">
        <v>329</v>
      </c>
      <c r="T192" s="65">
        <v>552.22</v>
      </c>
      <c r="U192" s="67">
        <v>823</v>
      </c>
      <c r="V192" s="68">
        <v>-9.4000000000000004E-3</v>
      </c>
      <c r="W192" s="68">
        <v>0.49840000000000001</v>
      </c>
      <c r="X192" s="160">
        <f t="shared" si="132"/>
        <v>-9.3821327612350781E-3</v>
      </c>
      <c r="Y192" s="160">
        <f t="shared" ref="Y192:Z194" si="147">((T192-J192)/J192)</f>
        <v>0</v>
      </c>
      <c r="Z192" s="160">
        <f t="shared" si="147"/>
        <v>0</v>
      </c>
      <c r="AA192" s="160">
        <f t="shared" ref="AA192:AB194" si="148">V192-L192</f>
        <v>-7.7100000000000002E-2</v>
      </c>
      <c r="AB192" s="161">
        <f t="shared" si="148"/>
        <v>-1.4199999999999935E-2</v>
      </c>
    </row>
    <row r="193" spans="1:31" ht="16.2" customHeight="1">
      <c r="A193" s="205">
        <v>170</v>
      </c>
      <c r="B193" s="59" t="s">
        <v>225</v>
      </c>
      <c r="C193" s="60" t="s">
        <v>100</v>
      </c>
      <c r="D193" s="146" t="s">
        <v>329</v>
      </c>
      <c r="E193" s="65">
        <v>68244918.549999997</v>
      </c>
      <c r="F193" s="66">
        <f t="shared" si="128"/>
        <v>4.3389792624122303E-4</v>
      </c>
      <c r="G193" s="146" t="s">
        <v>329</v>
      </c>
      <c r="H193" s="65">
        <v>3.67</v>
      </c>
      <c r="I193" s="146" t="s">
        <v>329</v>
      </c>
      <c r="J193" s="65">
        <v>3.67</v>
      </c>
      <c r="K193" s="67">
        <v>10</v>
      </c>
      <c r="L193" s="68">
        <v>1.4500000000000001E-2</v>
      </c>
      <c r="M193" s="68">
        <v>0.39889999999999998</v>
      </c>
      <c r="N193" s="146" t="s">
        <v>329</v>
      </c>
      <c r="O193" s="65">
        <v>67586647.579999998</v>
      </c>
      <c r="P193" s="88">
        <f t="shared" si="129"/>
        <v>4.3948194461325998E-4</v>
      </c>
      <c r="Q193" s="146" t="s">
        <v>329</v>
      </c>
      <c r="R193" s="65">
        <v>3.64</v>
      </c>
      <c r="S193" s="146" t="s">
        <v>329</v>
      </c>
      <c r="T193" s="65">
        <v>3.64</v>
      </c>
      <c r="U193" s="67">
        <v>10</v>
      </c>
      <c r="V193" s="68">
        <v>-8.6999999999999994E-3</v>
      </c>
      <c r="W193" s="68">
        <v>0.38769999999999999</v>
      </c>
      <c r="X193" s="160">
        <f t="shared" si="132"/>
        <v>-9.6457140544129027E-3</v>
      </c>
      <c r="Y193" s="160">
        <f t="shared" si="147"/>
        <v>-8.1743869209808737E-3</v>
      </c>
      <c r="Z193" s="160">
        <f t="shared" si="147"/>
        <v>0</v>
      </c>
      <c r="AA193" s="160">
        <f t="shared" si="148"/>
        <v>-2.3199999999999998E-2</v>
      </c>
      <c r="AB193" s="161">
        <f t="shared" si="148"/>
        <v>-1.1199999999999988E-2</v>
      </c>
      <c r="AE193" s="50"/>
    </row>
    <row r="194" spans="1:31" ht="15.6" customHeight="1">
      <c r="A194" s="205">
        <v>171</v>
      </c>
      <c r="B194" s="59" t="s">
        <v>226</v>
      </c>
      <c r="C194" s="60" t="s">
        <v>42</v>
      </c>
      <c r="D194" s="146" t="s">
        <v>329</v>
      </c>
      <c r="E194" s="65">
        <v>730189086.48000002</v>
      </c>
      <c r="F194" s="66">
        <f t="shared" si="128"/>
        <v>4.642507268222758E-3</v>
      </c>
      <c r="G194" s="146" t="s">
        <v>329</v>
      </c>
      <c r="H194" s="65">
        <v>4.8099999999999996</v>
      </c>
      <c r="I194" s="146" t="s">
        <v>329</v>
      </c>
      <c r="J194" s="65">
        <v>4.8600000000000003</v>
      </c>
      <c r="K194" s="67">
        <v>140</v>
      </c>
      <c r="L194" s="68">
        <v>-2.0999999999999999E-3</v>
      </c>
      <c r="M194" s="68">
        <v>3.5999999999999999E-3</v>
      </c>
      <c r="N194" s="146" t="s">
        <v>329</v>
      </c>
      <c r="O194" s="65">
        <v>703368116.07000005</v>
      </c>
      <c r="P194" s="88">
        <f t="shared" si="129"/>
        <v>4.57364876788003E-3</v>
      </c>
      <c r="Q194" s="146" t="s">
        <v>329</v>
      </c>
      <c r="R194" s="65">
        <v>4.63</v>
      </c>
      <c r="S194" s="146" t="s">
        <v>329</v>
      </c>
      <c r="T194" s="65">
        <v>4.66</v>
      </c>
      <c r="U194" s="67">
        <v>140</v>
      </c>
      <c r="V194" s="68">
        <v>-4.1200000000000001E-2</v>
      </c>
      <c r="W194" s="68">
        <v>3.0999999999999999E-3</v>
      </c>
      <c r="X194" s="160">
        <f t="shared" si="132"/>
        <v>-3.6731541057803248E-2</v>
      </c>
      <c r="Y194" s="160">
        <f t="shared" si="147"/>
        <v>-4.1152263374485631E-2</v>
      </c>
      <c r="Z194" s="160">
        <f t="shared" si="147"/>
        <v>0</v>
      </c>
      <c r="AA194" s="160">
        <f t="shared" si="148"/>
        <v>-3.9100000000000003E-2</v>
      </c>
      <c r="AB194" s="161">
        <f t="shared" si="148"/>
        <v>-5.0000000000000001E-4</v>
      </c>
      <c r="AD194" s="41"/>
      <c r="AE194" s="41"/>
    </row>
    <row r="195" spans="1:31" ht="13.8" customHeight="1">
      <c r="A195" s="205">
        <v>172</v>
      </c>
      <c r="B195" s="59" t="s">
        <v>300</v>
      </c>
      <c r="C195" s="60" t="s">
        <v>301</v>
      </c>
      <c r="D195" s="146" t="s">
        <v>329</v>
      </c>
      <c r="E195" s="65">
        <v>294765772.70999998</v>
      </c>
      <c r="F195" s="66">
        <f t="shared" si="128"/>
        <v>1.874106676705246E-3</v>
      </c>
      <c r="G195" s="146" t="s">
        <v>329</v>
      </c>
      <c r="H195" s="65">
        <v>144.44999999999999</v>
      </c>
      <c r="I195" s="146" t="s">
        <v>329</v>
      </c>
      <c r="J195" s="65">
        <v>145.32</v>
      </c>
      <c r="K195" s="67">
        <v>117</v>
      </c>
      <c r="L195" s="68">
        <v>1.06E-2</v>
      </c>
      <c r="M195" s="68">
        <v>0.25319999999999998</v>
      </c>
      <c r="N195" s="146" t="s">
        <v>329</v>
      </c>
      <c r="O195" s="65">
        <v>284764849.94</v>
      </c>
      <c r="P195" s="66">
        <f t="shared" si="129"/>
        <v>1.8516824622940467E-3</v>
      </c>
      <c r="Q195" s="146" t="s">
        <v>329</v>
      </c>
      <c r="R195" s="65">
        <v>139.49</v>
      </c>
      <c r="S195" s="146" t="s">
        <v>329</v>
      </c>
      <c r="T195" s="65">
        <v>140.43</v>
      </c>
      <c r="U195" s="67">
        <v>117</v>
      </c>
      <c r="V195" s="68">
        <v>-3.4000000000000002E-2</v>
      </c>
      <c r="W195" s="68">
        <v>0.21010000000000001</v>
      </c>
      <c r="X195" s="160">
        <f t="shared" ref="X195" si="149">((O195-E195)/E195)</f>
        <v>-3.3928371934278848E-2</v>
      </c>
      <c r="Y195" s="160">
        <f t="shared" ref="Y195" si="150">((T195-J195)/J195)</f>
        <v>-3.3649876135425173E-2</v>
      </c>
      <c r="Z195" s="160">
        <f t="shared" ref="Z195" si="151">((U195-K195)/K195)</f>
        <v>0</v>
      </c>
      <c r="AA195" s="160">
        <f t="shared" ref="AA195" si="152">V195-L195</f>
        <v>-4.4600000000000001E-2</v>
      </c>
      <c r="AB195" s="161">
        <f t="shared" ref="AB195" si="153">W195-M195</f>
        <v>-4.3099999999999972E-2</v>
      </c>
    </row>
    <row r="196" spans="1:31" ht="14.4" customHeight="1">
      <c r="A196" s="205">
        <v>173</v>
      </c>
      <c r="B196" s="59" t="s">
        <v>227</v>
      </c>
      <c r="C196" s="60" t="s">
        <v>46</v>
      </c>
      <c r="D196" s="146" t="s">
        <v>329</v>
      </c>
      <c r="E196" s="71">
        <v>15740556150.4</v>
      </c>
      <c r="F196" s="66">
        <f t="shared" si="128"/>
        <v>0.10007770273091035</v>
      </c>
      <c r="G196" s="146" t="s">
        <v>329</v>
      </c>
      <c r="H196" s="65">
        <v>13618.67</v>
      </c>
      <c r="I196" s="146" t="s">
        <v>329</v>
      </c>
      <c r="J196" s="65">
        <v>13748.38</v>
      </c>
      <c r="K196" s="67">
        <v>8202</v>
      </c>
      <c r="L196" s="68">
        <v>3.0999999999999999E-3</v>
      </c>
      <c r="M196" s="68">
        <v>0.41299999999999998</v>
      </c>
      <c r="N196" s="146" t="s">
        <v>329</v>
      </c>
      <c r="O196" s="71">
        <v>15130245652.950001</v>
      </c>
      <c r="P196" s="66">
        <f t="shared" si="129"/>
        <v>9.8384370583909198E-2</v>
      </c>
      <c r="Q196" s="146" t="s">
        <v>329</v>
      </c>
      <c r="R196" s="65">
        <v>13281.25</v>
      </c>
      <c r="S196" s="146" t="s">
        <v>329</v>
      </c>
      <c r="T196" s="65">
        <v>13406.91</v>
      </c>
      <c r="U196" s="67">
        <v>8354</v>
      </c>
      <c r="V196" s="68">
        <v>-2.5000000000000001E-2</v>
      </c>
      <c r="W196" s="68">
        <v>0.37769999999999998</v>
      </c>
      <c r="X196" s="160">
        <f t="shared" si="132"/>
        <v>-3.877312158595423E-2</v>
      </c>
      <c r="Y196" s="160">
        <f t="shared" ref="Y196:Z200" si="154">((T196-J196)/J196)</f>
        <v>-2.4837108081097507E-2</v>
      </c>
      <c r="Z196" s="160">
        <f t="shared" si="154"/>
        <v>1.8532065349914657E-2</v>
      </c>
      <c r="AA196" s="160">
        <f t="shared" ref="AA196:AB200" si="155">V196-L196</f>
        <v>-2.81E-2</v>
      </c>
      <c r="AB196" s="161">
        <f t="shared" si="155"/>
        <v>-3.5299999999999998E-2</v>
      </c>
    </row>
    <row r="197" spans="1:31" ht="13.2" customHeight="1">
      <c r="A197" s="205">
        <v>174</v>
      </c>
      <c r="B197" s="59" t="s">
        <v>228</v>
      </c>
      <c r="C197" s="59" t="s">
        <v>110</v>
      </c>
      <c r="D197" s="146" t="s">
        <v>329</v>
      </c>
      <c r="E197" s="71">
        <v>278922660.32999998</v>
      </c>
      <c r="F197" s="66">
        <f t="shared" si="128"/>
        <v>1.7733769263744261E-3</v>
      </c>
      <c r="G197" s="146" t="s">
        <v>329</v>
      </c>
      <c r="H197" s="65">
        <v>1867.38</v>
      </c>
      <c r="I197" s="146" t="s">
        <v>329</v>
      </c>
      <c r="J197" s="65">
        <v>1894.71</v>
      </c>
      <c r="K197" s="67">
        <v>161</v>
      </c>
      <c r="L197" s="68">
        <v>2.3999999999999998E-3</v>
      </c>
      <c r="M197" s="68">
        <v>0.27310000000000001</v>
      </c>
      <c r="N197" s="146" t="s">
        <v>329</v>
      </c>
      <c r="O197" s="71">
        <v>276275052.17000002</v>
      </c>
      <c r="P197" s="66">
        <f t="shared" si="129"/>
        <v>1.7964775813459791E-3</v>
      </c>
      <c r="Q197" s="146" t="s">
        <v>329</v>
      </c>
      <c r="R197" s="65">
        <v>1827.32</v>
      </c>
      <c r="S197" s="146" t="s">
        <v>329</v>
      </c>
      <c r="T197" s="65">
        <v>1852.72</v>
      </c>
      <c r="U197" s="67">
        <v>168</v>
      </c>
      <c r="V197" s="68">
        <v>-2.1499999999999998E-2</v>
      </c>
      <c r="W197" s="68">
        <v>0.23549999999999999</v>
      </c>
      <c r="X197" s="160">
        <f t="shared" si="132"/>
        <v>-9.492266267887732E-3</v>
      </c>
      <c r="Y197" s="160">
        <f t="shared" si="154"/>
        <v>-2.2161702846345884E-2</v>
      </c>
      <c r="Z197" s="160">
        <f t="shared" si="154"/>
        <v>4.3478260869565216E-2</v>
      </c>
      <c r="AA197" s="160">
        <f t="shared" si="155"/>
        <v>-2.3899999999999998E-2</v>
      </c>
      <c r="AB197" s="161">
        <f t="shared" si="155"/>
        <v>-3.7600000000000022E-2</v>
      </c>
    </row>
    <row r="198" spans="1:31" ht="15" customHeight="1">
      <c r="A198" s="205">
        <v>175</v>
      </c>
      <c r="B198" s="59" t="s">
        <v>229</v>
      </c>
      <c r="C198" s="59" t="s">
        <v>91</v>
      </c>
      <c r="D198" s="146" t="s">
        <v>329</v>
      </c>
      <c r="E198" s="71">
        <v>859453105.02999997</v>
      </c>
      <c r="F198" s="66">
        <f t="shared" si="128"/>
        <v>5.4643617121599899E-3</v>
      </c>
      <c r="G198" s="146" t="s">
        <v>329</v>
      </c>
      <c r="H198" s="65">
        <v>1.63</v>
      </c>
      <c r="I198" s="146" t="s">
        <v>329</v>
      </c>
      <c r="J198" s="65">
        <v>1.63</v>
      </c>
      <c r="K198" s="67">
        <v>44</v>
      </c>
      <c r="L198" s="68">
        <v>2.0999999999999999E-3</v>
      </c>
      <c r="M198" s="68">
        <v>6.8599999999999994E-2</v>
      </c>
      <c r="N198" s="146" t="s">
        <v>329</v>
      </c>
      <c r="O198" s="71">
        <v>861938226.60000002</v>
      </c>
      <c r="P198" s="66">
        <f t="shared" si="129"/>
        <v>5.6047503689880861E-3</v>
      </c>
      <c r="Q198" s="146" t="s">
        <v>329</v>
      </c>
      <c r="R198" s="65">
        <v>1.64</v>
      </c>
      <c r="S198" s="146" t="s">
        <v>329</v>
      </c>
      <c r="T198" s="65">
        <v>1.64</v>
      </c>
      <c r="U198" s="67">
        <v>44</v>
      </c>
      <c r="V198" s="68">
        <v>2.0999999999999999E-3</v>
      </c>
      <c r="W198" s="68">
        <v>7.7100000000000002E-2</v>
      </c>
      <c r="X198" s="160">
        <f t="shared" si="132"/>
        <v>2.8915150290990074E-3</v>
      </c>
      <c r="Y198" s="160">
        <f t="shared" si="154"/>
        <v>6.1349693251533804E-3</v>
      </c>
      <c r="Z198" s="160">
        <f t="shared" si="154"/>
        <v>0</v>
      </c>
      <c r="AA198" s="160">
        <f t="shared" si="155"/>
        <v>0</v>
      </c>
      <c r="AB198" s="161">
        <f t="shared" si="155"/>
        <v>8.5000000000000075E-3</v>
      </c>
    </row>
    <row r="199" spans="1:31" ht="15" customHeight="1">
      <c r="A199" s="205">
        <v>176</v>
      </c>
      <c r="B199" s="59" t="s">
        <v>230</v>
      </c>
      <c r="C199" s="60" t="s">
        <v>49</v>
      </c>
      <c r="D199" s="146" t="s">
        <v>329</v>
      </c>
      <c r="E199" s="71">
        <v>9395190279.8799992</v>
      </c>
      <c r="F199" s="66">
        <f t="shared" si="128"/>
        <v>5.9734170187263382E-2</v>
      </c>
      <c r="G199" s="146" t="s">
        <v>329</v>
      </c>
      <c r="H199" s="65">
        <v>3.0156499999999999</v>
      </c>
      <c r="I199" s="146" t="s">
        <v>329</v>
      </c>
      <c r="J199" s="65">
        <v>3.03362</v>
      </c>
      <c r="K199" s="67">
        <v>3555</v>
      </c>
      <c r="L199" s="68">
        <v>-1E-4</v>
      </c>
      <c r="M199" s="68">
        <v>0.35770000000000002</v>
      </c>
      <c r="N199" s="146" t="s">
        <v>329</v>
      </c>
      <c r="O199" s="71">
        <v>9028465928.4400005</v>
      </c>
      <c r="P199" s="88">
        <f t="shared" si="129"/>
        <v>5.8707568805047884E-2</v>
      </c>
      <c r="Q199" s="146" t="s">
        <v>329</v>
      </c>
      <c r="R199" s="65">
        <v>2.9626899999999998</v>
      </c>
      <c r="S199" s="146" t="s">
        <v>329</v>
      </c>
      <c r="T199" s="65">
        <v>2.98028</v>
      </c>
      <c r="U199" s="67">
        <v>3580</v>
      </c>
      <c r="V199" s="68">
        <v>-1.7600000000000001E-2</v>
      </c>
      <c r="W199" s="68">
        <v>0.33389999999999997</v>
      </c>
      <c r="X199" s="160">
        <f t="shared" si="132"/>
        <v>-3.9033201086448102E-2</v>
      </c>
      <c r="Y199" s="160">
        <f t="shared" si="154"/>
        <v>-1.7582953698881187E-2</v>
      </c>
      <c r="Z199" s="160">
        <f t="shared" si="154"/>
        <v>7.0323488045007029E-3</v>
      </c>
      <c r="AA199" s="160">
        <f t="shared" si="155"/>
        <v>-1.7500000000000002E-2</v>
      </c>
      <c r="AB199" s="161">
        <f t="shared" si="155"/>
        <v>-2.3800000000000043E-2</v>
      </c>
    </row>
    <row r="200" spans="1:31" ht="14.4" customHeight="1">
      <c r="A200" s="205">
        <v>177</v>
      </c>
      <c r="B200" s="59" t="s">
        <v>231</v>
      </c>
      <c r="C200" s="60" t="s">
        <v>49</v>
      </c>
      <c r="D200" s="146" t="s">
        <v>329</v>
      </c>
      <c r="E200" s="71">
        <v>5281951785.4300003</v>
      </c>
      <c r="F200" s="66">
        <f t="shared" si="128"/>
        <v>3.3582396680935052E-2</v>
      </c>
      <c r="G200" s="146" t="s">
        <v>329</v>
      </c>
      <c r="H200" s="65">
        <v>2.4533100000000001</v>
      </c>
      <c r="I200" s="146" t="s">
        <v>329</v>
      </c>
      <c r="J200" s="65">
        <v>2.4714700000000001</v>
      </c>
      <c r="K200" s="67">
        <v>2287</v>
      </c>
      <c r="L200" s="68">
        <v>-3.3999999999999998E-3</v>
      </c>
      <c r="M200" s="68">
        <v>0.37240000000000001</v>
      </c>
      <c r="N200" s="146" t="s">
        <v>329</v>
      </c>
      <c r="O200" s="71">
        <v>4995944092.3999996</v>
      </c>
      <c r="P200" s="88">
        <f t="shared" si="129"/>
        <v>3.2486109365140375E-2</v>
      </c>
      <c r="Q200" s="146" t="s">
        <v>329</v>
      </c>
      <c r="R200" s="65">
        <v>2.3956900000000001</v>
      </c>
      <c r="S200" s="146" t="s">
        <v>329</v>
      </c>
      <c r="T200" s="65">
        <v>2.4136099999999998</v>
      </c>
      <c r="U200" s="67">
        <v>2325</v>
      </c>
      <c r="V200" s="68">
        <v>-2.35E-2</v>
      </c>
      <c r="W200" s="68">
        <v>0.3402</v>
      </c>
      <c r="X200" s="160">
        <f t="shared" si="132"/>
        <v>-5.4148107489155543E-2</v>
      </c>
      <c r="Y200" s="160">
        <f t="shared" si="154"/>
        <v>-2.3411168252092981E-2</v>
      </c>
      <c r="Z200" s="160">
        <f t="shared" si="154"/>
        <v>1.6615653694796676E-2</v>
      </c>
      <c r="AA200" s="160">
        <f t="shared" si="155"/>
        <v>-2.01E-2</v>
      </c>
      <c r="AB200" s="161">
        <f t="shared" si="155"/>
        <v>-3.2200000000000006E-2</v>
      </c>
    </row>
    <row r="201" spans="1:31" ht="14.4" customHeight="1">
      <c r="A201" s="205">
        <v>178</v>
      </c>
      <c r="B201" s="59" t="s">
        <v>232</v>
      </c>
      <c r="C201" s="60" t="s">
        <v>115</v>
      </c>
      <c r="D201" s="146" t="s">
        <v>329</v>
      </c>
      <c r="E201" s="92">
        <v>14025104297.65</v>
      </c>
      <c r="F201" s="66">
        <f t="shared" ref="F201" si="156">(E201/$E$203)</f>
        <v>8.9170941945057092E-2</v>
      </c>
      <c r="G201" s="146" t="s">
        <v>329</v>
      </c>
      <c r="H201" s="65">
        <v>886.83</v>
      </c>
      <c r="I201" s="146" t="s">
        <v>329</v>
      </c>
      <c r="J201" s="65">
        <v>896.84</v>
      </c>
      <c r="K201" s="67">
        <v>43</v>
      </c>
      <c r="L201" s="68">
        <v>-8.9999999999999993E-3</v>
      </c>
      <c r="M201" s="68">
        <v>0.2898</v>
      </c>
      <c r="N201" s="146" t="s">
        <v>329</v>
      </c>
      <c r="O201" s="92">
        <v>13544089364.41</v>
      </c>
      <c r="P201" s="88">
        <f t="shared" ref="P201" si="157">(O201/$O$203)</f>
        <v>8.8070394745368125E-2</v>
      </c>
      <c r="Q201" s="146" t="s">
        <v>329</v>
      </c>
      <c r="R201" s="65">
        <v>856.03</v>
      </c>
      <c r="S201" s="146" t="s">
        <v>329</v>
      </c>
      <c r="T201" s="65">
        <v>865.43</v>
      </c>
      <c r="U201" s="67">
        <v>43</v>
      </c>
      <c r="V201" s="68">
        <v>-3.49E-2</v>
      </c>
      <c r="W201" s="68">
        <v>0.24479999999999999</v>
      </c>
      <c r="X201" s="160">
        <f t="shared" ref="X201" si="158">((O201-E201)/E201)</f>
        <v>-3.4296709887611819E-2</v>
      </c>
      <c r="Y201" s="160">
        <f t="shared" ref="Y201" si="159">((T201-J201)/J201)</f>
        <v>-3.5022969537487264E-2</v>
      </c>
      <c r="Z201" s="160">
        <f t="shared" ref="Z201" si="160">((U201-K201)/K201)</f>
        <v>0</v>
      </c>
      <c r="AA201" s="160">
        <f t="shared" ref="AA201" si="161">V201-L201</f>
        <v>-2.5899999999999999E-2</v>
      </c>
      <c r="AB201" s="161">
        <f t="shared" ref="AB201" si="162">W201-M201</f>
        <v>-4.5000000000000012E-2</v>
      </c>
    </row>
    <row r="202" spans="1:31" ht="17.399999999999999" customHeight="1">
      <c r="A202" s="205">
        <v>179</v>
      </c>
      <c r="B202" s="59" t="s">
        <v>340</v>
      </c>
      <c r="C202" s="60" t="s">
        <v>121</v>
      </c>
      <c r="D202" s="146" t="s">
        <v>329</v>
      </c>
      <c r="E202" s="65">
        <v>8054790880.1400003</v>
      </c>
      <c r="F202" s="66">
        <f>(E202/$E$203)</f>
        <v>5.1211974949297703E-2</v>
      </c>
      <c r="G202" s="146" t="s">
        <v>329</v>
      </c>
      <c r="H202" s="65">
        <v>46.523099999999999</v>
      </c>
      <c r="I202" s="146" t="s">
        <v>329</v>
      </c>
      <c r="J202" s="65">
        <v>47.100700000000003</v>
      </c>
      <c r="K202" s="67">
        <v>6330</v>
      </c>
      <c r="L202" s="68">
        <v>2.7000000000000001E-3</v>
      </c>
      <c r="M202" s="68">
        <v>0.37140000000000001</v>
      </c>
      <c r="N202" s="146" t="s">
        <v>329</v>
      </c>
      <c r="O202" s="65">
        <v>7754606705.1400003</v>
      </c>
      <c r="P202" s="88">
        <f>(O202/$O$203)</f>
        <v>5.0424303564576244E-2</v>
      </c>
      <c r="Q202" s="146" t="s">
        <v>329</v>
      </c>
      <c r="R202" s="65">
        <v>44.789499999999997</v>
      </c>
      <c r="S202" s="146" t="s">
        <v>329</v>
      </c>
      <c r="T202" s="65">
        <v>45.328800000000001</v>
      </c>
      <c r="U202" s="67">
        <v>6329</v>
      </c>
      <c r="V202" s="68">
        <v>-3.15E-2</v>
      </c>
      <c r="W202" s="68">
        <v>0.3201</v>
      </c>
      <c r="X202" s="160">
        <f>((O202-E202)/E202)</f>
        <v>-3.7267780066163866E-2</v>
      </c>
      <c r="Y202" s="160">
        <f>((T202-J202)/J202)</f>
        <v>-3.7619398437815192E-2</v>
      </c>
      <c r="Z202" s="160">
        <f>((U202-K202)/K202)</f>
        <v>-1.579778830963665E-4</v>
      </c>
      <c r="AA202" s="160">
        <f>V202-L202</f>
        <v>-3.4200000000000001E-2</v>
      </c>
      <c r="AB202" s="161">
        <f>W202-M202</f>
        <v>-5.1300000000000012E-2</v>
      </c>
    </row>
    <row r="203" spans="1:31">
      <c r="B203" s="74"/>
      <c r="C203" s="75" t="s">
        <v>52</v>
      </c>
      <c r="D203" s="120" t="s">
        <v>329</v>
      </c>
      <c r="E203" s="104">
        <f>SUM(E173:E202)</f>
        <v>157283348047.30002</v>
      </c>
      <c r="F203" s="77">
        <f>(E203/$E$238)</f>
        <v>1.728097096178708E-2</v>
      </c>
      <c r="G203" s="146"/>
      <c r="H203" s="78"/>
      <c r="I203" s="146" t="s">
        <v>329</v>
      </c>
      <c r="J203" s="105"/>
      <c r="K203" s="80">
        <f>SUM(K173:K202)</f>
        <v>97856</v>
      </c>
      <c r="L203" s="106"/>
      <c r="M203" s="106"/>
      <c r="N203" s="146" t="s">
        <v>329</v>
      </c>
      <c r="O203" s="104">
        <f>SUM(O173:O202)</f>
        <v>153787085927.89999</v>
      </c>
      <c r="P203" s="77">
        <f>(O203/$O$238)</f>
        <v>1.693408432477074E-2</v>
      </c>
      <c r="Q203" s="146" t="s">
        <v>329</v>
      </c>
      <c r="R203" s="78"/>
      <c r="S203" s="146" t="s">
        <v>329</v>
      </c>
      <c r="T203" s="105"/>
      <c r="U203" s="80">
        <f>SUM(U173:U202)</f>
        <v>98217</v>
      </c>
      <c r="V203" s="106"/>
      <c r="W203" s="106"/>
      <c r="X203" s="160">
        <f t="shared" ref="X203" si="163">((O203-E203)/E203)</f>
        <v>-2.2229067239518511E-2</v>
      </c>
      <c r="Y203" s="160" t="e">
        <f t="shared" ref="Y203" si="164">((T203-J203)/J203)</f>
        <v>#DIV/0!</v>
      </c>
      <c r="Z203" s="160">
        <f t="shared" ref="Z203" si="165">((U203-K203)/K203)</f>
        <v>3.6890941792020928E-3</v>
      </c>
      <c r="AA203" s="160">
        <f t="shared" ref="AA203" si="166">V203-L203</f>
        <v>0</v>
      </c>
      <c r="AB203" s="161">
        <f t="shared" ref="AB203" si="167">W203-M203</f>
        <v>0</v>
      </c>
    </row>
    <row r="204" spans="1:31" ht="5.25" customHeight="1"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</row>
    <row r="205" spans="1:31" ht="15" customHeight="1">
      <c r="A205" s="166"/>
      <c r="B205" s="220" t="s">
        <v>233</v>
      </c>
      <c r="C205" s="220"/>
      <c r="D205" s="220"/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</row>
    <row r="206" spans="1:31" ht="15" customHeight="1">
      <c r="A206" s="205">
        <v>180</v>
      </c>
      <c r="B206" s="59" t="s">
        <v>305</v>
      </c>
      <c r="C206" s="60" t="s">
        <v>130</v>
      </c>
      <c r="D206" s="146" t="s">
        <v>329</v>
      </c>
      <c r="E206" s="107">
        <v>616181288.82000005</v>
      </c>
      <c r="F206" s="66">
        <v>0</v>
      </c>
      <c r="G206" s="146" t="s">
        <v>329</v>
      </c>
      <c r="H206" s="108">
        <v>1060.76</v>
      </c>
      <c r="I206" s="146" t="s">
        <v>329</v>
      </c>
      <c r="J206" s="108">
        <v>1060.76</v>
      </c>
      <c r="K206" s="67">
        <v>34</v>
      </c>
      <c r="L206" s="68">
        <v>1.6100000000000001E-3</v>
      </c>
      <c r="M206" s="68">
        <v>5.9619999999999999E-2</v>
      </c>
      <c r="N206" s="146" t="s">
        <v>329</v>
      </c>
      <c r="O206" s="107">
        <v>618657060.90999997</v>
      </c>
      <c r="P206" s="88">
        <f>(O206/$O$209)</f>
        <v>3.1179501120523485E-2</v>
      </c>
      <c r="Q206" s="146" t="s">
        <v>329</v>
      </c>
      <c r="R206" s="108">
        <v>1064.31</v>
      </c>
      <c r="S206" s="146" t="s">
        <v>329</v>
      </c>
      <c r="T206" s="108">
        <v>1064.31</v>
      </c>
      <c r="U206" s="67">
        <v>33</v>
      </c>
      <c r="V206" s="68">
        <v>2.1099999999999999E-3</v>
      </c>
      <c r="W206" s="68">
        <v>6.3170000000000004E-2</v>
      </c>
      <c r="X206" s="160">
        <f>((O206-E206)/E206)</f>
        <v>4.0179280593558254E-3</v>
      </c>
      <c r="Y206" s="160">
        <f t="shared" ref="Y206" si="168">((T206-J206)/J206)</f>
        <v>3.3466571137674445E-3</v>
      </c>
      <c r="Z206" s="160">
        <f t="shared" ref="Z206" si="169">((U206-K206)/K206)</f>
        <v>-2.9411764705882353E-2</v>
      </c>
      <c r="AA206" s="160">
        <f t="shared" ref="AA206" si="170">V206-L206</f>
        <v>4.9999999999999979E-4</v>
      </c>
      <c r="AB206" s="161">
        <f t="shared" ref="AB206" si="171">W206-M206</f>
        <v>3.5500000000000045E-3</v>
      </c>
    </row>
    <row r="207" spans="1:31">
      <c r="A207" s="205">
        <v>181</v>
      </c>
      <c r="B207" s="59" t="s">
        <v>234</v>
      </c>
      <c r="C207" s="60" t="s">
        <v>235</v>
      </c>
      <c r="D207" s="146" t="s">
        <v>329</v>
      </c>
      <c r="E207" s="107">
        <v>1967191714.1700001</v>
      </c>
      <c r="F207" s="66">
        <f>(E207/$E$209)</f>
        <v>9.2492396904365143E-2</v>
      </c>
      <c r="G207" s="146" t="s">
        <v>329</v>
      </c>
      <c r="H207" s="108">
        <v>53.819299999999998</v>
      </c>
      <c r="I207" s="146" t="s">
        <v>329</v>
      </c>
      <c r="J207" s="108">
        <v>54.363199999999999</v>
      </c>
      <c r="K207" s="67">
        <v>1550</v>
      </c>
      <c r="L207" s="68">
        <v>-0.4098</v>
      </c>
      <c r="M207" s="68">
        <v>0.3463</v>
      </c>
      <c r="N207" s="146" t="s">
        <v>329</v>
      </c>
      <c r="O207" s="107">
        <v>1908957301.1900001</v>
      </c>
      <c r="P207" s="88">
        <f>(O207/$O$209)</f>
        <v>9.6208933951121428E-2</v>
      </c>
      <c r="Q207" s="146" t="s">
        <v>329</v>
      </c>
      <c r="R207" s="108">
        <v>52.222900000000003</v>
      </c>
      <c r="S207" s="146" t="s">
        <v>329</v>
      </c>
      <c r="T207" s="108">
        <v>52.730899999999998</v>
      </c>
      <c r="U207" s="67">
        <v>1358</v>
      </c>
      <c r="V207" s="68">
        <v>-2.4899999999999999E-2</v>
      </c>
      <c r="W207" s="68">
        <v>0.30609999999999998</v>
      </c>
      <c r="X207" s="160">
        <f>((O207-E207)/E207)</f>
        <v>-2.9602815302915381E-2</v>
      </c>
      <c r="Y207" s="160">
        <f t="shared" ref="Y207:Z209" si="172">((T207-J207)/J207)</f>
        <v>-3.0025826294257894E-2</v>
      </c>
      <c r="Z207" s="160">
        <f t="shared" si="172"/>
        <v>-0.12387096774193548</v>
      </c>
      <c r="AA207" s="160">
        <f t="shared" ref="AA207:AB209" si="173">V207-L207</f>
        <v>0.38490000000000002</v>
      </c>
      <c r="AB207" s="161">
        <f t="shared" si="173"/>
        <v>-4.0200000000000014E-2</v>
      </c>
    </row>
    <row r="208" spans="1:31">
      <c r="A208" s="205">
        <v>182</v>
      </c>
      <c r="B208" s="59" t="s">
        <v>236</v>
      </c>
      <c r="C208" s="60" t="s">
        <v>46</v>
      </c>
      <c r="D208" s="146" t="s">
        <v>329</v>
      </c>
      <c r="E208" s="82">
        <v>18685312640.48</v>
      </c>
      <c r="F208" s="66">
        <f>(E208/$E$209)</f>
        <v>0.87853631172628854</v>
      </c>
      <c r="G208" s="146" t="s">
        <v>329</v>
      </c>
      <c r="H208" s="108">
        <v>7.02</v>
      </c>
      <c r="I208" s="146" t="s">
        <v>329</v>
      </c>
      <c r="J208" s="108">
        <v>7.13</v>
      </c>
      <c r="K208" s="67">
        <v>16815</v>
      </c>
      <c r="L208" s="68">
        <v>-2.8E-3</v>
      </c>
      <c r="M208" s="68">
        <v>0.57169999999999999</v>
      </c>
      <c r="N208" s="146" t="s">
        <v>329</v>
      </c>
      <c r="O208" s="82">
        <v>17314173949.990002</v>
      </c>
      <c r="P208" s="88">
        <f>(O208/$O$209)</f>
        <v>0.87261156492835512</v>
      </c>
      <c r="Q208" s="146" t="s">
        <v>329</v>
      </c>
      <c r="R208" s="108">
        <v>6.67</v>
      </c>
      <c r="S208" s="146" t="s">
        <v>329</v>
      </c>
      <c r="T208" s="108">
        <v>6.78</v>
      </c>
      <c r="U208" s="67">
        <v>16952</v>
      </c>
      <c r="V208" s="68">
        <v>-4.7800000000000002E-2</v>
      </c>
      <c r="W208" s="68">
        <v>0.49669999999999997</v>
      </c>
      <c r="X208" s="160">
        <f>((O208-E208)/E208)</f>
        <v>-7.338055920560585E-2</v>
      </c>
      <c r="Y208" s="160">
        <f t="shared" si="172"/>
        <v>-4.908835904628326E-2</v>
      </c>
      <c r="Z208" s="160">
        <f t="shared" si="172"/>
        <v>8.1474873624739815E-3</v>
      </c>
      <c r="AA208" s="160">
        <f t="shared" si="173"/>
        <v>-4.5000000000000005E-2</v>
      </c>
      <c r="AB208" s="161">
        <f t="shared" si="173"/>
        <v>-7.5000000000000011E-2</v>
      </c>
    </row>
    <row r="209" spans="1:30">
      <c r="B209" s="74"/>
      <c r="C209" s="98" t="s">
        <v>52</v>
      </c>
      <c r="D209" s="98"/>
      <c r="E209" s="104">
        <f>SUM(E206:E208)</f>
        <v>21268685643.470001</v>
      </c>
      <c r="F209" s="77">
        <f>(E209/$E$238)</f>
        <v>2.3368242319565264E-3</v>
      </c>
      <c r="G209" s="120"/>
      <c r="H209" s="78"/>
      <c r="I209" s="78"/>
      <c r="J209" s="105"/>
      <c r="K209" s="80">
        <f>SUM(K206:K208)</f>
        <v>18399</v>
      </c>
      <c r="L209" s="106"/>
      <c r="M209" s="106"/>
      <c r="N209" s="146" t="s">
        <v>329</v>
      </c>
      <c r="O209" s="104">
        <f>SUM(O206:O208)</f>
        <v>19841788312.09</v>
      </c>
      <c r="P209" s="77">
        <f>(O209/$O$238)</f>
        <v>2.1848552133220773E-3</v>
      </c>
      <c r="Q209" s="146" t="s">
        <v>329</v>
      </c>
      <c r="R209" s="78"/>
      <c r="S209" s="146" t="s">
        <v>329</v>
      </c>
      <c r="T209" s="105"/>
      <c r="U209" s="80">
        <f>SUM(U206:U208)</f>
        <v>18343</v>
      </c>
      <c r="V209" s="106"/>
      <c r="W209" s="106"/>
      <c r="X209" s="160">
        <f>((O209-E209)/E209)</f>
        <v>-6.7089116614880845E-2</v>
      </c>
      <c r="Y209" s="160" t="e">
        <f t="shared" si="172"/>
        <v>#DIV/0!</v>
      </c>
      <c r="Z209" s="160">
        <f t="shared" si="172"/>
        <v>-3.0436436762867549E-3</v>
      </c>
      <c r="AA209" s="160">
        <f t="shared" si="173"/>
        <v>0</v>
      </c>
      <c r="AB209" s="161">
        <f t="shared" si="173"/>
        <v>0</v>
      </c>
    </row>
    <row r="210" spans="1:30" ht="6" customHeight="1">
      <c r="B210" s="218"/>
      <c r="C210" s="218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  <c r="X210" s="218"/>
      <c r="Y210" s="218"/>
      <c r="Z210" s="218"/>
      <c r="AA210" s="218"/>
      <c r="AB210" s="218"/>
    </row>
    <row r="211" spans="1:30" ht="15" customHeight="1">
      <c r="A211" s="166"/>
      <c r="B211" s="221" t="s">
        <v>335</v>
      </c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</row>
    <row r="212" spans="1:30">
      <c r="A212" s="170"/>
      <c r="B212" s="222" t="s">
        <v>334</v>
      </c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</row>
    <row r="213" spans="1:30">
      <c r="A213" s="205">
        <v>183</v>
      </c>
      <c r="B213" s="59" t="s">
        <v>237</v>
      </c>
      <c r="C213" s="60" t="s">
        <v>238</v>
      </c>
      <c r="D213" s="146" t="s">
        <v>329</v>
      </c>
      <c r="E213" s="84">
        <v>17441931193.419998</v>
      </c>
      <c r="F213" s="66">
        <f>(E213/$E$237)</f>
        <v>0.12140809751064138</v>
      </c>
      <c r="G213" s="146" t="s">
        <v>329</v>
      </c>
      <c r="H213" s="109">
        <v>3.92</v>
      </c>
      <c r="I213" s="146" t="s">
        <v>329</v>
      </c>
      <c r="J213" s="109">
        <v>3.99</v>
      </c>
      <c r="K213" s="85">
        <v>16863</v>
      </c>
      <c r="L213" s="86">
        <v>-2.3999999999999998E-3</v>
      </c>
      <c r="M213" s="86">
        <v>0.41399999999999998</v>
      </c>
      <c r="N213" s="146" t="s">
        <v>329</v>
      </c>
      <c r="O213" s="84">
        <v>17381312701.130001</v>
      </c>
      <c r="P213" s="66">
        <f>(O213/$O$237)</f>
        <v>0.12283988821314977</v>
      </c>
      <c r="Q213" s="146" t="s">
        <v>329</v>
      </c>
      <c r="R213" s="109">
        <v>3.87</v>
      </c>
      <c r="S213" s="146" t="s">
        <v>329</v>
      </c>
      <c r="T213" s="109">
        <v>3.94</v>
      </c>
      <c r="U213" s="85">
        <v>16940</v>
      </c>
      <c r="V213" s="86">
        <v>-1.38E-2</v>
      </c>
      <c r="W213" s="86">
        <v>0.39500000000000002</v>
      </c>
      <c r="X213" s="162">
        <f>((O213-E213)/E213)</f>
        <v>-3.4754461313816869E-3</v>
      </c>
      <c r="Y213" s="162">
        <f>((T213-J213)/J213)</f>
        <v>-1.2531328320802072E-2</v>
      </c>
      <c r="Z213" s="162">
        <f>((U213-K213)/K213)</f>
        <v>4.5662100456621002E-3</v>
      </c>
      <c r="AA213" s="162">
        <f>V213-L213</f>
        <v>-1.14E-2</v>
      </c>
      <c r="AB213" s="163">
        <f>W213-M213</f>
        <v>-1.8999999999999961E-2</v>
      </c>
    </row>
    <row r="214" spans="1:30">
      <c r="A214" s="205">
        <v>184</v>
      </c>
      <c r="B214" s="59" t="s">
        <v>239</v>
      </c>
      <c r="C214" s="60" t="s">
        <v>46</v>
      </c>
      <c r="D214" s="146" t="s">
        <v>329</v>
      </c>
      <c r="E214" s="84">
        <v>36095059748.910004</v>
      </c>
      <c r="F214" s="66">
        <f>(E214/$E$237)</f>
        <v>0.25124697976685623</v>
      </c>
      <c r="G214" s="146" t="s">
        <v>329</v>
      </c>
      <c r="H214" s="109">
        <v>1535.26</v>
      </c>
      <c r="I214" s="146" t="s">
        <v>329</v>
      </c>
      <c r="J214" s="109">
        <v>1555.94</v>
      </c>
      <c r="K214" s="85">
        <v>9721</v>
      </c>
      <c r="L214" s="86">
        <v>-7.1999999999999998E-3</v>
      </c>
      <c r="M214" s="86">
        <v>0.63649999999999995</v>
      </c>
      <c r="N214" s="146" t="s">
        <v>329</v>
      </c>
      <c r="O214" s="84">
        <v>34202259956.189999</v>
      </c>
      <c r="P214" s="66">
        <f>(O214/$O$237)</f>
        <v>0.24171947550211931</v>
      </c>
      <c r="Q214" s="146" t="s">
        <v>329</v>
      </c>
      <c r="R214" s="109">
        <v>1500.1</v>
      </c>
      <c r="S214" s="146" t="s">
        <v>329</v>
      </c>
      <c r="T214" s="109">
        <v>1520.79</v>
      </c>
      <c r="U214" s="85">
        <v>9932</v>
      </c>
      <c r="V214" s="86">
        <v>-2.2599999999999999E-2</v>
      </c>
      <c r="W214" s="86">
        <v>0.59950000000000003</v>
      </c>
      <c r="X214" s="162">
        <f>((O214-E214)/E214)</f>
        <v>-5.2439303491585543E-2</v>
      </c>
      <c r="Y214" s="162">
        <f>((T214-J214)/J214)</f>
        <v>-2.2590845405349877E-2</v>
      </c>
      <c r="Z214" s="162">
        <f>((U214-K214)/K214)</f>
        <v>2.1705585845077667E-2</v>
      </c>
      <c r="AA214" s="162">
        <f>V214-L214</f>
        <v>-1.5399999999999999E-2</v>
      </c>
      <c r="AB214" s="163">
        <f>W214-M214</f>
        <v>-3.6999999999999922E-2</v>
      </c>
    </row>
    <row r="215" spans="1:30" ht="6" customHeight="1">
      <c r="B215" s="218"/>
      <c r="C215" s="218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</row>
    <row r="216" spans="1:30" ht="15" customHeight="1">
      <c r="A216" s="170"/>
      <c r="B216" s="222" t="s">
        <v>332</v>
      </c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</row>
    <row r="217" spans="1:30">
      <c r="A217" s="205">
        <v>185</v>
      </c>
      <c r="B217" s="59" t="s">
        <v>240</v>
      </c>
      <c r="C217" s="60" t="s">
        <v>23</v>
      </c>
      <c r="D217" s="146" t="s">
        <v>329</v>
      </c>
      <c r="E217" s="71">
        <v>1521991795.8399999</v>
      </c>
      <c r="F217" s="66">
        <f>(E217/$E$237)</f>
        <v>1.0594132399137562E-2</v>
      </c>
      <c r="G217" s="146" t="s">
        <v>329</v>
      </c>
      <c r="H217" s="108">
        <v>1.1984999999999999</v>
      </c>
      <c r="I217" s="146" t="s">
        <v>329</v>
      </c>
      <c r="J217" s="108">
        <v>1.1984999999999999</v>
      </c>
      <c r="K217" s="67">
        <v>902</v>
      </c>
      <c r="L217" s="68">
        <v>0.1308</v>
      </c>
      <c r="M217" s="68">
        <v>0.1207</v>
      </c>
      <c r="N217" s="146" t="s">
        <v>329</v>
      </c>
      <c r="O217" s="71">
        <v>1559669146.26</v>
      </c>
      <c r="P217" s="66">
        <f t="shared" ref="P217:P230" si="174">(O217/$O$237)</f>
        <v>1.1022733833194397E-2</v>
      </c>
      <c r="Q217" s="146" t="s">
        <v>329</v>
      </c>
      <c r="R217" s="108">
        <v>1.1984999999999999</v>
      </c>
      <c r="S217" s="146" t="s">
        <v>329</v>
      </c>
      <c r="T217" s="108">
        <v>1.1984999999999999</v>
      </c>
      <c r="U217" s="67">
        <v>902</v>
      </c>
      <c r="V217" s="68">
        <v>0.1308</v>
      </c>
      <c r="W217" s="68">
        <v>0.1207</v>
      </c>
      <c r="X217" s="160">
        <f>((O217-E217)/E217)</f>
        <v>2.4755291403660711E-2</v>
      </c>
      <c r="Y217" s="160">
        <f>((T217-J217)/J217)</f>
        <v>0</v>
      </c>
      <c r="Z217" s="160">
        <f>((U217-K217)/K217)</f>
        <v>0</v>
      </c>
      <c r="AA217" s="160">
        <f>V217-L217</f>
        <v>0</v>
      </c>
      <c r="AB217" s="161">
        <f>W217-M217</f>
        <v>0</v>
      </c>
      <c r="AD217" s="31"/>
    </row>
    <row r="218" spans="1:30" ht="15" customHeight="1">
      <c r="A218" s="205">
        <v>186</v>
      </c>
      <c r="B218" s="59" t="s">
        <v>241</v>
      </c>
      <c r="C218" s="60" t="s">
        <v>242</v>
      </c>
      <c r="D218" s="146" t="s">
        <v>329</v>
      </c>
      <c r="E218" s="71">
        <v>297954346.66000003</v>
      </c>
      <c r="F218" s="66">
        <f>(E218/$E$237)</f>
        <v>2.0739716245792477E-3</v>
      </c>
      <c r="G218" s="146" t="s">
        <v>329</v>
      </c>
      <c r="H218" s="108">
        <v>1148.03</v>
      </c>
      <c r="I218" s="146" t="s">
        <v>329</v>
      </c>
      <c r="J218" s="108">
        <v>1148.03</v>
      </c>
      <c r="K218" s="67">
        <v>19</v>
      </c>
      <c r="L218" s="68">
        <v>7.0000000000000001E-3</v>
      </c>
      <c r="M218" s="68">
        <v>6.13E-2</v>
      </c>
      <c r="N218" s="146" t="s">
        <v>329</v>
      </c>
      <c r="O218" s="71">
        <v>298405458.00999999</v>
      </c>
      <c r="P218" s="66">
        <f t="shared" si="174"/>
        <v>2.1089369792972575E-3</v>
      </c>
      <c r="Q218" s="146" t="s">
        <v>329</v>
      </c>
      <c r="R218" s="108">
        <v>1149.77</v>
      </c>
      <c r="S218" s="146" t="s">
        <v>329</v>
      </c>
      <c r="T218" s="108">
        <v>1149.77</v>
      </c>
      <c r="U218" s="67">
        <v>19</v>
      </c>
      <c r="V218" s="68">
        <v>1.9E-3</v>
      </c>
      <c r="W218" s="68">
        <v>6.3200000000000006E-2</v>
      </c>
      <c r="X218" s="160">
        <f>((O218-E218)/E218)</f>
        <v>1.5140284243435921E-3</v>
      </c>
      <c r="Y218" s="160">
        <f>((T218-J218)/J218)</f>
        <v>1.5156398351959524E-3</v>
      </c>
      <c r="Z218" s="160">
        <f>((U218-K218)/K218)</f>
        <v>0</v>
      </c>
      <c r="AA218" s="160">
        <f>V218-L218</f>
        <v>-5.1000000000000004E-3</v>
      </c>
      <c r="AB218" s="161">
        <f>W218-M218</f>
        <v>1.9000000000000059E-3</v>
      </c>
      <c r="AD218" s="31"/>
    </row>
    <row r="219" spans="1:30">
      <c r="A219" s="205">
        <v>187</v>
      </c>
      <c r="B219" s="59" t="s">
        <v>243</v>
      </c>
      <c r="C219" s="60" t="s">
        <v>69</v>
      </c>
      <c r="D219" s="146" t="s">
        <v>329</v>
      </c>
      <c r="E219" s="71">
        <v>370133456.99000001</v>
      </c>
      <c r="F219" s="66">
        <f>(E219/$E$237)</f>
        <v>2.5763889525688161E-3</v>
      </c>
      <c r="G219" s="146" t="s">
        <v>329</v>
      </c>
      <c r="H219" s="108">
        <v>125.58</v>
      </c>
      <c r="I219" s="146" t="s">
        <v>329</v>
      </c>
      <c r="J219" s="108">
        <v>125.58</v>
      </c>
      <c r="K219" s="67">
        <v>86</v>
      </c>
      <c r="L219" s="68">
        <v>2.5000000000000001E-3</v>
      </c>
      <c r="M219" s="68">
        <v>0.15609999999999999</v>
      </c>
      <c r="N219" s="146" t="s">
        <v>329</v>
      </c>
      <c r="O219" s="71">
        <v>376531992.75999999</v>
      </c>
      <c r="P219" s="66">
        <f t="shared" si="174"/>
        <v>2.6610848498402478E-3</v>
      </c>
      <c r="Q219" s="146" t="s">
        <v>329</v>
      </c>
      <c r="R219" s="108">
        <v>126</v>
      </c>
      <c r="S219" s="146" t="s">
        <v>329</v>
      </c>
      <c r="T219" s="108">
        <v>126</v>
      </c>
      <c r="U219" s="67">
        <v>89</v>
      </c>
      <c r="V219" s="68">
        <v>3.3E-3</v>
      </c>
      <c r="W219" s="68">
        <v>0.15609999999999999</v>
      </c>
      <c r="X219" s="160">
        <f t="shared" ref="X219:X238" si="175">((O219-E219)/E219)</f>
        <v>1.7287104554217187E-2</v>
      </c>
      <c r="Y219" s="160">
        <f t="shared" ref="Y219:Y237" si="176">((T219-J219)/J219)</f>
        <v>3.3444816053511844E-3</v>
      </c>
      <c r="Z219" s="160">
        <f t="shared" ref="Z219:Z237" si="177">((U219-K219)/K219)</f>
        <v>3.4883720930232558E-2</v>
      </c>
      <c r="AA219" s="160">
        <f t="shared" ref="AA219:AA237" si="178">V219-L219</f>
        <v>7.9999999999999993E-4</v>
      </c>
      <c r="AB219" s="161">
        <f t="shared" ref="AB219:AB237" si="179">W219-M219</f>
        <v>0</v>
      </c>
    </row>
    <row r="220" spans="1:30">
      <c r="A220" s="205">
        <v>188</v>
      </c>
      <c r="B220" s="210" t="s">
        <v>244</v>
      </c>
      <c r="C220" s="60" t="s">
        <v>245</v>
      </c>
      <c r="D220" s="146" t="s">
        <v>329</v>
      </c>
      <c r="E220" s="71">
        <v>54795675.020000003</v>
      </c>
      <c r="F220" s="66">
        <v>0</v>
      </c>
      <c r="G220" s="146" t="s">
        <v>329</v>
      </c>
      <c r="H220" s="108">
        <v>107.15</v>
      </c>
      <c r="I220" s="146" t="s">
        <v>329</v>
      </c>
      <c r="J220" s="108">
        <v>107.15</v>
      </c>
      <c r="K220" s="67">
        <v>14</v>
      </c>
      <c r="L220" s="68">
        <v>3.0999999999999999E-3</v>
      </c>
      <c r="M220" s="68">
        <v>7.1499999999999994E-2</v>
      </c>
      <c r="N220" s="146" t="s">
        <v>329</v>
      </c>
      <c r="O220" s="71">
        <v>54744674.579999998</v>
      </c>
      <c r="P220" s="66">
        <f t="shared" si="174"/>
        <v>3.8689998973640607E-4</v>
      </c>
      <c r="Q220" s="146" t="s">
        <v>329</v>
      </c>
      <c r="R220" s="108">
        <v>107.4</v>
      </c>
      <c r="S220" s="146" t="s">
        <v>329</v>
      </c>
      <c r="T220" s="108">
        <v>107.4</v>
      </c>
      <c r="U220" s="67">
        <v>12</v>
      </c>
      <c r="V220" s="68">
        <v>2.5000000000000001E-3</v>
      </c>
      <c r="W220" s="68">
        <v>7.3999999999999996E-2</v>
      </c>
      <c r="X220" s="160">
        <f t="shared" si="175"/>
        <v>-9.3073842016528306E-4</v>
      </c>
      <c r="Y220" s="160">
        <f t="shared" si="176"/>
        <v>2.3331777881474567E-3</v>
      </c>
      <c r="Z220" s="160">
        <f t="shared" si="177"/>
        <v>-0.14285714285714285</v>
      </c>
      <c r="AA220" s="160">
        <f t="shared" si="178"/>
        <v>-5.9999999999999984E-4</v>
      </c>
      <c r="AB220" s="161">
        <f t="shared" si="179"/>
        <v>2.5000000000000022E-3</v>
      </c>
    </row>
    <row r="221" spans="1:30">
      <c r="A221" s="205">
        <v>189</v>
      </c>
      <c r="B221" s="210" t="s">
        <v>246</v>
      </c>
      <c r="C221" s="60" t="s">
        <v>75</v>
      </c>
      <c r="D221" s="146" t="s">
        <v>329</v>
      </c>
      <c r="E221" s="82">
        <v>235707564.5</v>
      </c>
      <c r="F221" s="66">
        <f>(E221/$E$237)</f>
        <v>1.6406902800767578E-3</v>
      </c>
      <c r="G221" s="146" t="s">
        <v>329</v>
      </c>
      <c r="H221" s="108">
        <v>112.53</v>
      </c>
      <c r="I221" s="146" t="s">
        <v>329</v>
      </c>
      <c r="J221" s="108">
        <v>112.53</v>
      </c>
      <c r="K221" s="67">
        <v>20</v>
      </c>
      <c r="L221" s="68">
        <v>-1.5299999999999999E-2</v>
      </c>
      <c r="M221" s="68">
        <v>0.14030000000000001</v>
      </c>
      <c r="N221" s="146" t="s">
        <v>329</v>
      </c>
      <c r="O221" s="82">
        <v>235960558.46000001</v>
      </c>
      <c r="P221" s="66">
        <f t="shared" si="174"/>
        <v>1.667616774540532E-3</v>
      </c>
      <c r="Q221" s="146" t="s">
        <v>329</v>
      </c>
      <c r="R221" s="108">
        <v>110.28</v>
      </c>
      <c r="S221" s="146" t="s">
        <v>329</v>
      </c>
      <c r="T221" s="108">
        <v>110.28</v>
      </c>
      <c r="U221" s="67">
        <v>20</v>
      </c>
      <c r="V221" s="68">
        <v>-2.2800000000000001E-2</v>
      </c>
      <c r="W221" s="68">
        <v>0.1174</v>
      </c>
      <c r="X221" s="160">
        <f t="shared" si="175"/>
        <v>1.073338314519848E-3</v>
      </c>
      <c r="Y221" s="160">
        <f t="shared" si="176"/>
        <v>-1.9994668088509731E-2</v>
      </c>
      <c r="Z221" s="160">
        <f t="shared" si="177"/>
        <v>0</v>
      </c>
      <c r="AA221" s="160">
        <f t="shared" si="178"/>
        <v>-7.5000000000000015E-3</v>
      </c>
      <c r="AB221" s="161">
        <f t="shared" si="179"/>
        <v>-2.2900000000000004E-2</v>
      </c>
    </row>
    <row r="222" spans="1:30">
      <c r="A222" s="205">
        <v>190</v>
      </c>
      <c r="B222" s="59" t="s">
        <v>247</v>
      </c>
      <c r="C222" s="60" t="s">
        <v>78</v>
      </c>
      <c r="D222" s="146" t="s">
        <v>329</v>
      </c>
      <c r="E222" s="82">
        <v>333592653.55000001</v>
      </c>
      <c r="F222" s="66">
        <v>0</v>
      </c>
      <c r="G222" s="146" t="s">
        <v>329</v>
      </c>
      <c r="H222" s="108">
        <v>1.22</v>
      </c>
      <c r="I222" s="146" t="s">
        <v>329</v>
      </c>
      <c r="J222" s="108">
        <v>1.22</v>
      </c>
      <c r="K222" s="67">
        <v>59</v>
      </c>
      <c r="L222" s="68">
        <v>1.1999999999999999E-3</v>
      </c>
      <c r="M222" s="68">
        <v>0.13469999999999999</v>
      </c>
      <c r="N222" s="146" t="s">
        <v>329</v>
      </c>
      <c r="O222" s="82">
        <v>333292578.57999998</v>
      </c>
      <c r="P222" s="66">
        <f t="shared" si="174"/>
        <v>2.3554966071335868E-3</v>
      </c>
      <c r="Q222" s="146" t="s">
        <v>329</v>
      </c>
      <c r="R222" s="108">
        <v>1.23</v>
      </c>
      <c r="S222" s="146" t="s">
        <v>329</v>
      </c>
      <c r="T222" s="108">
        <v>1.23</v>
      </c>
      <c r="U222" s="67">
        <v>57</v>
      </c>
      <c r="V222" s="68">
        <v>1.6999999999999999E-3</v>
      </c>
      <c r="W222" s="68">
        <v>0.13600000000000001</v>
      </c>
      <c r="X222" s="160">
        <f t="shared" ref="X222:X223" si="180">((O222-E222)/E222)</f>
        <v>-8.9952511485704031E-4</v>
      </c>
      <c r="Y222" s="160">
        <f t="shared" ref="Y222:Y223" si="181">((T222-J222)/J222)</f>
        <v>8.1967213114754172E-3</v>
      </c>
      <c r="Z222" s="160">
        <f t="shared" ref="Z222" si="182">((U222-K222)/K222)</f>
        <v>-3.3898305084745763E-2</v>
      </c>
      <c r="AA222" s="160">
        <f t="shared" ref="AA222" si="183">V222-L222</f>
        <v>5.0000000000000001E-4</v>
      </c>
      <c r="AB222" s="161">
        <f t="shared" ref="AB222" si="184">W222-M222</f>
        <v>1.3000000000000234E-3</v>
      </c>
    </row>
    <row r="223" spans="1:30">
      <c r="A223" s="205">
        <v>191</v>
      </c>
      <c r="B223" s="59" t="s">
        <v>326</v>
      </c>
      <c r="C223" s="60" t="s">
        <v>79</v>
      </c>
      <c r="D223" s="146" t="s">
        <v>329</v>
      </c>
      <c r="E223" s="71">
        <v>5741374357.4499998</v>
      </c>
      <c r="F223" s="66">
        <f t="shared" ref="F223:F230" si="185">(E223/$E$237)</f>
        <v>3.9963999978244888E-2</v>
      </c>
      <c r="G223" s="146" t="s">
        <v>329</v>
      </c>
      <c r="H223" s="108">
        <v>151.01</v>
      </c>
      <c r="I223" s="146" t="s">
        <v>329</v>
      </c>
      <c r="J223" s="108">
        <v>151.01</v>
      </c>
      <c r="K223" s="67">
        <v>961</v>
      </c>
      <c r="L223" s="68">
        <v>2.3E-3</v>
      </c>
      <c r="M223" s="68">
        <v>6.13E-2</v>
      </c>
      <c r="N223" s="146" t="s">
        <v>329</v>
      </c>
      <c r="O223" s="71">
        <v>5821540479.9799995</v>
      </c>
      <c r="P223" s="66">
        <f t="shared" si="174"/>
        <v>4.1142886851266297E-2</v>
      </c>
      <c r="Q223" s="146" t="s">
        <v>329</v>
      </c>
      <c r="R223" s="108">
        <v>151.47</v>
      </c>
      <c r="S223" s="146" t="s">
        <v>329</v>
      </c>
      <c r="T223" s="108">
        <v>151.47</v>
      </c>
      <c r="U223" s="67">
        <v>965</v>
      </c>
      <c r="V223" s="68">
        <v>2.7000000000000001E-3</v>
      </c>
      <c r="W223" s="68">
        <v>6.4500000000000002E-2</v>
      </c>
      <c r="X223" s="160">
        <f t="shared" si="180"/>
        <v>1.3962880233715518E-2</v>
      </c>
      <c r="Y223" s="160">
        <f t="shared" si="181"/>
        <v>3.0461558837163632E-3</v>
      </c>
      <c r="Z223" s="160">
        <f t="shared" si="177"/>
        <v>4.1623309053069723E-3</v>
      </c>
      <c r="AA223" s="160">
        <f t="shared" si="178"/>
        <v>4.0000000000000018E-4</v>
      </c>
      <c r="AB223" s="161">
        <f t="shared" si="179"/>
        <v>3.2000000000000015E-3</v>
      </c>
    </row>
    <row r="224" spans="1:30">
      <c r="A224" s="205">
        <v>192</v>
      </c>
      <c r="B224" s="59" t="s">
        <v>248</v>
      </c>
      <c r="C224" s="60" t="s">
        <v>67</v>
      </c>
      <c r="D224" s="146" t="s">
        <v>329</v>
      </c>
      <c r="E224" s="71">
        <v>990016719.17999995</v>
      </c>
      <c r="F224" s="66">
        <f t="shared" si="185"/>
        <v>6.8912120479362338E-3</v>
      </c>
      <c r="G224" s="146" t="s">
        <v>329</v>
      </c>
      <c r="H224" s="70">
        <v>13988.38</v>
      </c>
      <c r="I224" s="146" t="s">
        <v>329</v>
      </c>
      <c r="J224" s="70">
        <v>1398.38</v>
      </c>
      <c r="K224" s="67">
        <v>340</v>
      </c>
      <c r="L224" s="68">
        <v>0.12920000000000001</v>
      </c>
      <c r="M224" s="68">
        <v>0.12429999999999999</v>
      </c>
      <c r="N224" s="146" t="s">
        <v>329</v>
      </c>
      <c r="O224" s="71">
        <v>969420456.48000002</v>
      </c>
      <c r="P224" s="66">
        <f t="shared" si="174"/>
        <v>6.8512374498504889E-3</v>
      </c>
      <c r="Q224" s="146" t="s">
        <v>329</v>
      </c>
      <c r="R224" s="70">
        <v>1401.39</v>
      </c>
      <c r="S224" s="146" t="s">
        <v>329</v>
      </c>
      <c r="T224" s="70">
        <v>1401.39</v>
      </c>
      <c r="U224" s="67">
        <v>338</v>
      </c>
      <c r="V224" s="68">
        <v>0.1123</v>
      </c>
      <c r="W224" s="68">
        <v>0.124</v>
      </c>
      <c r="X224" s="160">
        <f t="shared" si="175"/>
        <v>-2.080395441913261E-2</v>
      </c>
      <c r="Y224" s="160">
        <f t="shared" si="176"/>
        <v>2.152490739284022E-3</v>
      </c>
      <c r="Z224" s="160">
        <f t="shared" si="177"/>
        <v>-5.8823529411764705E-3</v>
      </c>
      <c r="AA224" s="160">
        <f t="shared" si="178"/>
        <v>-1.6900000000000012E-2</v>
      </c>
      <c r="AB224" s="161">
        <f t="shared" si="179"/>
        <v>-2.9999999999999472E-4</v>
      </c>
    </row>
    <row r="225" spans="1:32">
      <c r="A225" s="205">
        <v>193</v>
      </c>
      <c r="B225" s="59" t="s">
        <v>249</v>
      </c>
      <c r="C225" s="60" t="s">
        <v>238</v>
      </c>
      <c r="D225" s="146" t="s">
        <v>329</v>
      </c>
      <c r="E225" s="71">
        <v>46947769815.800003</v>
      </c>
      <c r="F225" s="66">
        <f t="shared" si="185"/>
        <v>0.32678946800650543</v>
      </c>
      <c r="G225" s="146" t="s">
        <v>329</v>
      </c>
      <c r="H225" s="70">
        <v>1308.27</v>
      </c>
      <c r="I225" s="146" t="s">
        <v>329</v>
      </c>
      <c r="J225" s="70">
        <v>1308.27</v>
      </c>
      <c r="K225" s="67">
        <v>13589</v>
      </c>
      <c r="L225" s="68">
        <v>1.6999999999999999E-3</v>
      </c>
      <c r="M225" s="68">
        <v>6.7599999999999993E-2</v>
      </c>
      <c r="N225" s="146" t="s">
        <v>329</v>
      </c>
      <c r="O225" s="71">
        <v>47070573630.489998</v>
      </c>
      <c r="P225" s="66">
        <f t="shared" si="174"/>
        <v>0.33266440241434214</v>
      </c>
      <c r="Q225" s="146" t="s">
        <v>329</v>
      </c>
      <c r="R225" s="70">
        <v>1312.11</v>
      </c>
      <c r="S225" s="146" t="s">
        <v>329</v>
      </c>
      <c r="T225" s="70">
        <v>1312.11</v>
      </c>
      <c r="U225" s="67">
        <v>13658</v>
      </c>
      <c r="V225" s="68">
        <v>2.8999999999999998E-3</v>
      </c>
      <c r="W225" s="68">
        <v>7.0499999999999993E-2</v>
      </c>
      <c r="X225" s="160">
        <f t="shared" si="175"/>
        <v>2.6157539574684099E-3</v>
      </c>
      <c r="Y225" s="160">
        <f t="shared" si="176"/>
        <v>2.9351739319864538E-3</v>
      </c>
      <c r="Z225" s="160">
        <f t="shared" si="177"/>
        <v>5.0776363234969462E-3</v>
      </c>
      <c r="AA225" s="160">
        <f t="shared" si="178"/>
        <v>1.1999999999999999E-3</v>
      </c>
      <c r="AB225" s="161">
        <f t="shared" si="179"/>
        <v>2.8999999999999998E-3</v>
      </c>
    </row>
    <row r="226" spans="1:32">
      <c r="A226" s="205">
        <v>194</v>
      </c>
      <c r="B226" s="59" t="s">
        <v>250</v>
      </c>
      <c r="C226" s="60" t="s">
        <v>251</v>
      </c>
      <c r="D226" s="146" t="s">
        <v>329</v>
      </c>
      <c r="E226" s="71">
        <v>594427424.03999996</v>
      </c>
      <c r="F226" s="66">
        <f t="shared" si="185"/>
        <v>4.1376325740852208E-3</v>
      </c>
      <c r="G226" s="146" t="s">
        <v>329</v>
      </c>
      <c r="H226" s="109">
        <v>141.77000000000001</v>
      </c>
      <c r="I226" s="146" t="s">
        <v>329</v>
      </c>
      <c r="J226" s="109">
        <v>142.22999999999999</v>
      </c>
      <c r="K226" s="85">
        <v>145</v>
      </c>
      <c r="L226" s="68">
        <v>-5.9999999999999995E-4</v>
      </c>
      <c r="M226" s="68">
        <v>0.16589999999999999</v>
      </c>
      <c r="N226" s="146" t="s">
        <v>329</v>
      </c>
      <c r="O226" s="71">
        <v>592532146.64999998</v>
      </c>
      <c r="P226" s="66">
        <f t="shared" si="174"/>
        <v>4.1876343811737323E-3</v>
      </c>
      <c r="Q226" s="146" t="s">
        <v>329</v>
      </c>
      <c r="R226" s="109">
        <v>141.68</v>
      </c>
      <c r="S226" s="146" t="s">
        <v>329</v>
      </c>
      <c r="T226" s="109">
        <v>142.136</v>
      </c>
      <c r="U226" s="85">
        <v>145</v>
      </c>
      <c r="V226" s="68">
        <v>-2.0000000000000001E-4</v>
      </c>
      <c r="W226" s="68">
        <v>0.1651</v>
      </c>
      <c r="X226" s="160">
        <f>((O226-E226)/E226)</f>
        <v>-3.1884083966362384E-3</v>
      </c>
      <c r="Y226" s="160">
        <f t="shared" si="176"/>
        <v>-6.6090135695699985E-4</v>
      </c>
      <c r="Z226" s="160">
        <f t="shared" si="177"/>
        <v>0</v>
      </c>
      <c r="AA226" s="160">
        <f t="shared" si="178"/>
        <v>3.9999999999999996E-4</v>
      </c>
      <c r="AB226" s="161">
        <f t="shared" si="179"/>
        <v>-7.9999999999999516E-4</v>
      </c>
    </row>
    <row r="227" spans="1:32">
      <c r="A227" s="205">
        <v>195</v>
      </c>
      <c r="B227" s="59" t="s">
        <v>252</v>
      </c>
      <c r="C227" s="60" t="s">
        <v>251</v>
      </c>
      <c r="D227" s="146" t="s">
        <v>329</v>
      </c>
      <c r="E227" s="71">
        <v>1034731744.5700001</v>
      </c>
      <c r="F227" s="66">
        <f t="shared" si="185"/>
        <v>7.2024600457948626E-3</v>
      </c>
      <c r="G227" s="146" t="s">
        <v>329</v>
      </c>
      <c r="H227" s="109">
        <v>148.86000000000001</v>
      </c>
      <c r="I227" s="146" t="s">
        <v>329</v>
      </c>
      <c r="J227" s="109">
        <v>148.86000000000001</v>
      </c>
      <c r="K227" s="85">
        <v>141</v>
      </c>
      <c r="L227" s="68">
        <v>4.1000000000000003E-3</v>
      </c>
      <c r="M227" s="68">
        <v>9.7600000000000006E-2</v>
      </c>
      <c r="N227" s="146" t="s">
        <v>329</v>
      </c>
      <c r="O227" s="71">
        <v>1037388343.53</v>
      </c>
      <c r="P227" s="66">
        <f t="shared" si="174"/>
        <v>7.3315905618892129E-3</v>
      </c>
      <c r="Q227" s="146" t="s">
        <v>329</v>
      </c>
      <c r="R227" s="109">
        <v>149.55000000000001</v>
      </c>
      <c r="S227" s="146" t="s">
        <v>329</v>
      </c>
      <c r="T227" s="109">
        <v>149.55000000000001</v>
      </c>
      <c r="U227" s="85">
        <v>142</v>
      </c>
      <c r="V227" s="68">
        <v>5.4000000000000003E-3</v>
      </c>
      <c r="W227" s="68">
        <v>0.1027</v>
      </c>
      <c r="X227" s="160">
        <f t="shared" si="175"/>
        <v>2.5674277163535877E-3</v>
      </c>
      <c r="Y227" s="160">
        <f t="shared" si="176"/>
        <v>4.6352277307537123E-3</v>
      </c>
      <c r="Z227" s="160">
        <f t="shared" si="177"/>
        <v>7.0921985815602835E-3</v>
      </c>
      <c r="AA227" s="160">
        <f t="shared" si="178"/>
        <v>1.2999999999999999E-3</v>
      </c>
      <c r="AB227" s="161">
        <f t="shared" si="179"/>
        <v>5.0999999999999934E-3</v>
      </c>
    </row>
    <row r="228" spans="1:32" ht="13.5" customHeight="1">
      <c r="A228" s="205">
        <v>196</v>
      </c>
      <c r="B228" s="59" t="s">
        <v>253</v>
      </c>
      <c r="C228" s="60" t="s">
        <v>98</v>
      </c>
      <c r="D228" s="146" t="s">
        <v>329</v>
      </c>
      <c r="E228" s="71">
        <v>3608854775</v>
      </c>
      <c r="F228" s="66">
        <f t="shared" si="185"/>
        <v>2.5120165167847614E-2</v>
      </c>
      <c r="G228" s="146" t="s">
        <v>329</v>
      </c>
      <c r="H228" s="91">
        <v>108.51</v>
      </c>
      <c r="I228" s="146" t="s">
        <v>329</v>
      </c>
      <c r="J228" s="91">
        <v>108.51</v>
      </c>
      <c r="K228" s="67">
        <v>948</v>
      </c>
      <c r="L228" s="68">
        <v>3.5000000000000001E-3</v>
      </c>
      <c r="M228" s="68">
        <v>0.1852</v>
      </c>
      <c r="N228" s="146" t="s">
        <v>329</v>
      </c>
      <c r="O228" s="71">
        <v>3945098570</v>
      </c>
      <c r="P228" s="66">
        <f t="shared" si="174"/>
        <v>2.7881407789018778E-2</v>
      </c>
      <c r="Q228" s="146" t="s">
        <v>329</v>
      </c>
      <c r="R228" s="91">
        <v>108.88</v>
      </c>
      <c r="S228" s="146" t="s">
        <v>329</v>
      </c>
      <c r="T228" s="91">
        <v>108.88</v>
      </c>
      <c r="U228" s="67">
        <v>955</v>
      </c>
      <c r="V228" s="68">
        <v>3.3999999999999998E-3</v>
      </c>
      <c r="W228" s="68">
        <v>0.1852</v>
      </c>
      <c r="X228" s="160">
        <f t="shared" si="175"/>
        <v>9.3171883038712738E-2</v>
      </c>
      <c r="Y228" s="160">
        <f t="shared" si="176"/>
        <v>3.409823979356652E-3</v>
      </c>
      <c r="Z228" s="160">
        <f t="shared" si="177"/>
        <v>7.3839662447257384E-3</v>
      </c>
      <c r="AA228" s="160">
        <f t="shared" si="178"/>
        <v>-1.0000000000000026E-4</v>
      </c>
      <c r="AB228" s="161">
        <f t="shared" si="179"/>
        <v>0</v>
      </c>
    </row>
    <row r="229" spans="1:32" ht="15.75" customHeight="1">
      <c r="A229" s="205">
        <v>197</v>
      </c>
      <c r="B229" s="59" t="s">
        <v>254</v>
      </c>
      <c r="C229" s="60" t="s">
        <v>46</v>
      </c>
      <c r="D229" s="146" t="s">
        <v>329</v>
      </c>
      <c r="E229" s="71">
        <v>2606472990.4400001</v>
      </c>
      <c r="F229" s="66">
        <f t="shared" si="185"/>
        <v>1.8142883575963928E-2</v>
      </c>
      <c r="G229" s="146" t="s">
        <v>329</v>
      </c>
      <c r="H229" s="91">
        <v>153.6</v>
      </c>
      <c r="I229" s="146" t="s">
        <v>329</v>
      </c>
      <c r="J229" s="91">
        <v>153.6</v>
      </c>
      <c r="K229" s="67">
        <v>3224</v>
      </c>
      <c r="L229" s="68">
        <v>-2E-3</v>
      </c>
      <c r="M229" s="68">
        <v>0.14319999999999999</v>
      </c>
      <c r="N229" s="146" t="s">
        <v>329</v>
      </c>
      <c r="O229" s="71">
        <v>2508682583.1900001</v>
      </c>
      <c r="P229" s="66">
        <f t="shared" si="174"/>
        <v>1.7729747653714371E-2</v>
      </c>
      <c r="Q229" s="146" t="s">
        <v>329</v>
      </c>
      <c r="R229" s="91">
        <v>153.41999999999999</v>
      </c>
      <c r="S229" s="146" t="s">
        <v>329</v>
      </c>
      <c r="T229" s="91">
        <v>153.41999999999999</v>
      </c>
      <c r="U229" s="67">
        <v>3304</v>
      </c>
      <c r="V229" s="68">
        <v>-1.6000000000000001E-3</v>
      </c>
      <c r="W229" s="68">
        <v>0.1338</v>
      </c>
      <c r="X229" s="160">
        <f t="shared" si="175"/>
        <v>-3.7518289124297409E-2</v>
      </c>
      <c r="Y229" s="160">
        <f t="shared" si="176"/>
        <v>-1.1718750000000444E-3</v>
      </c>
      <c r="Z229" s="160">
        <f t="shared" si="177"/>
        <v>2.4813895781637719E-2</v>
      </c>
      <c r="AA229" s="160">
        <f t="shared" si="178"/>
        <v>3.9999999999999996E-4</v>
      </c>
      <c r="AB229" s="161">
        <f t="shared" si="179"/>
        <v>-9.3999999999999917E-3</v>
      </c>
    </row>
    <row r="230" spans="1:32">
      <c r="A230" s="205">
        <v>198</v>
      </c>
      <c r="B230" s="59" t="s">
        <v>255</v>
      </c>
      <c r="C230" s="60" t="s">
        <v>49</v>
      </c>
      <c r="D230" s="146" t="s">
        <v>329</v>
      </c>
      <c r="E230" s="71">
        <v>4140785579.9299998</v>
      </c>
      <c r="F230" s="66">
        <f t="shared" si="185"/>
        <v>2.8822777356698501E-2</v>
      </c>
      <c r="G230" s="146" t="s">
        <v>329</v>
      </c>
      <c r="H230" s="91">
        <v>1.2823</v>
      </c>
      <c r="I230" s="146" t="s">
        <v>329</v>
      </c>
      <c r="J230" s="91">
        <v>1.2823</v>
      </c>
      <c r="K230" s="67">
        <v>2279</v>
      </c>
      <c r="L230" s="68">
        <v>1.8E-3</v>
      </c>
      <c r="M230" s="68">
        <v>9.7799999999999998E-2</v>
      </c>
      <c r="N230" s="146" t="s">
        <v>329</v>
      </c>
      <c r="O230" s="71">
        <v>4110291658.5999999</v>
      </c>
      <c r="P230" s="66">
        <f t="shared" si="174"/>
        <v>2.9048885809012614E-2</v>
      </c>
      <c r="Q230" s="146" t="s">
        <v>329</v>
      </c>
      <c r="R230" s="91">
        <v>1.28546</v>
      </c>
      <c r="S230" s="146" t="s">
        <v>329</v>
      </c>
      <c r="T230" s="91">
        <v>1.28546</v>
      </c>
      <c r="U230" s="67">
        <v>2306</v>
      </c>
      <c r="V230" s="68">
        <v>2.5000000000000001E-3</v>
      </c>
      <c r="W230" s="68">
        <v>9.8699999999999996E-2</v>
      </c>
      <c r="X230" s="160">
        <f t="shared" si="175"/>
        <v>-7.3642840812142285E-3</v>
      </c>
      <c r="Y230" s="160">
        <f t="shared" si="176"/>
        <v>2.4643219215472602E-3</v>
      </c>
      <c r="Z230" s="160">
        <f t="shared" si="177"/>
        <v>1.184730144800351E-2</v>
      </c>
      <c r="AA230" s="160">
        <f t="shared" si="178"/>
        <v>7.000000000000001E-4</v>
      </c>
      <c r="AB230" s="161">
        <f t="shared" si="179"/>
        <v>8.9999999999999802E-4</v>
      </c>
    </row>
    <row r="231" spans="1:32" ht="4.8" customHeight="1">
      <c r="B231" s="218"/>
      <c r="C231" s="218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</row>
    <row r="232" spans="1:32">
      <c r="A232" s="170"/>
      <c r="B232" s="222" t="s">
        <v>333</v>
      </c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  <c r="AA232" s="222"/>
      <c r="AB232" s="222"/>
    </row>
    <row r="233" spans="1:32">
      <c r="A233" s="205">
        <v>199</v>
      </c>
      <c r="B233" s="59" t="s">
        <v>256</v>
      </c>
      <c r="C233" s="60" t="s">
        <v>19</v>
      </c>
      <c r="D233" s="146" t="s">
        <v>329</v>
      </c>
      <c r="E233" s="107">
        <v>661095761.94000006</v>
      </c>
      <c r="F233" s="66">
        <f>(E233/$E$209)</f>
        <v>3.1083056707031279E-2</v>
      </c>
      <c r="G233" s="146" t="s">
        <v>329</v>
      </c>
      <c r="H233" s="108">
        <v>119.3562</v>
      </c>
      <c r="I233" s="146" t="s">
        <v>329</v>
      </c>
      <c r="J233" s="108">
        <v>119.3562</v>
      </c>
      <c r="K233" s="63">
        <v>110</v>
      </c>
      <c r="L233" s="64">
        <v>-7.1000000000000004E-3</v>
      </c>
      <c r="M233" s="64">
        <v>0.13800000000000001</v>
      </c>
      <c r="N233" s="146" t="s">
        <v>329</v>
      </c>
      <c r="O233" s="107">
        <v>655624148.10000002</v>
      </c>
      <c r="P233" s="88">
        <f>(O233/O234)</f>
        <v>3.3199042128457729E-2</v>
      </c>
      <c r="Q233" s="146" t="s">
        <v>329</v>
      </c>
      <c r="R233" s="108">
        <v>118.35</v>
      </c>
      <c r="S233" s="146" t="s">
        <v>329</v>
      </c>
      <c r="T233" s="108">
        <v>118.35</v>
      </c>
      <c r="U233" s="63">
        <v>110</v>
      </c>
      <c r="V233" s="64">
        <v>-8.3999999999999995E-3</v>
      </c>
      <c r="W233" s="64">
        <v>0.12839999999999999</v>
      </c>
      <c r="X233" s="160">
        <f>((O233-E233)/E233)</f>
        <v>-8.2765828417103483E-3</v>
      </c>
      <c r="Y233" s="160">
        <f t="shared" ref="Y233" si="186">((T233-J233)/J233)</f>
        <v>-8.4302281741543954E-3</v>
      </c>
      <c r="Z233" s="160">
        <f t="shared" ref="Z233" si="187">((U233-K233)/K233)</f>
        <v>0</v>
      </c>
      <c r="AA233" s="160">
        <f t="shared" ref="AA233" si="188">V233-L233</f>
        <v>-1.2999999999999991E-3</v>
      </c>
      <c r="AB233" s="161">
        <f t="shared" ref="AB233" si="189">W233-M233</f>
        <v>-9.6000000000000252E-3</v>
      </c>
      <c r="AD233" s="52"/>
      <c r="AE233" s="52"/>
    </row>
    <row r="234" spans="1:32">
      <c r="A234" s="208">
        <v>200</v>
      </c>
      <c r="B234" s="59" t="s">
        <v>257</v>
      </c>
      <c r="C234" s="60" t="s">
        <v>23</v>
      </c>
      <c r="D234" s="146" t="s">
        <v>329</v>
      </c>
      <c r="E234" s="107">
        <v>20389837316.990002</v>
      </c>
      <c r="F234" s="66">
        <f>(E234/$E$209)</f>
        <v>0.95867876646388694</v>
      </c>
      <c r="G234" s="146" t="s">
        <v>329</v>
      </c>
      <c r="H234" s="108">
        <v>150.85589999999999</v>
      </c>
      <c r="I234" s="146" t="s">
        <v>329</v>
      </c>
      <c r="J234" s="108">
        <v>155.38951890000001</v>
      </c>
      <c r="K234" s="63">
        <v>7525</v>
      </c>
      <c r="L234" s="64">
        <v>-2.3999999999999998E-3</v>
      </c>
      <c r="M234" s="64">
        <v>-0.1231</v>
      </c>
      <c r="N234" s="146" t="s">
        <v>329</v>
      </c>
      <c r="O234" s="107">
        <v>19748285072.900002</v>
      </c>
      <c r="P234" s="88">
        <f>(O234/$O$209)</f>
        <v>0.99528755988526374</v>
      </c>
      <c r="Q234" s="146" t="s">
        <v>329</v>
      </c>
      <c r="R234" s="108">
        <v>148.6814</v>
      </c>
      <c r="S234" s="146" t="s">
        <v>329</v>
      </c>
      <c r="T234" s="108">
        <v>153.1495189</v>
      </c>
      <c r="U234" s="63">
        <v>7514</v>
      </c>
      <c r="V234" s="64">
        <v>-1.44E-2</v>
      </c>
      <c r="W234" s="64">
        <v>0.42770000000000002</v>
      </c>
      <c r="X234" s="160">
        <f>((O234-E234)/E234)</f>
        <v>-3.1464314016641091E-2</v>
      </c>
      <c r="Y234" s="160">
        <f t="shared" ref="Y234" si="190">((T234-J234)/J234)</f>
        <v>-1.4415386673804863E-2</v>
      </c>
      <c r="Z234" s="160">
        <f t="shared" ref="Z234" si="191">((U234-K234)/K234)</f>
        <v>-1.4617940199335548E-3</v>
      </c>
      <c r="AA234" s="160">
        <f t="shared" ref="AA234" si="192">V234-L234</f>
        <v>-1.2E-2</v>
      </c>
      <c r="AB234" s="161">
        <f t="shared" ref="AB234" si="193">W234-M234</f>
        <v>0.55080000000000007</v>
      </c>
      <c r="AC234" s="41"/>
      <c r="AD234" s="41"/>
      <c r="AE234" s="41"/>
      <c r="AF234" s="52"/>
    </row>
    <row r="235" spans="1:32">
      <c r="A235" s="205">
        <v>201</v>
      </c>
      <c r="B235" s="59" t="s">
        <v>258</v>
      </c>
      <c r="C235" s="60" t="s">
        <v>238</v>
      </c>
      <c r="D235" s="146" t="s">
        <v>329</v>
      </c>
      <c r="E235" s="71">
        <v>412616244.06999999</v>
      </c>
      <c r="F235" s="66">
        <f t="shared" ref="F235" si="194">(E235/$E$237)</f>
        <v>2.872099003201181E-3</v>
      </c>
      <c r="G235" s="146" t="s">
        <v>329</v>
      </c>
      <c r="H235" s="70">
        <v>1685.34</v>
      </c>
      <c r="I235" s="146" t="s">
        <v>329</v>
      </c>
      <c r="J235" s="70">
        <v>1685.34</v>
      </c>
      <c r="K235" s="67">
        <v>183</v>
      </c>
      <c r="L235" s="68">
        <v>-6.9999999999999999E-4</v>
      </c>
      <c r="M235" s="68">
        <v>0.35039999999999999</v>
      </c>
      <c r="N235" s="146" t="s">
        <v>329</v>
      </c>
      <c r="O235" s="71">
        <v>414182074.88999999</v>
      </c>
      <c r="P235" s="66">
        <f t="shared" ref="P235" si="195">(O235/$O$237)</f>
        <v>2.9271713048503131E-3</v>
      </c>
      <c r="Q235" s="146" t="s">
        <v>329</v>
      </c>
      <c r="R235" s="70">
        <v>1658.3</v>
      </c>
      <c r="S235" s="146" t="s">
        <v>329</v>
      </c>
      <c r="T235" s="70">
        <v>1658.3</v>
      </c>
      <c r="U235" s="67">
        <v>183</v>
      </c>
      <c r="V235" s="68">
        <v>-1.6E-2</v>
      </c>
      <c r="W235" s="68">
        <v>0.32869999999999999</v>
      </c>
      <c r="X235" s="160">
        <f t="shared" ref="X235" si="196">((O235-E235)/E235)</f>
        <v>3.7948840902500944E-3</v>
      </c>
      <c r="Y235" s="160">
        <f t="shared" ref="Y235" si="197">((T235-J235)/J235)</f>
        <v>-1.6044240331327782E-2</v>
      </c>
      <c r="Z235" s="160">
        <f t="shared" ref="Z235" si="198">((U235-K235)/K235)</f>
        <v>0</v>
      </c>
      <c r="AA235" s="160">
        <f t="shared" ref="AA235" si="199">V235-L235</f>
        <v>-1.5300000000000001E-2</v>
      </c>
      <c r="AB235" s="161">
        <f t="shared" ref="AB235" si="200">W235-M235</f>
        <v>-2.1699999999999997E-2</v>
      </c>
      <c r="AD235" s="175"/>
    </row>
    <row r="236" spans="1:32">
      <c r="A236" s="205">
        <v>202</v>
      </c>
      <c r="B236" s="59" t="s">
        <v>259</v>
      </c>
      <c r="C236" s="60" t="s">
        <v>260</v>
      </c>
      <c r="D236" s="146" t="s">
        <v>329</v>
      </c>
      <c r="E236" s="71">
        <v>184507140.75999999</v>
      </c>
      <c r="F236" s="66">
        <f t="shared" ref="F236" si="201">(E236/$E$237)</f>
        <v>1.2842993524278096E-3</v>
      </c>
      <c r="G236" s="146" t="s">
        <v>329</v>
      </c>
      <c r="H236" s="70">
        <v>136.59</v>
      </c>
      <c r="I236" s="146" t="s">
        <v>329</v>
      </c>
      <c r="J236" s="70">
        <v>139.4</v>
      </c>
      <c r="K236" s="67">
        <v>316</v>
      </c>
      <c r="L236" s="68">
        <v>6.3299999999999995E-2</v>
      </c>
      <c r="M236" s="68">
        <v>0.25269999999999998</v>
      </c>
      <c r="N236" s="146" t="s">
        <v>329</v>
      </c>
      <c r="O236" s="71">
        <v>179877153.18000001</v>
      </c>
      <c r="P236" s="66">
        <f t="shared" ref="P236" si="202">(O236/$O$237)</f>
        <v>1.2712555011621361E-3</v>
      </c>
      <c r="Q236" s="146" t="s">
        <v>329</v>
      </c>
      <c r="R236" s="70">
        <v>134.97</v>
      </c>
      <c r="S236" s="146" t="s">
        <v>329</v>
      </c>
      <c r="T236" s="70">
        <v>137.75</v>
      </c>
      <c r="U236" s="67">
        <v>325</v>
      </c>
      <c r="V236" s="68">
        <v>-1.1900000000000001E-2</v>
      </c>
      <c r="W236" s="68">
        <v>0.24099999999999999</v>
      </c>
      <c r="X236" s="160">
        <f t="shared" ref="X236" si="203">((O236-E236)/E236)</f>
        <v>-2.509381241792966E-2</v>
      </c>
      <c r="Y236" s="160">
        <f t="shared" ref="Y236" si="204">((T236-J236)/J236)</f>
        <v>-1.1836441893830743E-2</v>
      </c>
      <c r="Z236" s="160">
        <f t="shared" ref="Z236" si="205">((U236-K236)/K236)</f>
        <v>2.8481012658227847E-2</v>
      </c>
      <c r="AA236" s="160">
        <f t="shared" ref="AA236" si="206">V236-L236</f>
        <v>-7.5199999999999989E-2</v>
      </c>
      <c r="AB236" s="161">
        <f t="shared" ref="AB236" si="207">W236-M236</f>
        <v>-1.1699999999999988E-2</v>
      </c>
    </row>
    <row r="237" spans="1:32">
      <c r="B237" s="74"/>
      <c r="C237" s="98" t="s">
        <v>52</v>
      </c>
      <c r="D237" s="120" t="s">
        <v>329</v>
      </c>
      <c r="E237" s="89">
        <f>SUM(E213:E236)</f>
        <v>143663656305.06003</v>
      </c>
      <c r="F237" s="77">
        <f>(E237/$E$238)</f>
        <v>1.5784553824002349E-2</v>
      </c>
      <c r="G237" s="120" t="s">
        <v>329</v>
      </c>
      <c r="H237" s="78"/>
      <c r="I237" s="120" t="s">
        <v>329</v>
      </c>
      <c r="J237" s="102"/>
      <c r="K237" s="110">
        <f>SUM(K213:K236)</f>
        <v>57445</v>
      </c>
      <c r="L237" s="103"/>
      <c r="M237" s="103"/>
      <c r="N237" s="146" t="s">
        <v>329</v>
      </c>
      <c r="O237" s="89">
        <f>SUM(O213:O236)</f>
        <v>141495673383.96002</v>
      </c>
      <c r="P237" s="77">
        <f>(O237/$O$238)</f>
        <v>1.558062987029718E-2</v>
      </c>
      <c r="Q237" s="146" t="s">
        <v>329</v>
      </c>
      <c r="R237" s="78"/>
      <c r="S237" s="146" t="s">
        <v>329</v>
      </c>
      <c r="T237" s="102"/>
      <c r="U237" s="80">
        <f>SUM(U213:U236)</f>
        <v>57916</v>
      </c>
      <c r="V237" s="103"/>
      <c r="W237" s="103"/>
      <c r="X237" s="160">
        <f t="shared" si="175"/>
        <v>-1.5090684567406814E-2</v>
      </c>
      <c r="Y237" s="160" t="e">
        <f t="shared" si="176"/>
        <v>#DIV/0!</v>
      </c>
      <c r="Z237" s="160">
        <f t="shared" si="177"/>
        <v>8.1991470101836546E-3</v>
      </c>
      <c r="AA237" s="160">
        <f t="shared" si="178"/>
        <v>0</v>
      </c>
      <c r="AB237" s="161">
        <f t="shared" si="179"/>
        <v>0</v>
      </c>
    </row>
    <row r="238" spans="1:32">
      <c r="A238" s="171"/>
      <c r="B238" s="111"/>
      <c r="C238" s="112" t="s">
        <v>261</v>
      </c>
      <c r="D238" s="112"/>
      <c r="E238" s="113">
        <f>SUM(E26,E76,E117,E161,E170,E203,E209,E237)</f>
        <v>9101534190127.1758</v>
      </c>
      <c r="F238" s="114"/>
      <c r="G238" s="114"/>
      <c r="H238" s="114"/>
      <c r="I238" s="114"/>
      <c r="J238" s="115"/>
      <c r="K238" s="113">
        <f>SUM(K26,K76,K117,K161,K170,K203,K209,K237)</f>
        <v>1396482</v>
      </c>
      <c r="L238" s="116"/>
      <c r="M238" s="116"/>
      <c r="N238" s="116"/>
      <c r="O238" s="113">
        <f>SUM(O26,O76,O117,O161,O170,O203,O209,O237)</f>
        <v>9081511759271.4609</v>
      </c>
      <c r="P238" s="114"/>
      <c r="Q238" s="114"/>
      <c r="R238" s="114"/>
      <c r="S238" s="114"/>
      <c r="T238" s="115"/>
      <c r="U238" s="113">
        <f>SUM(U26,U76,U117,U161,U170,U203,U209,U237)</f>
        <v>1405955</v>
      </c>
      <c r="V238" s="117"/>
      <c r="W238" s="113"/>
      <c r="X238" s="118">
        <f t="shared" si="175"/>
        <v>-2.1998962413868678E-3</v>
      </c>
      <c r="Y238" s="118"/>
      <c r="Z238" s="118"/>
      <c r="AA238" s="118"/>
      <c r="AB238" s="118"/>
    </row>
    <row r="239" spans="1:32" ht="6.75" customHeight="1">
      <c r="B239" s="218"/>
      <c r="C239" s="218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S239" s="218"/>
      <c r="T239" s="218"/>
      <c r="U239" s="218"/>
      <c r="V239" s="218"/>
      <c r="W239" s="218"/>
      <c r="X239" s="218"/>
      <c r="Y239" s="218"/>
      <c r="Z239" s="218"/>
      <c r="AA239" s="218"/>
      <c r="AB239" s="74"/>
    </row>
    <row r="240" spans="1:32" ht="14.4" customHeight="1">
      <c r="A240" s="166"/>
      <c r="B240" s="221" t="s">
        <v>262</v>
      </c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  <c r="AA240" s="221"/>
      <c r="AB240" s="221"/>
    </row>
    <row r="241" spans="1:33" ht="14.4" customHeight="1">
      <c r="A241" s="205">
        <v>1</v>
      </c>
      <c r="B241" s="59" t="s">
        <v>263</v>
      </c>
      <c r="C241" s="60" t="s">
        <v>23</v>
      </c>
      <c r="D241" s="149">
        <v>1882723.94</v>
      </c>
      <c r="E241" s="71">
        <v>2562075879.800324</v>
      </c>
      <c r="F241" s="66">
        <f t="shared" ref="F241" si="208">(E241/$E$237)</f>
        <v>1.7833848488165507E-2</v>
      </c>
      <c r="G241" s="149">
        <v>1.0589</v>
      </c>
      <c r="H241" s="70">
        <v>1440.9877579399999</v>
      </c>
      <c r="I241" s="70">
        <v>1.0589</v>
      </c>
      <c r="J241" s="70">
        <v>1440.9877579399999</v>
      </c>
      <c r="K241" s="67">
        <v>60</v>
      </c>
      <c r="L241" s="68">
        <v>3.9399999999999998E-2</v>
      </c>
      <c r="M241" s="68">
        <v>4.82E-2</v>
      </c>
      <c r="N241" s="149">
        <v>1927053.22</v>
      </c>
      <c r="O241" s="71">
        <f>1927053.22*1364.3569</f>
        <v>2629188357.374218</v>
      </c>
      <c r="P241" s="66">
        <f t="shared" ref="P241:P246" si="209">(O241/$O$247)</f>
        <v>8.4522798779875272E-2</v>
      </c>
      <c r="Q241" s="149">
        <v>1.0590999999999999</v>
      </c>
      <c r="R241" s="70">
        <f>1.0591*1364.3569</f>
        <v>1444.99039279</v>
      </c>
      <c r="S241" s="149">
        <v>1.0590999999999999</v>
      </c>
      <c r="T241" s="70">
        <f>1.0591*1364.3569</f>
        <v>1444.99039279</v>
      </c>
      <c r="U241" s="67">
        <v>61</v>
      </c>
      <c r="V241" s="68">
        <v>9.7999999999999997E-3</v>
      </c>
      <c r="W241" s="68">
        <v>4.6600000000000003E-2</v>
      </c>
      <c r="X241" s="160">
        <f t="shared" ref="X241" si="210">((O241-E241)/E241)</f>
        <v>2.6194570622601721E-2</v>
      </c>
      <c r="Y241" s="160">
        <f t="shared" ref="Y241" si="211">((T241-J241)/J241)</f>
        <v>2.7777021893108352E-3</v>
      </c>
      <c r="Z241" s="160">
        <f t="shared" ref="Z241" si="212">((U241-K241)/K241)</f>
        <v>1.6666666666666666E-2</v>
      </c>
      <c r="AA241" s="160">
        <f t="shared" ref="AA241" si="213">V241-L241</f>
        <v>-2.9599999999999998E-2</v>
      </c>
      <c r="AB241" s="161">
        <f t="shared" ref="AB241" si="214">W241-M241</f>
        <v>-1.5999999999999973E-3</v>
      </c>
    </row>
    <row r="242" spans="1:33" ht="14.4" customHeight="1">
      <c r="A242" s="208">
        <v>2</v>
      </c>
      <c r="B242" s="59" t="s">
        <v>264</v>
      </c>
      <c r="C242" s="60" t="s">
        <v>198</v>
      </c>
      <c r="D242" s="147" t="s">
        <v>329</v>
      </c>
      <c r="E242" s="71">
        <v>15193808127.870001</v>
      </c>
      <c r="F242" s="66">
        <f t="shared" ref="F242" si="215">(E242/$E$237)</f>
        <v>0.10575958122356972</v>
      </c>
      <c r="G242" s="147" t="s">
        <v>329</v>
      </c>
      <c r="H242" s="70">
        <v>123.2</v>
      </c>
      <c r="I242" s="70" t="s">
        <v>329</v>
      </c>
      <c r="J242" s="70">
        <v>123.2</v>
      </c>
      <c r="K242" s="67">
        <v>11</v>
      </c>
      <c r="L242" s="68">
        <v>3.3999999999999998E-3</v>
      </c>
      <c r="M242" s="68">
        <v>2.6937000000000002</v>
      </c>
      <c r="N242" s="147" t="s">
        <v>329</v>
      </c>
      <c r="O242" s="71">
        <v>15246723021.25</v>
      </c>
      <c r="P242" s="66">
        <f t="shared" si="209"/>
        <v>0.49014963053641075</v>
      </c>
      <c r="Q242" s="147" t="s">
        <v>329</v>
      </c>
      <c r="R242" s="70">
        <v>123.2</v>
      </c>
      <c r="S242" s="147" t="s">
        <v>329</v>
      </c>
      <c r="T242" s="70">
        <v>123.2</v>
      </c>
      <c r="U242" s="67">
        <v>11</v>
      </c>
      <c r="V242" s="68">
        <v>3.5000000000000001E-3</v>
      </c>
      <c r="W242" s="68">
        <v>2.7065999999999999</v>
      </c>
      <c r="X242" s="160">
        <f t="shared" ref="X242" si="216">((O242-E242)/E242)</f>
        <v>3.4826616826190782E-3</v>
      </c>
      <c r="Y242" s="160">
        <f t="shared" ref="Y242" si="217">((T242-J242)/J242)</f>
        <v>0</v>
      </c>
      <c r="Z242" s="160">
        <f t="shared" ref="Z242" si="218">((U242-K242)/K242)</f>
        <v>0</v>
      </c>
      <c r="AA242" s="160">
        <f t="shared" ref="AA242" si="219">V242-L242</f>
        <v>1.0000000000000026E-4</v>
      </c>
      <c r="AB242" s="161">
        <f t="shared" ref="AB242" si="220">W242-M242</f>
        <v>1.2899999999999689E-2</v>
      </c>
      <c r="AD242" s="50"/>
      <c r="AE242" s="34"/>
      <c r="AG242" s="50"/>
    </row>
    <row r="243" spans="1:33" ht="14.4" customHeight="1">
      <c r="A243" s="205">
        <v>3</v>
      </c>
      <c r="B243" s="59" t="s">
        <v>265</v>
      </c>
      <c r="C243" s="60" t="s">
        <v>38</v>
      </c>
      <c r="D243" s="147" t="s">
        <v>329</v>
      </c>
      <c r="E243" s="71">
        <v>10885509975.219999</v>
      </c>
      <c r="F243" s="66">
        <f>(E243/$E$237)</f>
        <v>7.5770798650045199E-2</v>
      </c>
      <c r="G243" s="147" t="s">
        <v>329</v>
      </c>
      <c r="H243" s="70">
        <v>1.04</v>
      </c>
      <c r="I243" s="70" t="s">
        <v>329</v>
      </c>
      <c r="J243" s="70">
        <v>1.04</v>
      </c>
      <c r="K243" s="67">
        <v>16</v>
      </c>
      <c r="L243" s="68">
        <v>0.19170000000000001</v>
      </c>
      <c r="M243" s="68">
        <v>0.25009999999999999</v>
      </c>
      <c r="N243" s="147" t="s">
        <v>329</v>
      </c>
      <c r="O243" s="71">
        <v>10927872785.469999</v>
      </c>
      <c r="P243" s="66">
        <f t="shared" si="209"/>
        <v>0.35130780567612641</v>
      </c>
      <c r="Q243" s="147" t="s">
        <v>329</v>
      </c>
      <c r="R243" s="70">
        <v>1.048</v>
      </c>
      <c r="S243" s="147" t="s">
        <v>329</v>
      </c>
      <c r="T243" s="70">
        <v>1.048</v>
      </c>
      <c r="U243" s="67">
        <v>16</v>
      </c>
      <c r="V243" s="68">
        <v>3.8999999999999998E-3</v>
      </c>
      <c r="W243" s="68">
        <v>0.2024</v>
      </c>
      <c r="X243" s="160">
        <f>((O243-E243)/E243)</f>
        <v>3.8916697836330664E-3</v>
      </c>
      <c r="Y243" s="160">
        <f>((T243-J243)/J243)</f>
        <v>7.6923076923076988E-3</v>
      </c>
      <c r="Z243" s="160">
        <f>((U243-K243)/K243)</f>
        <v>0</v>
      </c>
      <c r="AA243" s="160">
        <f>V243-L243</f>
        <v>-0.18780000000000002</v>
      </c>
      <c r="AB243" s="161">
        <f>W243-M243</f>
        <v>-4.7699999999999992E-2</v>
      </c>
      <c r="AD243" s="174"/>
      <c r="AE243" s="34"/>
      <c r="AG243" s="174"/>
    </row>
    <row r="244" spans="1:33" ht="14.4" customHeight="1">
      <c r="A244" s="208">
        <v>4</v>
      </c>
      <c r="B244" s="59" t="s">
        <v>327</v>
      </c>
      <c r="C244" s="60" t="s">
        <v>79</v>
      </c>
      <c r="D244" s="149">
        <v>927133.63</v>
      </c>
      <c r="E244" s="71">
        <v>1263163942.8572001</v>
      </c>
      <c r="F244" s="66">
        <f>(E244/$E$237)</f>
        <v>8.7925086646476348E-3</v>
      </c>
      <c r="G244" s="149">
        <v>112.47</v>
      </c>
      <c r="H244" s="70">
        <v>153233.6268</v>
      </c>
      <c r="I244" s="70">
        <v>112.47</v>
      </c>
      <c r="J244" s="70">
        <v>153233.6268</v>
      </c>
      <c r="K244" s="67">
        <v>18</v>
      </c>
      <c r="L244" s="68">
        <v>8.9999999999999993E-3</v>
      </c>
      <c r="M244" s="68">
        <v>6.1000000000000004E-3</v>
      </c>
      <c r="N244" s="149">
        <v>927575.05</v>
      </c>
      <c r="O244" s="71">
        <f>927133.63*1368</f>
        <v>1268318805.8399999</v>
      </c>
      <c r="P244" s="66">
        <f t="shared" si="209"/>
        <v>4.0773744838049172E-2</v>
      </c>
      <c r="Q244" s="70">
        <v>112.52</v>
      </c>
      <c r="R244" s="70">
        <f>Q244*1368</f>
        <v>153927.35999999999</v>
      </c>
      <c r="S244" s="70">
        <v>112.52</v>
      </c>
      <c r="T244" s="70">
        <f>S244*1368</f>
        <v>153927.35999999999</v>
      </c>
      <c r="U244" s="67">
        <v>18</v>
      </c>
      <c r="V244" s="68">
        <v>4.0000000000000002E-4</v>
      </c>
      <c r="W244" s="68">
        <v>6.4999999999999997E-3</v>
      </c>
      <c r="X244" s="160">
        <f t="shared" ref="X244" si="221">((O244-E244)/E244)</f>
        <v>4.0809136549130598E-3</v>
      </c>
      <c r="Y244" s="160">
        <f t="shared" ref="Y244" si="222">((T244-J244)/J244)</f>
        <v>4.5272908726845321E-3</v>
      </c>
      <c r="Z244" s="160">
        <f t="shared" ref="Z244" si="223">((U244-K244)/K244)</f>
        <v>0</v>
      </c>
      <c r="AA244" s="160">
        <f t="shared" ref="AA244" si="224">V244-L244</f>
        <v>-8.6E-3</v>
      </c>
      <c r="AB244" s="161">
        <f t="shared" ref="AB244" si="225">W244-M244</f>
        <v>3.9999999999999931E-4</v>
      </c>
      <c r="AD244" s="41"/>
    </row>
    <row r="245" spans="1:33" ht="14.4" customHeight="1">
      <c r="A245" s="205">
        <v>5</v>
      </c>
      <c r="B245" s="59" t="s">
        <v>266</v>
      </c>
      <c r="C245" s="60" t="s">
        <v>49</v>
      </c>
      <c r="D245" s="147" t="s">
        <v>329</v>
      </c>
      <c r="E245" s="71">
        <v>461580135.85000002</v>
      </c>
      <c r="F245" s="66">
        <f t="shared" ref="F245" si="226">(E245/$E$237)</f>
        <v>3.2129220968027286E-3</v>
      </c>
      <c r="G245" s="147" t="s">
        <v>329</v>
      </c>
      <c r="H245" s="70">
        <v>1.5256000000000001</v>
      </c>
      <c r="I245" s="70" t="s">
        <v>329</v>
      </c>
      <c r="J245" s="70">
        <v>1.5256000000000001</v>
      </c>
      <c r="K245" s="67">
        <v>55</v>
      </c>
      <c r="L245" s="68">
        <v>6.9999999999999999E-4</v>
      </c>
      <c r="M245" s="68">
        <v>0.36799999999999999</v>
      </c>
      <c r="N245" s="147" t="s">
        <v>329</v>
      </c>
      <c r="O245" s="71">
        <v>451933219.82999998</v>
      </c>
      <c r="P245" s="66">
        <f t="shared" si="209"/>
        <v>1.4528689241489489E-2</v>
      </c>
      <c r="Q245" s="147" t="s">
        <v>329</v>
      </c>
      <c r="R245" s="70">
        <v>1.4904900000000001</v>
      </c>
      <c r="S245" s="147" t="s">
        <v>329</v>
      </c>
      <c r="T245" s="70">
        <v>1.4904900000000001</v>
      </c>
      <c r="U245" s="67">
        <v>60</v>
      </c>
      <c r="V245" s="68">
        <v>-2.3199999999999998E-2</v>
      </c>
      <c r="W245" s="68">
        <v>0.33660000000000001</v>
      </c>
      <c r="X245" s="160">
        <f t="shared" ref="X245:X247" si="227">((O245-E245)/E245)</f>
        <v>-2.0899764246213152E-2</v>
      </c>
      <c r="Y245" s="160">
        <f t="shared" ref="Y245" si="228">((T245-J245)/J245)</f>
        <v>-2.3013896171997884E-2</v>
      </c>
      <c r="Z245" s="160">
        <f t="shared" ref="Z245" si="229">((U245-K245)/K245)</f>
        <v>9.0909090909090912E-2</v>
      </c>
      <c r="AA245" s="160">
        <f t="shared" ref="AA245" si="230">V245-L245</f>
        <v>-2.3899999999999998E-2</v>
      </c>
      <c r="AB245" s="161">
        <f t="shared" ref="AB245" si="231">W245-M245</f>
        <v>-3.1399999999999983E-2</v>
      </c>
      <c r="AD245" s="31"/>
    </row>
    <row r="246" spans="1:33" ht="14.4" customHeight="1">
      <c r="A246" s="208">
        <v>6</v>
      </c>
      <c r="B246" s="59" t="s">
        <v>315</v>
      </c>
      <c r="C246" s="60" t="s">
        <v>115</v>
      </c>
      <c r="D246" s="149">
        <v>425914.07</v>
      </c>
      <c r="E246" s="71">
        <v>580872256.51775002</v>
      </c>
      <c r="F246" s="66">
        <v>0</v>
      </c>
      <c r="G246" s="149">
        <v>9.9600000000000009</v>
      </c>
      <c r="H246" s="70">
        <v>13583.697000000002</v>
      </c>
      <c r="I246" s="70">
        <v>9.9600000000000009</v>
      </c>
      <c r="J246" s="70">
        <v>13583.697000000002</v>
      </c>
      <c r="K246" s="67">
        <v>12</v>
      </c>
      <c r="L246" s="68">
        <v>1.06E-2</v>
      </c>
      <c r="M246" s="68">
        <v>-4.4999999999999997E-3</v>
      </c>
      <c r="N246" s="149">
        <v>424841.35</v>
      </c>
      <c r="O246" s="71">
        <f>424841.35*C269</f>
        <v>582226207.21905994</v>
      </c>
      <c r="P246" s="66">
        <f t="shared" si="209"/>
        <v>1.8717330928048913E-2</v>
      </c>
      <c r="Q246" s="149">
        <v>9.9301999999999992</v>
      </c>
      <c r="R246" s="70">
        <f>9.9302*C269</f>
        <v>13608.89819912</v>
      </c>
      <c r="S246" s="149">
        <v>9.9301999999999992</v>
      </c>
      <c r="T246" s="70">
        <f>9.9302*C269</f>
        <v>13608.89819912</v>
      </c>
      <c r="U246" s="67">
        <v>12</v>
      </c>
      <c r="V246" s="68">
        <v>-2.5000000000000001E-3</v>
      </c>
      <c r="W246" s="68">
        <v>-7.0000000000000001E-3</v>
      </c>
      <c r="X246" s="160">
        <f t="shared" ref="X246" si="232">((O246-E246)/E246)</f>
        <v>2.3308923539000969E-3</v>
      </c>
      <c r="Y246" s="160">
        <f t="shared" ref="Y246" si="233">((T246-J246)/J246)</f>
        <v>1.8552533319903929E-3</v>
      </c>
      <c r="Z246" s="160">
        <f t="shared" ref="Z246" si="234">((U246-K246)/K246)</f>
        <v>0</v>
      </c>
      <c r="AA246" s="160">
        <f t="shared" ref="AA246" si="235">V246-L246</f>
        <v>-1.3100000000000001E-2</v>
      </c>
      <c r="AB246" s="161">
        <f t="shared" ref="AB246" si="236">W246-M246</f>
        <v>-2.5000000000000005E-3</v>
      </c>
    </row>
    <row r="247" spans="1:33" ht="14.4" customHeight="1">
      <c r="A247" s="171"/>
      <c r="B247" s="119"/>
      <c r="C247" s="119" t="s">
        <v>52</v>
      </c>
      <c r="D247" s="119"/>
      <c r="E247" s="119">
        <f>SUM(E241:E246)</f>
        <v>30947010318.115276</v>
      </c>
      <c r="F247" s="119"/>
      <c r="G247" s="119"/>
      <c r="H247" s="119"/>
      <c r="I247" s="119"/>
      <c r="J247" s="119"/>
      <c r="K247" s="119">
        <f>SUM(K241:K246)</f>
        <v>172</v>
      </c>
      <c r="L247" s="119"/>
      <c r="M247" s="119"/>
      <c r="N247" s="119"/>
      <c r="O247" s="119">
        <f>SUM(O241:O246)</f>
        <v>31106262396.983276</v>
      </c>
      <c r="P247" s="119"/>
      <c r="Q247" s="119"/>
      <c r="R247" s="119"/>
      <c r="S247" s="119"/>
      <c r="T247" s="119"/>
      <c r="U247" s="119">
        <f>SUM(U241:U246)</f>
        <v>178</v>
      </c>
      <c r="V247" s="119"/>
      <c r="W247" s="119"/>
      <c r="X247" s="118">
        <f t="shared" si="227"/>
        <v>5.1459600533619084E-3</v>
      </c>
      <c r="Y247" s="119"/>
      <c r="Z247" s="119"/>
      <c r="AA247" s="119"/>
      <c r="AB247" s="119"/>
    </row>
    <row r="248" spans="1:33" ht="6" customHeight="1">
      <c r="B248" s="120"/>
      <c r="C248" s="98"/>
      <c r="D248" s="98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74"/>
    </row>
    <row r="249" spans="1:33" ht="15.6">
      <c r="A249" s="166"/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  <c r="AA249" s="221"/>
      <c r="AB249" s="221"/>
    </row>
    <row r="250" spans="1:33">
      <c r="A250" s="205">
        <v>1</v>
      </c>
      <c r="B250" s="59" t="s">
        <v>267</v>
      </c>
      <c r="C250" s="60" t="s">
        <v>268</v>
      </c>
      <c r="D250" s="147" t="s">
        <v>329</v>
      </c>
      <c r="E250" s="71">
        <v>132424914636</v>
      </c>
      <c r="F250" s="66">
        <f>(E250/$E$252)</f>
        <v>0.90962696300454715</v>
      </c>
      <c r="G250" s="147" t="s">
        <v>329</v>
      </c>
      <c r="H250" s="87">
        <v>129</v>
      </c>
      <c r="I250" s="147" t="s">
        <v>329</v>
      </c>
      <c r="J250" s="165">
        <v>129</v>
      </c>
      <c r="K250" s="67">
        <v>8081</v>
      </c>
      <c r="L250" s="68" t="s">
        <v>297</v>
      </c>
      <c r="M250" s="68">
        <v>2.1840000000000002E-3</v>
      </c>
      <c r="N250" s="147" t="s">
        <v>329</v>
      </c>
      <c r="O250" s="71">
        <v>134204151940</v>
      </c>
      <c r="P250" s="66">
        <f>(O250/$O$252)</f>
        <v>0.91039856254749285</v>
      </c>
      <c r="Q250" s="147" t="s">
        <v>329</v>
      </c>
      <c r="R250" s="87">
        <v>129</v>
      </c>
      <c r="S250" s="147" t="s">
        <v>329</v>
      </c>
      <c r="T250" s="165">
        <v>129</v>
      </c>
      <c r="U250" s="67">
        <v>8038</v>
      </c>
      <c r="V250" s="68" t="s">
        <v>297</v>
      </c>
      <c r="W250" s="68">
        <v>0.21840000000000001</v>
      </c>
      <c r="X250" s="160">
        <f>((O250-E250)/E250)</f>
        <v>1.3435819905118598E-2</v>
      </c>
      <c r="Y250" s="160">
        <f>((T250-J250)/J250)</f>
        <v>0</v>
      </c>
      <c r="Z250" s="160">
        <f>((U250-K250)/K250)</f>
        <v>-5.3211236233139461E-3</v>
      </c>
      <c r="AA250" s="160" t="e">
        <f>V250-L250</f>
        <v>#VALUE!</v>
      </c>
      <c r="AB250" s="161">
        <f>W250-M250</f>
        <v>0.21621600000000002</v>
      </c>
    </row>
    <row r="251" spans="1:33" ht="14.4" customHeight="1">
      <c r="A251" s="205">
        <v>2</v>
      </c>
      <c r="B251" s="59" t="s">
        <v>269</v>
      </c>
      <c r="C251" s="60" t="s">
        <v>49</v>
      </c>
      <c r="D251" s="147" t="s">
        <v>329</v>
      </c>
      <c r="E251" s="71">
        <v>13156647940.59</v>
      </c>
      <c r="F251" s="66">
        <f>(E251/$E$252)</f>
        <v>9.0373036995452835E-2</v>
      </c>
      <c r="G251" s="147" t="s">
        <v>329</v>
      </c>
      <c r="H251" s="121">
        <v>1000000</v>
      </c>
      <c r="I251" s="147" t="s">
        <v>329</v>
      </c>
      <c r="J251" s="121">
        <v>1000000</v>
      </c>
      <c r="K251" s="67">
        <v>26</v>
      </c>
      <c r="L251" s="68">
        <v>0.18149999999999999</v>
      </c>
      <c r="M251" s="68">
        <v>0.18149999999999999</v>
      </c>
      <c r="N251" s="147" t="s">
        <v>329</v>
      </c>
      <c r="O251" s="71">
        <v>13208374244.65</v>
      </c>
      <c r="P251" s="66">
        <f>(O251/$O$252)</f>
        <v>8.9601437452507218E-2</v>
      </c>
      <c r="Q251" s="147" t="s">
        <v>329</v>
      </c>
      <c r="R251" s="121">
        <v>1000000</v>
      </c>
      <c r="S251" s="147" t="s">
        <v>329</v>
      </c>
      <c r="T251" s="121">
        <v>1000000</v>
      </c>
      <c r="U251" s="67">
        <v>26</v>
      </c>
      <c r="V251" s="68">
        <v>0.18290000000000001</v>
      </c>
      <c r="W251" s="68">
        <v>0.18290000000000001</v>
      </c>
      <c r="X251" s="160">
        <f>((O251-E251)/E251)</f>
        <v>3.9315716505886706E-3</v>
      </c>
      <c r="Y251" s="160">
        <f>((T251-J251)/J251)</f>
        <v>0</v>
      </c>
      <c r="Z251" s="160">
        <f>((U251-K251)/K251)</f>
        <v>0</v>
      </c>
      <c r="AA251" s="160">
        <f>V251-L251</f>
        <v>1.4000000000000123E-3</v>
      </c>
      <c r="AB251" s="161">
        <f>W251-M251</f>
        <v>1.4000000000000123E-3</v>
      </c>
    </row>
    <row r="252" spans="1:33" ht="15" customHeight="1">
      <c r="A252" s="171"/>
      <c r="B252" s="111"/>
      <c r="C252" s="112" t="s">
        <v>270</v>
      </c>
      <c r="D252" s="112"/>
      <c r="E252" s="119">
        <f>SUM(E250:E251)</f>
        <v>145581562576.59</v>
      </c>
      <c r="F252" s="122"/>
      <c r="G252" s="122"/>
      <c r="H252" s="123"/>
      <c r="I252" s="123"/>
      <c r="J252" s="123"/>
      <c r="K252" s="119">
        <f>SUM(K250:K251)</f>
        <v>8107</v>
      </c>
      <c r="L252" s="124"/>
      <c r="M252" s="124"/>
      <c r="N252" s="124"/>
      <c r="O252" s="119">
        <f>SUM(O250:O251)</f>
        <v>147412526184.64999</v>
      </c>
      <c r="P252" s="122"/>
      <c r="Q252" s="122"/>
      <c r="R252" s="123"/>
      <c r="S252" s="123"/>
      <c r="T252" s="123"/>
      <c r="U252" s="119">
        <f>SUM(U250:U251)</f>
        <v>8064</v>
      </c>
      <c r="V252" s="124"/>
      <c r="W252" s="119"/>
      <c r="X252" s="118">
        <f>((O252-E252)/E252)</f>
        <v>1.2576892125997984E-2</v>
      </c>
      <c r="Y252" s="125"/>
      <c r="Z252" s="125"/>
      <c r="AA252" s="118"/>
      <c r="AB252" s="126"/>
    </row>
    <row r="253" spans="1:33" ht="4.5" customHeight="1"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  <c r="X253" s="223"/>
      <c r="Y253" s="223"/>
      <c r="Z253" s="223"/>
      <c r="AA253" s="223"/>
      <c r="AB253" s="223"/>
    </row>
    <row r="254" spans="1:33" ht="15.6">
      <c r="A254" s="166"/>
      <c r="B254" s="221"/>
      <c r="C254" s="221"/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  <c r="AA254" s="221"/>
      <c r="AB254" s="221"/>
      <c r="AD254" s="30"/>
    </row>
    <row r="255" spans="1:33">
      <c r="A255" s="208">
        <v>1</v>
      </c>
      <c r="B255" s="59" t="s">
        <v>271</v>
      </c>
      <c r="C255" s="60" t="s">
        <v>89</v>
      </c>
      <c r="D255" s="147" t="s">
        <v>329</v>
      </c>
      <c r="E255" s="127">
        <v>2331135079.1999998</v>
      </c>
      <c r="F255" s="128">
        <f t="shared" ref="F255:F266" si="237">(E255/$E$267)</f>
        <v>7.4532822947334862E-2</v>
      </c>
      <c r="G255" s="147" t="s">
        <v>329</v>
      </c>
      <c r="H255" s="173">
        <v>569.6</v>
      </c>
      <c r="I255" s="147" t="s">
        <v>329</v>
      </c>
      <c r="J255" s="173">
        <v>569.6</v>
      </c>
      <c r="K255" s="129">
        <v>2466</v>
      </c>
      <c r="L255" s="81">
        <v>1.01E-2</v>
      </c>
      <c r="M255" s="81">
        <v>0.61399999999999999</v>
      </c>
      <c r="N255" s="147" t="s">
        <v>329</v>
      </c>
      <c r="O255" s="127">
        <v>2249160586.5500002</v>
      </c>
      <c r="P255" s="128">
        <f t="shared" ref="P255:P266" si="238">(O255/$O$267)</f>
        <v>7.4536712022076734E-2</v>
      </c>
      <c r="Q255" s="147" t="s">
        <v>329</v>
      </c>
      <c r="R255" s="173">
        <v>549.57000000000005</v>
      </c>
      <c r="S255" s="147" t="s">
        <v>329</v>
      </c>
      <c r="T255" s="173">
        <v>549.57000000000005</v>
      </c>
      <c r="U255" s="129">
        <v>2438</v>
      </c>
      <c r="V255" s="81">
        <v>-3.5200000000000002E-2</v>
      </c>
      <c r="W255" s="81">
        <v>0.55720000000000003</v>
      </c>
      <c r="X255" s="160">
        <f>((O255-E255)/E255)</f>
        <v>-3.5165054732963684E-2</v>
      </c>
      <c r="Y255" s="160">
        <f>((T255-J255)/J255)</f>
        <v>-3.5165028089887591E-2</v>
      </c>
      <c r="Z255" s="160">
        <f>((U255-K255)/K255)</f>
        <v>-1.1354420113544201E-2</v>
      </c>
      <c r="AA255" s="160">
        <f>V255-L255</f>
        <v>-4.53E-2</v>
      </c>
      <c r="AB255" s="161">
        <f>W255-M255</f>
        <v>-5.6799999999999962E-2</v>
      </c>
      <c r="AD255" s="168"/>
      <c r="AF255" s="30"/>
    </row>
    <row r="256" spans="1:33">
      <c r="A256" s="205">
        <v>2</v>
      </c>
      <c r="B256" s="59" t="s">
        <v>272</v>
      </c>
      <c r="C256" s="60" t="s">
        <v>238</v>
      </c>
      <c r="D256" s="147" t="s">
        <v>329</v>
      </c>
      <c r="E256" s="127">
        <v>3700973328.1399999</v>
      </c>
      <c r="F256" s="128">
        <f t="shared" si="237"/>
        <v>0.11833033283242066</v>
      </c>
      <c r="G256" s="147" t="s">
        <v>329</v>
      </c>
      <c r="H256" s="121">
        <v>105.27</v>
      </c>
      <c r="I256" s="147" t="s">
        <v>329</v>
      </c>
      <c r="J256" s="121">
        <v>116.35</v>
      </c>
      <c r="K256" s="129">
        <v>3214</v>
      </c>
      <c r="L256" s="81">
        <v>-1.4E-3</v>
      </c>
      <c r="M256" s="81">
        <v>0.79520000000000002</v>
      </c>
      <c r="N256" s="147" t="s">
        <v>329</v>
      </c>
      <c r="O256" s="127">
        <v>3587237193.46</v>
      </c>
      <c r="P256" s="128">
        <f t="shared" si="238"/>
        <v>0.11888029127077485</v>
      </c>
      <c r="Q256" s="147" t="s">
        <v>329</v>
      </c>
      <c r="R256" s="121">
        <v>102.03</v>
      </c>
      <c r="S256" s="147" t="s">
        <v>329</v>
      </c>
      <c r="T256" s="121">
        <v>112.77</v>
      </c>
      <c r="U256" s="129">
        <v>3214</v>
      </c>
      <c r="V256" s="81">
        <v>-3.0700000000000002E-2</v>
      </c>
      <c r="W256" s="81">
        <v>0.74009999999999998</v>
      </c>
      <c r="X256" s="160">
        <f t="shared" ref="X256:X267" si="239">((O256-E256)/E256)</f>
        <v>-3.0731411603325511E-2</v>
      </c>
      <c r="Y256" s="160">
        <f t="shared" ref="Y256:Y267" si="240">((T256-J256)/J256)</f>
        <v>-3.0769230769230757E-2</v>
      </c>
      <c r="Z256" s="160">
        <f t="shared" ref="Z256:Z267" si="241">((U256-K256)/K256)</f>
        <v>0</v>
      </c>
      <c r="AA256" s="160">
        <f t="shared" ref="AA256:AA267" si="242">V256-L256</f>
        <v>-2.9300000000000003E-2</v>
      </c>
      <c r="AB256" s="161">
        <f t="shared" ref="AB256:AB267" si="243">W256-M256</f>
        <v>-5.5100000000000038E-2</v>
      </c>
      <c r="AD256" s="169"/>
    </row>
    <row r="257" spans="1:32">
      <c r="A257" s="205">
        <v>3</v>
      </c>
      <c r="B257" s="59" t="s">
        <v>273</v>
      </c>
      <c r="C257" s="60" t="s">
        <v>40</v>
      </c>
      <c r="D257" s="147" t="s">
        <v>329</v>
      </c>
      <c r="E257" s="127">
        <v>813490598.39999998</v>
      </c>
      <c r="F257" s="128">
        <f t="shared" si="237"/>
        <v>2.6009539850722133E-2</v>
      </c>
      <c r="G257" s="147" t="s">
        <v>329</v>
      </c>
      <c r="H257" s="121">
        <v>67.78</v>
      </c>
      <c r="I257" s="147" t="s">
        <v>329</v>
      </c>
      <c r="J257" s="121">
        <v>68.180000000000007</v>
      </c>
      <c r="K257" s="129">
        <v>1645</v>
      </c>
      <c r="L257" s="81">
        <v>2.2800000000000001E-2</v>
      </c>
      <c r="M257" s="81">
        <v>0.6764</v>
      </c>
      <c r="N257" s="147" t="s">
        <v>329</v>
      </c>
      <c r="O257" s="127">
        <v>778172246.02999997</v>
      </c>
      <c r="P257" s="128">
        <f t="shared" si="238"/>
        <v>2.5788465684827316E-2</v>
      </c>
      <c r="Q257" s="147" t="s">
        <v>329</v>
      </c>
      <c r="R257" s="121">
        <v>64.83</v>
      </c>
      <c r="S257" s="147" t="s">
        <v>329</v>
      </c>
      <c r="T257" s="121">
        <v>65.260000000000005</v>
      </c>
      <c r="U257" s="129">
        <v>1645</v>
      </c>
      <c r="V257" s="81">
        <v>-4.3400000000000001E-2</v>
      </c>
      <c r="W257" s="81">
        <v>0.60360000000000003</v>
      </c>
      <c r="X257" s="160">
        <f t="shared" si="239"/>
        <v>-4.3415808909734545E-2</v>
      </c>
      <c r="Y257" s="160">
        <f t="shared" si="240"/>
        <v>-4.2827808741566463E-2</v>
      </c>
      <c r="Z257" s="160">
        <f t="shared" si="241"/>
        <v>0</v>
      </c>
      <c r="AA257" s="160">
        <f t="shared" si="242"/>
        <v>-6.6200000000000009E-2</v>
      </c>
      <c r="AB257" s="161">
        <f t="shared" si="243"/>
        <v>-7.2799999999999976E-2</v>
      </c>
    </row>
    <row r="258" spans="1:32">
      <c r="A258" s="205">
        <v>4</v>
      </c>
      <c r="B258" s="59" t="s">
        <v>274</v>
      </c>
      <c r="C258" s="60" t="s">
        <v>40</v>
      </c>
      <c r="D258" s="147" t="s">
        <v>329</v>
      </c>
      <c r="E258" s="127">
        <v>1551115072.48</v>
      </c>
      <c r="F258" s="128">
        <f t="shared" si="237"/>
        <v>4.9593430299100932E-2</v>
      </c>
      <c r="G258" s="147" t="s">
        <v>329</v>
      </c>
      <c r="H258" s="121">
        <v>131.72</v>
      </c>
      <c r="I258" s="147" t="s">
        <v>329</v>
      </c>
      <c r="J258" s="121">
        <v>132.47</v>
      </c>
      <c r="K258" s="129">
        <v>1376</v>
      </c>
      <c r="L258" s="81">
        <v>-6.6E-3</v>
      </c>
      <c r="M258" s="81">
        <v>0.58109999999999995</v>
      </c>
      <c r="N258" s="147" t="s">
        <v>329</v>
      </c>
      <c r="O258" s="127">
        <v>1484754453.95</v>
      </c>
      <c r="P258" s="128">
        <f t="shared" si="238"/>
        <v>4.9204452460783296E-2</v>
      </c>
      <c r="Q258" s="147" t="s">
        <v>329</v>
      </c>
      <c r="R258" s="121">
        <v>126.08</v>
      </c>
      <c r="S258" s="147" t="s">
        <v>329</v>
      </c>
      <c r="T258" s="121">
        <v>126.86</v>
      </c>
      <c r="U258" s="129">
        <v>1376</v>
      </c>
      <c r="V258" s="81">
        <v>-4.2799999999999998E-2</v>
      </c>
      <c r="W258" s="81">
        <v>0.51349999999999996</v>
      </c>
      <c r="X258" s="160">
        <f t="shared" si="239"/>
        <v>-4.278252446087015E-2</v>
      </c>
      <c r="Y258" s="160">
        <f t="shared" si="240"/>
        <v>-4.234921114214539E-2</v>
      </c>
      <c r="Z258" s="160">
        <f t="shared" si="241"/>
        <v>0</v>
      </c>
      <c r="AA258" s="160">
        <f t="shared" si="242"/>
        <v>-3.6199999999999996E-2</v>
      </c>
      <c r="AB258" s="161">
        <f t="shared" si="243"/>
        <v>-6.7599999999999993E-2</v>
      </c>
    </row>
    <row r="259" spans="1:32">
      <c r="A259" s="205">
        <v>5</v>
      </c>
      <c r="B259" s="59" t="s">
        <v>275</v>
      </c>
      <c r="C259" s="60" t="s">
        <v>276</v>
      </c>
      <c r="D259" s="147" t="s">
        <v>329</v>
      </c>
      <c r="E259" s="127">
        <v>1891717368.04</v>
      </c>
      <c r="F259" s="128">
        <f t="shared" si="237"/>
        <v>6.0483425828292359E-2</v>
      </c>
      <c r="G259" s="147" t="s">
        <v>329</v>
      </c>
      <c r="H259" s="121">
        <v>52930</v>
      </c>
      <c r="I259" s="147" t="s">
        <v>329</v>
      </c>
      <c r="J259" s="121">
        <v>58700</v>
      </c>
      <c r="K259" s="129">
        <v>855</v>
      </c>
      <c r="L259" s="81">
        <v>0</v>
      </c>
      <c r="M259" s="81">
        <v>0.04</v>
      </c>
      <c r="N259" s="147" t="s">
        <v>329</v>
      </c>
      <c r="O259" s="127">
        <v>1846861267.6700001</v>
      </c>
      <c r="P259" s="128">
        <f t="shared" si="238"/>
        <v>6.1204596628737049E-2</v>
      </c>
      <c r="Q259" s="147" t="s">
        <v>329</v>
      </c>
      <c r="R259" s="121">
        <v>51220</v>
      </c>
      <c r="S259" s="147" t="s">
        <v>329</v>
      </c>
      <c r="T259" s="121">
        <v>56720</v>
      </c>
      <c r="U259" s="129">
        <v>1022</v>
      </c>
      <c r="V259" s="81">
        <v>-5.0000000000000001E-3</v>
      </c>
      <c r="W259" s="81">
        <v>-0.1</v>
      </c>
      <c r="X259" s="160">
        <f t="shared" si="239"/>
        <v>-2.371184043019867E-2</v>
      </c>
      <c r="Y259" s="160">
        <f t="shared" si="240"/>
        <v>-3.3730834752981262E-2</v>
      </c>
      <c r="Z259" s="160">
        <f t="shared" si="241"/>
        <v>0.19532163742690059</v>
      </c>
      <c r="AA259" s="160">
        <f t="shared" si="242"/>
        <v>-5.0000000000000001E-3</v>
      </c>
      <c r="AB259" s="161">
        <f t="shared" si="243"/>
        <v>-0.14000000000000001</v>
      </c>
    </row>
    <row r="260" spans="1:32">
      <c r="A260" s="205">
        <v>6</v>
      </c>
      <c r="B260" s="59" t="s">
        <v>277</v>
      </c>
      <c r="C260" s="60" t="s">
        <v>278</v>
      </c>
      <c r="D260" s="147" t="s">
        <v>329</v>
      </c>
      <c r="E260" s="127">
        <v>1677963557.01</v>
      </c>
      <c r="F260" s="128">
        <f t="shared" si="237"/>
        <v>5.3649126480317853E-2</v>
      </c>
      <c r="G260" s="147" t="s">
        <v>329</v>
      </c>
      <c r="H260" s="121">
        <v>7350</v>
      </c>
      <c r="I260" s="147" t="s">
        <v>329</v>
      </c>
      <c r="J260" s="121">
        <v>7350</v>
      </c>
      <c r="K260" s="129">
        <v>1499</v>
      </c>
      <c r="L260" s="81">
        <v>3.0000000000000001E-3</v>
      </c>
      <c r="M260" s="81">
        <v>0.61980000000000002</v>
      </c>
      <c r="N260" s="147" t="s">
        <v>329</v>
      </c>
      <c r="O260" s="127">
        <v>1585844473.47</v>
      </c>
      <c r="P260" s="128">
        <f t="shared" si="238"/>
        <v>5.2554554591474727E-2</v>
      </c>
      <c r="Q260" s="147" t="s">
        <v>329</v>
      </c>
      <c r="R260" s="121">
        <v>4461.42</v>
      </c>
      <c r="S260" s="147" t="s">
        <v>329</v>
      </c>
      <c r="T260" s="121">
        <v>4461.42</v>
      </c>
      <c r="U260" s="129">
        <v>1499</v>
      </c>
      <c r="V260" s="81">
        <v>-5.4800000000000001E-2</v>
      </c>
      <c r="W260" s="81">
        <v>0.53100000000000003</v>
      </c>
      <c r="X260" s="160">
        <f t="shared" si="239"/>
        <v>-5.4899335063121973E-2</v>
      </c>
      <c r="Y260" s="160">
        <f t="shared" si="240"/>
        <v>-0.39300408163265305</v>
      </c>
      <c r="Z260" s="160">
        <f t="shared" si="241"/>
        <v>0</v>
      </c>
      <c r="AA260" s="160">
        <f t="shared" si="242"/>
        <v>-5.7800000000000004E-2</v>
      </c>
      <c r="AB260" s="161">
        <f t="shared" si="243"/>
        <v>-8.879999999999999E-2</v>
      </c>
    </row>
    <row r="261" spans="1:32">
      <c r="A261" s="205">
        <v>7</v>
      </c>
      <c r="B261" s="59" t="s">
        <v>279</v>
      </c>
      <c r="C261" s="60" t="s">
        <v>278</v>
      </c>
      <c r="D261" s="147" t="s">
        <v>329</v>
      </c>
      <c r="E261" s="127">
        <v>1761254639.97</v>
      </c>
      <c r="F261" s="128">
        <f t="shared" si="237"/>
        <v>5.6312172304963888E-2</v>
      </c>
      <c r="G261" s="147" t="s">
        <v>329</v>
      </c>
      <c r="H261" s="121">
        <v>4175</v>
      </c>
      <c r="I261" s="147" t="s">
        <v>329</v>
      </c>
      <c r="J261" s="121">
        <v>4175</v>
      </c>
      <c r="K261" s="129">
        <v>7953</v>
      </c>
      <c r="L261" s="81">
        <v>1.0999999999999999E-2</v>
      </c>
      <c r="M261" s="81">
        <v>0.54910000000000003</v>
      </c>
      <c r="N261" s="147" t="s">
        <v>329</v>
      </c>
      <c r="O261" s="127">
        <v>1699488498.72</v>
      </c>
      <c r="P261" s="128">
        <f t="shared" si="238"/>
        <v>5.6320693849713312E-2</v>
      </c>
      <c r="Q261" s="147" t="s">
        <v>329</v>
      </c>
      <c r="R261" s="121">
        <v>2493.1799999999998</v>
      </c>
      <c r="S261" s="147" t="s">
        <v>329</v>
      </c>
      <c r="T261" s="121">
        <v>2493.1799999999998</v>
      </c>
      <c r="U261" s="129">
        <v>7953</v>
      </c>
      <c r="V261" s="81">
        <v>-3.7699999999999997E-2</v>
      </c>
      <c r="W261" s="81">
        <v>0.49059999999999998</v>
      </c>
      <c r="X261" s="160">
        <f t="shared" si="239"/>
        <v>-3.5069398738987609E-2</v>
      </c>
      <c r="Y261" s="160">
        <f t="shared" si="240"/>
        <v>-0.40283113772455093</v>
      </c>
      <c r="Z261" s="160">
        <f t="shared" si="241"/>
        <v>0</v>
      </c>
      <c r="AA261" s="160">
        <f t="shared" si="242"/>
        <v>-4.8699999999999993E-2</v>
      </c>
      <c r="AB261" s="161">
        <f t="shared" si="243"/>
        <v>-5.8500000000000052E-2</v>
      </c>
      <c r="AD261" s="121"/>
      <c r="AE261" s="176"/>
      <c r="AF261" s="176"/>
    </row>
    <row r="262" spans="1:32">
      <c r="A262" s="205">
        <v>8</v>
      </c>
      <c r="B262" s="59" t="s">
        <v>280</v>
      </c>
      <c r="C262" s="60" t="s">
        <v>281</v>
      </c>
      <c r="D262" s="147" t="s">
        <v>329</v>
      </c>
      <c r="E262" s="127">
        <v>717045413.29999995</v>
      </c>
      <c r="F262" s="128">
        <f t="shared" si="237"/>
        <v>2.2925921072333651E-2</v>
      </c>
      <c r="G262" s="147" t="s">
        <v>329</v>
      </c>
      <c r="H262" s="121">
        <v>47.69</v>
      </c>
      <c r="I262" s="147" t="s">
        <v>329</v>
      </c>
      <c r="J262" s="121">
        <v>47.79</v>
      </c>
      <c r="K262" s="129">
        <v>4508</v>
      </c>
      <c r="L262" s="81">
        <v>-1.9E-3</v>
      </c>
      <c r="M262" s="81">
        <v>0.51</v>
      </c>
      <c r="N262" s="147" t="s">
        <v>329</v>
      </c>
      <c r="O262" s="127">
        <v>714817111.89999998</v>
      </c>
      <c r="P262" s="128">
        <f t="shared" si="238"/>
        <v>2.3688889773704227E-2</v>
      </c>
      <c r="Q262" s="147" t="s">
        <v>329</v>
      </c>
      <c r="R262" s="121">
        <v>46.92</v>
      </c>
      <c r="S262" s="147" t="s">
        <v>329</v>
      </c>
      <c r="T262" s="121">
        <v>47.02</v>
      </c>
      <c r="U262" s="129">
        <v>4520</v>
      </c>
      <c r="V262" s="81">
        <v>-3.2300000000000002E-2</v>
      </c>
      <c r="W262" s="81">
        <v>0.46129999999999999</v>
      </c>
      <c r="X262" s="160">
        <f t="shared" si="239"/>
        <v>-3.107615443413612E-3</v>
      </c>
      <c r="Y262" s="160">
        <f t="shared" si="240"/>
        <v>-1.6112157355095125E-2</v>
      </c>
      <c r="Z262" s="160">
        <f t="shared" si="241"/>
        <v>2.6619343389529724E-3</v>
      </c>
      <c r="AA262" s="160">
        <f t="shared" si="242"/>
        <v>-3.0400000000000003E-2</v>
      </c>
      <c r="AB262" s="161">
        <f t="shared" si="243"/>
        <v>-4.8700000000000021E-2</v>
      </c>
      <c r="AD262" s="121"/>
      <c r="AE262" s="176"/>
      <c r="AF262" s="176"/>
    </row>
    <row r="263" spans="1:32">
      <c r="A263" s="205">
        <v>9</v>
      </c>
      <c r="B263" s="59" t="s">
        <v>282</v>
      </c>
      <c r="C263" s="60" t="s">
        <v>281</v>
      </c>
      <c r="D263" s="147" t="s">
        <v>329</v>
      </c>
      <c r="E263" s="130">
        <v>2011331760.6199999</v>
      </c>
      <c r="F263" s="128">
        <f t="shared" si="237"/>
        <v>6.4307828122121533E-2</v>
      </c>
      <c r="G263" s="147" t="s">
        <v>329</v>
      </c>
      <c r="H263" s="121">
        <v>22.94</v>
      </c>
      <c r="I263" s="147" t="s">
        <v>329</v>
      </c>
      <c r="J263" s="121">
        <v>23.04</v>
      </c>
      <c r="K263" s="129">
        <v>5218</v>
      </c>
      <c r="L263" s="81">
        <v>1.6299999999999999E-2</v>
      </c>
      <c r="M263" s="81">
        <v>0.95799999999999996</v>
      </c>
      <c r="N263" s="147" t="s">
        <v>329</v>
      </c>
      <c r="O263" s="130">
        <v>1812988485.4200001</v>
      </c>
      <c r="P263" s="128">
        <f t="shared" si="238"/>
        <v>6.00820597004924E-2</v>
      </c>
      <c r="Q263" s="147" t="s">
        <v>329</v>
      </c>
      <c r="R263" s="121">
        <v>20.53</v>
      </c>
      <c r="S263" s="147" t="s">
        <v>329</v>
      </c>
      <c r="T263" s="121">
        <v>20.63</v>
      </c>
      <c r="U263" s="129">
        <v>5354</v>
      </c>
      <c r="V263" s="81">
        <v>-3.8100000000000002E-2</v>
      </c>
      <c r="W263" s="81">
        <v>0.88329999999999997</v>
      </c>
      <c r="X263" s="160">
        <f t="shared" si="239"/>
        <v>-9.8612908662497237E-2</v>
      </c>
      <c r="Y263" s="160">
        <f t="shared" si="240"/>
        <v>-0.10460069444444446</v>
      </c>
      <c r="Z263" s="160">
        <f t="shared" si="241"/>
        <v>2.6063625910310462E-2</v>
      </c>
      <c r="AA263" s="160">
        <f t="shared" si="242"/>
        <v>-5.4400000000000004E-2</v>
      </c>
      <c r="AB263" s="161">
        <f t="shared" si="243"/>
        <v>-7.4699999999999989E-2</v>
      </c>
      <c r="AD263" s="176"/>
      <c r="AE263" s="176"/>
      <c r="AF263" s="176"/>
    </row>
    <row r="264" spans="1:32" ht="15" customHeight="1">
      <c r="A264" s="205">
        <v>10</v>
      </c>
      <c r="B264" s="59" t="s">
        <v>283</v>
      </c>
      <c r="C264" s="60" t="s">
        <v>281</v>
      </c>
      <c r="D264" s="147" t="s">
        <v>329</v>
      </c>
      <c r="E264" s="127">
        <v>426431945.54000002</v>
      </c>
      <c r="F264" s="128">
        <f t="shared" si="237"/>
        <v>1.3634206348491711E-2</v>
      </c>
      <c r="G264" s="147" t="s">
        <v>329</v>
      </c>
      <c r="H264" s="121">
        <v>142.4</v>
      </c>
      <c r="I264" s="147" t="s">
        <v>329</v>
      </c>
      <c r="J264" s="121">
        <v>144</v>
      </c>
      <c r="K264" s="129">
        <v>2377</v>
      </c>
      <c r="L264" s="81">
        <v>-0.27329999999999999</v>
      </c>
      <c r="M264" s="81">
        <v>6.2399999999999997E-2</v>
      </c>
      <c r="N264" s="147" t="s">
        <v>329</v>
      </c>
      <c r="O264" s="127">
        <v>425198414.25</v>
      </c>
      <c r="P264" s="128">
        <f t="shared" si="238"/>
        <v>1.409098663062109E-2</v>
      </c>
      <c r="Q264" s="147" t="s">
        <v>329</v>
      </c>
      <c r="R264" s="121">
        <v>141.99</v>
      </c>
      <c r="S264" s="147" t="s">
        <v>329</v>
      </c>
      <c r="T264" s="121">
        <v>143.99</v>
      </c>
      <c r="U264" s="129">
        <v>2419</v>
      </c>
      <c r="V264" s="81">
        <v>0.1913</v>
      </c>
      <c r="W264" s="81">
        <v>0.2656</v>
      </c>
      <c r="X264" s="160">
        <f t="shared" si="239"/>
        <v>-2.892680304328453E-3</v>
      </c>
      <c r="Y264" s="160">
        <f t="shared" si="240"/>
        <v>-6.944444444438129E-5</v>
      </c>
      <c r="Z264" s="160">
        <f t="shared" si="241"/>
        <v>1.7669331089608751E-2</v>
      </c>
      <c r="AA264" s="160">
        <f t="shared" si="242"/>
        <v>0.46460000000000001</v>
      </c>
      <c r="AB264" s="161">
        <f t="shared" si="243"/>
        <v>0.20319999999999999</v>
      </c>
      <c r="AD264" s="176"/>
      <c r="AE264" s="121"/>
      <c r="AF264" s="121"/>
    </row>
    <row r="265" spans="1:32">
      <c r="A265" s="208">
        <v>11</v>
      </c>
      <c r="B265" s="59" t="s">
        <v>284</v>
      </c>
      <c r="C265" s="60" t="s">
        <v>281</v>
      </c>
      <c r="D265" s="147" t="s">
        <v>329</v>
      </c>
      <c r="E265" s="127">
        <v>13727247243.92</v>
      </c>
      <c r="F265" s="128">
        <f t="shared" si="237"/>
        <v>0.43889798472617825</v>
      </c>
      <c r="G265" s="147" t="s">
        <v>329</v>
      </c>
      <c r="H265" s="121">
        <v>89.02</v>
      </c>
      <c r="I265" s="147" t="s">
        <v>329</v>
      </c>
      <c r="J265" s="121">
        <v>89.22</v>
      </c>
      <c r="K265" s="129">
        <v>7254</v>
      </c>
      <c r="L265" s="81">
        <v>-4.3E-3</v>
      </c>
      <c r="M265" s="81">
        <v>0.55269999999999997</v>
      </c>
      <c r="N265" s="147" t="s">
        <v>329</v>
      </c>
      <c r="O265" s="127">
        <v>13340113644.32</v>
      </c>
      <c r="P265" s="128">
        <f t="shared" si="238"/>
        <v>0.4420885796214587</v>
      </c>
      <c r="Q265" s="147" t="s">
        <v>329</v>
      </c>
      <c r="R265" s="121">
        <v>89.79</v>
      </c>
      <c r="S265" s="147" t="s">
        <v>329</v>
      </c>
      <c r="T265" s="121">
        <v>85.99</v>
      </c>
      <c r="U265" s="129">
        <v>7335</v>
      </c>
      <c r="V265" s="81">
        <v>1.7100000000000001E-2</v>
      </c>
      <c r="W265" s="81">
        <v>0.4965</v>
      </c>
      <c r="X265" s="160">
        <f t="shared" si="239"/>
        <v>-2.8201837755305787E-2</v>
      </c>
      <c r="Y265" s="160">
        <f t="shared" si="240"/>
        <v>-3.6202645146828111E-2</v>
      </c>
      <c r="Z265" s="160">
        <f t="shared" si="241"/>
        <v>1.1166253101736972E-2</v>
      </c>
      <c r="AA265" s="160">
        <f t="shared" si="242"/>
        <v>2.1400000000000002E-2</v>
      </c>
      <c r="AB265" s="161">
        <f t="shared" si="243"/>
        <v>-5.6199999999999972E-2</v>
      </c>
      <c r="AD265" s="30"/>
      <c r="AE265" s="30"/>
      <c r="AF265" s="176"/>
    </row>
    <row r="266" spans="1:32">
      <c r="A266" s="208">
        <v>12</v>
      </c>
      <c r="B266" s="59" t="s">
        <v>285</v>
      </c>
      <c r="C266" s="60" t="s">
        <v>281</v>
      </c>
      <c r="D266" s="147" t="s">
        <v>329</v>
      </c>
      <c r="E266" s="130">
        <v>666917996.29999995</v>
      </c>
      <c r="F266" s="128">
        <f t="shared" si="237"/>
        <v>2.1323209187722316E-2</v>
      </c>
      <c r="G266" s="147" t="s">
        <v>329</v>
      </c>
      <c r="H266" s="121">
        <v>115.81</v>
      </c>
      <c r="I266" s="147" t="s">
        <v>329</v>
      </c>
      <c r="J266" s="121">
        <v>116.01</v>
      </c>
      <c r="K266" s="129">
        <v>3730</v>
      </c>
      <c r="L266" s="81">
        <v>-7.1999999999999998E-3</v>
      </c>
      <c r="M266" s="81">
        <v>1.0399</v>
      </c>
      <c r="N266" s="147" t="s">
        <v>329</v>
      </c>
      <c r="O266" s="130">
        <v>650568909.46000004</v>
      </c>
      <c r="P266" s="128">
        <f t="shared" si="238"/>
        <v>2.1559717765336429E-2</v>
      </c>
      <c r="Q266" s="147" t="s">
        <v>329</v>
      </c>
      <c r="R266" s="121">
        <v>111.04</v>
      </c>
      <c r="S266" s="147" t="s">
        <v>329</v>
      </c>
      <c r="T266" s="121">
        <v>111.24</v>
      </c>
      <c r="U266" s="129">
        <v>3758</v>
      </c>
      <c r="V266" s="81">
        <v>-3.9699999999999999E-2</v>
      </c>
      <c r="W266" s="81">
        <v>0.95599999999999996</v>
      </c>
      <c r="X266" s="160">
        <f t="shared" si="239"/>
        <v>-2.4514388471600937E-2</v>
      </c>
      <c r="Y266" s="160">
        <f t="shared" si="240"/>
        <v>-4.111714507370063E-2</v>
      </c>
      <c r="Z266" s="160">
        <f t="shared" si="241"/>
        <v>7.506702412868633E-3</v>
      </c>
      <c r="AA266" s="160">
        <f t="shared" si="242"/>
        <v>-3.2500000000000001E-2</v>
      </c>
      <c r="AB266" s="161">
        <f t="shared" si="243"/>
        <v>-8.3900000000000086E-2</v>
      </c>
      <c r="AD266" s="41"/>
      <c r="AE266" s="177"/>
      <c r="AF266" s="121"/>
    </row>
    <row r="267" spans="1:32">
      <c r="A267" s="131"/>
      <c r="B267" s="131"/>
      <c r="C267" s="132" t="s">
        <v>286</v>
      </c>
      <c r="D267" s="153"/>
      <c r="E267" s="119">
        <f>SUM(E255:E266)</f>
        <v>31276624002.919994</v>
      </c>
      <c r="F267" s="122"/>
      <c r="G267" s="122"/>
      <c r="H267" s="122"/>
      <c r="I267" s="122"/>
      <c r="J267" s="123"/>
      <c r="K267" s="119">
        <f>SUM(K255:K266)</f>
        <v>42095</v>
      </c>
      <c r="L267" s="124"/>
      <c r="M267" s="124"/>
      <c r="N267" s="124"/>
      <c r="O267" s="119">
        <f>SUM(O255:O266)</f>
        <v>30175205285.199997</v>
      </c>
      <c r="P267" s="122"/>
      <c r="Q267" s="122"/>
      <c r="R267" s="122"/>
      <c r="S267" s="122"/>
      <c r="T267" s="123"/>
      <c r="U267" s="119">
        <f>SUM(U255:U266)</f>
        <v>42533</v>
      </c>
      <c r="V267" s="124"/>
      <c r="W267" s="124"/>
      <c r="X267" s="160">
        <f t="shared" si="239"/>
        <v>-3.5215396572762091E-2</v>
      </c>
      <c r="Y267" s="160" t="e">
        <f t="shared" si="240"/>
        <v>#DIV/0!</v>
      </c>
      <c r="Z267" s="160">
        <f t="shared" si="241"/>
        <v>1.0405036227580473E-2</v>
      </c>
      <c r="AA267" s="160">
        <f t="shared" si="242"/>
        <v>0</v>
      </c>
      <c r="AB267" s="161">
        <f t="shared" si="243"/>
        <v>0</v>
      </c>
      <c r="AF267" s="23"/>
    </row>
    <row r="268" spans="1:32">
      <c r="A268" s="133"/>
      <c r="B268" s="133"/>
      <c r="C268" s="134" t="s">
        <v>287</v>
      </c>
      <c r="D268" s="152"/>
      <c r="E268" s="135">
        <f>SUM(E238,E247,E252,E267)</f>
        <v>9309339387024.8008</v>
      </c>
      <c r="F268" s="136"/>
      <c r="G268" s="136"/>
      <c r="H268" s="136"/>
      <c r="I268" s="136"/>
      <c r="J268" s="137"/>
      <c r="K268" s="135">
        <f>SUM(K238,K247,K252,K267)</f>
        <v>1446856</v>
      </c>
      <c r="L268" s="138"/>
      <c r="M268" s="138"/>
      <c r="N268" s="138"/>
      <c r="O268" s="135">
        <f>SUM(O238,O247,O252,O267)</f>
        <v>9290205753138.293</v>
      </c>
      <c r="P268" s="136"/>
      <c r="Q268" s="136"/>
      <c r="R268" s="136"/>
      <c r="S268" s="136"/>
      <c r="T268" s="135"/>
      <c r="U268" s="135">
        <f>SUM(U238,U247,U252,U267)</f>
        <v>1456730</v>
      </c>
      <c r="V268" s="139"/>
      <c r="W268" s="135"/>
      <c r="X268" s="140"/>
      <c r="Y268" s="141"/>
      <c r="Z268" s="141"/>
      <c r="AA268" s="142"/>
      <c r="AB268" s="142"/>
      <c r="AF268" s="23"/>
    </row>
    <row r="269" spans="1:32">
      <c r="A269" s="143"/>
      <c r="B269" s="143" t="s">
        <v>345</v>
      </c>
      <c r="C269" s="151">
        <v>1370.4556</v>
      </c>
      <c r="D269" s="144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f84GdPOFSefsCIGsI+NMnTSMPwP4a81yxp88a18vNhpQ85XuuAf01cpxm7p0pFG+ydkAyjNDSBpyr6BKUmvGYg==" saltValue="DD92qX95hit/hovFT72PRA==" spinCount="100000" sheet="1" objects="1" scenarios="1"/>
  <mergeCells count="34"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  <mergeCell ref="B204:AB204"/>
    <mergeCell ref="B205:AB205"/>
    <mergeCell ref="B210:AB210"/>
    <mergeCell ref="B211:AB211"/>
    <mergeCell ref="B212:AB212"/>
    <mergeCell ref="B140:AB140"/>
    <mergeCell ref="B162:AB162"/>
    <mergeCell ref="B163:AB163"/>
    <mergeCell ref="B171:AB171"/>
    <mergeCell ref="B172:AB172"/>
    <mergeCell ref="B78:AB78"/>
    <mergeCell ref="B118:AB118"/>
    <mergeCell ref="B119:AB119"/>
    <mergeCell ref="B120:AB120"/>
    <mergeCell ref="B139:AB139"/>
    <mergeCell ref="B4:AB4"/>
    <mergeCell ref="B5:AB5"/>
    <mergeCell ref="B27:AB27"/>
    <mergeCell ref="B28:AB28"/>
    <mergeCell ref="B77:AB77"/>
    <mergeCell ref="A1:AB1"/>
    <mergeCell ref="D2:M2"/>
    <mergeCell ref="N2:W2"/>
    <mergeCell ref="X2:Z2"/>
    <mergeCell ref="AA2:AB2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H9" sqref="H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81"/>
      <c r="B1" s="181"/>
      <c r="C1" s="181"/>
      <c r="D1" s="181"/>
      <c r="F1" s="20"/>
      <c r="G1" s="15"/>
      <c r="H1" s="20"/>
    </row>
    <row r="2" spans="1:8" ht="27.6">
      <c r="A2" s="186" t="s">
        <v>288</v>
      </c>
      <c r="B2" s="187" t="s">
        <v>342</v>
      </c>
      <c r="C2" s="187" t="s">
        <v>346</v>
      </c>
      <c r="D2" s="188"/>
      <c r="F2" s="20"/>
      <c r="G2" s="15"/>
      <c r="H2" s="20"/>
    </row>
    <row r="3" spans="1:8">
      <c r="A3" s="189" t="s">
        <v>17</v>
      </c>
      <c r="B3" s="190">
        <f t="shared" ref="B3:C10" si="0">B13</f>
        <v>256.76497819762449</v>
      </c>
      <c r="C3" s="190">
        <f t="shared" si="0"/>
        <v>242.1867003526647</v>
      </c>
      <c r="D3" s="188"/>
      <c r="F3" s="20"/>
      <c r="G3" s="15"/>
      <c r="H3" s="20"/>
    </row>
    <row r="4" spans="1:8" ht="15.6" customHeight="1">
      <c r="A4" s="186" t="s">
        <v>53</v>
      </c>
      <c r="B4" s="191">
        <f t="shared" si="0"/>
        <v>5945.1952461204701</v>
      </c>
      <c r="C4" s="191">
        <f t="shared" si="0"/>
        <v>5946.3401100634301</v>
      </c>
      <c r="D4" s="188"/>
      <c r="F4" s="20"/>
      <c r="G4" s="15"/>
      <c r="H4" s="20"/>
    </row>
    <row r="5" spans="1:8" ht="16.2" customHeight="1">
      <c r="A5" s="186" t="s">
        <v>289</v>
      </c>
      <c r="B5" s="190">
        <f t="shared" si="0"/>
        <v>236.91658662281196</v>
      </c>
      <c r="C5" s="190">
        <f t="shared" si="0"/>
        <v>237.21137482086002</v>
      </c>
      <c r="D5" s="188"/>
      <c r="F5" s="20"/>
      <c r="G5" s="15"/>
      <c r="H5" s="20"/>
    </row>
    <row r="6" spans="1:8">
      <c r="A6" s="186" t="s">
        <v>164</v>
      </c>
      <c r="B6" s="191">
        <f t="shared" si="0"/>
        <v>1830.6315702078184</v>
      </c>
      <c r="C6" s="191">
        <f t="shared" si="0"/>
        <v>1831.5436221925052</v>
      </c>
      <c r="D6" s="188"/>
      <c r="F6" s="20"/>
      <c r="G6" s="15"/>
      <c r="H6" s="20"/>
    </row>
    <row r="7" spans="1:8">
      <c r="A7" s="186" t="s">
        <v>290</v>
      </c>
      <c r="B7" s="190">
        <f t="shared" si="0"/>
        <v>509.81011898262</v>
      </c>
      <c r="C7" s="190">
        <f t="shared" si="0"/>
        <v>509.10540421805001</v>
      </c>
      <c r="D7" s="188"/>
      <c r="F7" s="20"/>
      <c r="G7" s="15"/>
      <c r="H7" s="20"/>
    </row>
    <row r="8" spans="1:8">
      <c r="A8" s="186" t="s">
        <v>203</v>
      </c>
      <c r="B8" s="192">
        <f t="shared" si="0"/>
        <v>157.28334804730002</v>
      </c>
      <c r="C8" s="192">
        <f t="shared" si="0"/>
        <v>153.78708592789999</v>
      </c>
      <c r="D8" s="188"/>
      <c r="F8" s="20"/>
      <c r="G8" s="15"/>
      <c r="H8" s="20"/>
    </row>
    <row r="9" spans="1:8">
      <c r="A9" s="186" t="s">
        <v>233</v>
      </c>
      <c r="B9" s="190">
        <f t="shared" si="0"/>
        <v>21.26868564347</v>
      </c>
      <c r="C9" s="190">
        <f t="shared" si="0"/>
        <v>19.841788312089999</v>
      </c>
      <c r="D9" s="188"/>
      <c r="F9" s="20"/>
      <c r="G9" s="15"/>
      <c r="H9" s="20"/>
    </row>
    <row r="10" spans="1:8">
      <c r="A10" s="186" t="s">
        <v>291</v>
      </c>
      <c r="B10" s="190">
        <f t="shared" si="0"/>
        <v>143.66365630506002</v>
      </c>
      <c r="C10" s="190">
        <f t="shared" si="0"/>
        <v>141.49567338396002</v>
      </c>
      <c r="D10" s="188"/>
      <c r="F10" s="20"/>
      <c r="G10" s="15"/>
      <c r="H10" s="20"/>
    </row>
    <row r="11" spans="1:8">
      <c r="A11" s="186" t="s">
        <v>262</v>
      </c>
      <c r="B11" s="190">
        <f>B21</f>
        <v>30.947010318115275</v>
      </c>
      <c r="C11" s="190">
        <f>C21</f>
        <v>31.106262396983276</v>
      </c>
      <c r="D11" s="188"/>
      <c r="F11" s="20"/>
      <c r="G11" s="15"/>
      <c r="H11" s="20"/>
    </row>
    <row r="12" spans="1:8">
      <c r="A12" s="181"/>
      <c r="B12" s="181"/>
      <c r="C12" s="181"/>
      <c r="D12" s="181"/>
      <c r="F12" s="20"/>
      <c r="G12" s="15"/>
      <c r="H12" s="20"/>
    </row>
    <row r="13" spans="1:8">
      <c r="A13" s="193" t="s">
        <v>17</v>
      </c>
      <c r="B13" s="194">
        <f>'Weekly Valuation'!E26/1000000000</f>
        <v>256.76497819762449</v>
      </c>
      <c r="C13" s="195">
        <f>'Weekly Valuation'!O26/1000000000</f>
        <v>242.1867003526647</v>
      </c>
      <c r="D13" s="181"/>
      <c r="F13" s="20"/>
      <c r="G13" s="15"/>
      <c r="H13" s="20"/>
    </row>
    <row r="14" spans="1:8">
      <c r="A14" s="196" t="s">
        <v>53</v>
      </c>
      <c r="B14" s="194">
        <f>'Weekly Valuation'!E76/1000000000</f>
        <v>5945.1952461204701</v>
      </c>
      <c r="C14" s="197">
        <f>'Weekly Valuation'!O76/1000000000</f>
        <v>5946.3401100634301</v>
      </c>
      <c r="D14" s="181"/>
      <c r="F14" s="20"/>
      <c r="G14" s="15"/>
      <c r="H14" s="20"/>
    </row>
    <row r="15" spans="1:8">
      <c r="A15" s="196" t="s">
        <v>289</v>
      </c>
      <c r="B15" s="194">
        <f>'Weekly Valuation'!E117/1000000000</f>
        <v>236.91658662281196</v>
      </c>
      <c r="C15" s="195">
        <f>'Weekly Valuation'!O117/1000000000</f>
        <v>237.21137482086002</v>
      </c>
      <c r="D15" s="181"/>
      <c r="F15" s="20"/>
      <c r="G15" s="15"/>
      <c r="H15" s="20"/>
    </row>
    <row r="16" spans="1:8">
      <c r="A16" s="196" t="s">
        <v>164</v>
      </c>
      <c r="B16" s="194">
        <f>'Weekly Valuation'!E161/1000000000</f>
        <v>1830.6315702078184</v>
      </c>
      <c r="C16" s="197">
        <f>'Weekly Valuation'!O161/1000000000</f>
        <v>1831.5436221925052</v>
      </c>
      <c r="D16" s="181"/>
      <c r="F16" s="20"/>
      <c r="G16" s="15"/>
      <c r="H16" s="20"/>
    </row>
    <row r="17" spans="1:8">
      <c r="A17" s="196" t="s">
        <v>290</v>
      </c>
      <c r="B17" s="194">
        <f>'Weekly Valuation'!E170/1000000000</f>
        <v>509.81011898262</v>
      </c>
      <c r="C17" s="195">
        <f>'Weekly Valuation'!O170/1000000000</f>
        <v>509.10540421805001</v>
      </c>
      <c r="D17" s="181"/>
      <c r="F17" s="20"/>
      <c r="G17" s="15"/>
      <c r="H17" s="20"/>
    </row>
    <row r="18" spans="1:8">
      <c r="A18" s="196" t="s">
        <v>203</v>
      </c>
      <c r="B18" s="194">
        <f>'Weekly Valuation'!E203/1000000000</f>
        <v>157.28334804730002</v>
      </c>
      <c r="C18" s="198">
        <f>'Weekly Valuation'!O203/1000000000</f>
        <v>153.78708592789999</v>
      </c>
      <c r="D18" s="181"/>
      <c r="F18" s="20"/>
      <c r="G18" s="15"/>
      <c r="H18" s="20"/>
    </row>
    <row r="19" spans="1:8">
      <c r="A19" s="196" t="s">
        <v>233</v>
      </c>
      <c r="B19" s="194">
        <f>'Weekly Valuation'!E209/1000000000</f>
        <v>21.26868564347</v>
      </c>
      <c r="C19" s="195">
        <f>'Weekly Valuation'!O209/1000000000</f>
        <v>19.841788312089999</v>
      </c>
      <c r="D19" s="181"/>
      <c r="F19" s="20"/>
      <c r="G19" s="15"/>
      <c r="H19" s="20"/>
    </row>
    <row r="20" spans="1:8">
      <c r="A20" s="196" t="s">
        <v>291</v>
      </c>
      <c r="B20" s="194">
        <f>'Weekly Valuation'!E237/1000000000</f>
        <v>143.66365630506002</v>
      </c>
      <c r="C20" s="195">
        <f>'Weekly Valuation'!O237/1000000000</f>
        <v>141.49567338396002</v>
      </c>
      <c r="D20" s="181"/>
      <c r="F20" s="20"/>
      <c r="G20" s="15"/>
      <c r="H20" s="20"/>
    </row>
    <row r="21" spans="1:8">
      <c r="A21" s="196" t="s">
        <v>262</v>
      </c>
      <c r="B21" s="194">
        <f>'Weekly Valuation'!E247/1000000000</f>
        <v>30.947010318115275</v>
      </c>
      <c r="C21" s="195">
        <f>'Weekly Valuation'!O247/1000000000</f>
        <v>31.106262396983276</v>
      </c>
      <c r="D21" s="181"/>
      <c r="F21" s="20"/>
      <c r="G21" s="15"/>
      <c r="H21" s="20"/>
    </row>
    <row r="22" spans="1:8">
      <c r="A22" s="182"/>
      <c r="B22" s="181"/>
      <c r="C22" s="54"/>
      <c r="D22" s="181"/>
      <c r="F22" s="20"/>
      <c r="G22" s="15"/>
      <c r="H22" s="20"/>
    </row>
    <row r="23" spans="1:8">
      <c r="A23" s="55"/>
      <c r="B23" s="54"/>
      <c r="C23" s="183"/>
      <c r="F23" s="20"/>
      <c r="G23" s="15"/>
      <c r="H23" s="20"/>
    </row>
    <row r="24" spans="1:8">
      <c r="A24" s="47"/>
      <c r="B24" s="178"/>
      <c r="C24" s="178"/>
      <c r="F24" s="20"/>
      <c r="G24" s="15"/>
      <c r="H24" s="20"/>
    </row>
    <row r="25" spans="1:8">
      <c r="A25" s="47"/>
      <c r="B25" s="178"/>
      <c r="C25" s="178"/>
      <c r="F25" s="20"/>
      <c r="G25" s="15"/>
      <c r="H25" s="20"/>
    </row>
    <row r="26" spans="1:8">
      <c r="A26" s="47"/>
      <c r="B26" s="178"/>
      <c r="C26" s="178"/>
      <c r="F26" s="20"/>
      <c r="G26" s="20"/>
      <c r="H26" s="20"/>
    </row>
    <row r="27" spans="1:8">
      <c r="A27" s="47"/>
      <c r="B27" s="178"/>
      <c r="C27" s="178"/>
      <c r="F27" s="20"/>
      <c r="G27" s="20"/>
      <c r="H27" s="20"/>
    </row>
    <row r="28" spans="1:8">
      <c r="A28" s="15"/>
      <c r="B28" s="15"/>
      <c r="C28" s="15"/>
      <c r="F28" s="20"/>
      <c r="G28" s="20"/>
      <c r="H28" s="20"/>
    </row>
    <row r="29" spans="1:8">
      <c r="A29" s="15"/>
      <c r="B29" s="15"/>
      <c r="C29" s="15"/>
      <c r="F29" s="20"/>
      <c r="G29" s="20"/>
      <c r="H29" s="20"/>
    </row>
    <row r="30" spans="1:8">
      <c r="A30" s="15"/>
      <c r="B30" s="15"/>
      <c r="C30" s="15"/>
      <c r="F30" s="199"/>
    </row>
    <row r="31" spans="1:8">
      <c r="A31" s="15"/>
      <c r="B31" s="15"/>
      <c r="C31" s="15"/>
      <c r="F31" s="199"/>
    </row>
    <row r="32" spans="1:8">
      <c r="A32" s="15"/>
      <c r="B32" s="15"/>
      <c r="C32" s="15"/>
      <c r="F32" s="199"/>
    </row>
    <row r="33" spans="1:6">
      <c r="A33" s="15"/>
      <c r="B33" s="15"/>
      <c r="C33" s="15"/>
      <c r="F33" s="199"/>
    </row>
    <row r="34" spans="1:6">
      <c r="F34" s="199"/>
    </row>
    <row r="35" spans="1:6">
      <c r="F35" s="199"/>
    </row>
    <row r="36" spans="1:6">
      <c r="F36" s="199"/>
    </row>
    <row r="37" spans="1:6">
      <c r="F37" s="199"/>
    </row>
    <row r="38" spans="1:6">
      <c r="F38" s="199"/>
    </row>
    <row r="39" spans="1:6">
      <c r="F39" s="199"/>
    </row>
    <row r="40" spans="1:6">
      <c r="F40" s="199"/>
    </row>
    <row r="41" spans="1:6">
      <c r="F41" s="199"/>
    </row>
    <row r="42" spans="1:6">
      <c r="F42" s="199"/>
    </row>
    <row r="43" spans="1:6">
      <c r="F43" s="199"/>
    </row>
    <row r="44" spans="1:6">
      <c r="F44" s="199"/>
    </row>
  </sheetData>
  <sheetProtection algorithmName="SHA-512" hashValue="gpy6cqmC2alU9GlSNRqfOl8h8F+/31dylaSh9fogAQ1+d+KyBmWg3XaKeXLniYOqfu5oHbSmFXu+S82iUgvlWg==" saltValue="wIiX/Q4FT2Ehs+toA7NAE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G15" sqref="G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9" t="s">
        <v>288</v>
      </c>
      <c r="B1" s="180">
        <v>46192</v>
      </c>
      <c r="C1" s="18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2" t="s">
        <v>233</v>
      </c>
      <c r="B2" s="54">
        <f>'Weekly Valuation'!O209</f>
        <v>19841788312.09</v>
      </c>
      <c r="C2" s="18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2" t="s">
        <v>262</v>
      </c>
      <c r="B3" s="54">
        <f>'Weekly Valuation'!O247</f>
        <v>31106262396.983276</v>
      </c>
      <c r="C3" s="181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2" t="s">
        <v>291</v>
      </c>
      <c r="B4" s="54">
        <f>'Weekly Valuation'!O237</f>
        <v>141495673383.96002</v>
      </c>
      <c r="C4" s="181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2" t="s">
        <v>203</v>
      </c>
      <c r="B5" s="183">
        <f>'Weekly Valuation'!O203</f>
        <v>153787085927.89999</v>
      </c>
      <c r="C5" s="18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2" t="s">
        <v>17</v>
      </c>
      <c r="B6" s="54">
        <f>'Weekly Valuation'!O26</f>
        <v>242186700352.6647</v>
      </c>
      <c r="C6" s="18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2" t="s">
        <v>289</v>
      </c>
      <c r="B7" s="54">
        <f>'Weekly Valuation'!O117</f>
        <v>237211374820.86002</v>
      </c>
      <c r="C7" s="18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2" t="s">
        <v>290</v>
      </c>
      <c r="B8" s="54">
        <f>'Weekly Valuation'!O170</f>
        <v>509105404218.04999</v>
      </c>
      <c r="C8" s="181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2" t="s">
        <v>164</v>
      </c>
      <c r="B9" s="184">
        <f>'Weekly Valuation'!O161</f>
        <v>1831543622192.5051</v>
      </c>
      <c r="C9" s="18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2" t="s">
        <v>53</v>
      </c>
      <c r="B10" s="184">
        <f>'Weekly Valuation'!O76</f>
        <v>5946340110063.4297</v>
      </c>
      <c r="C10" s="18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81"/>
      <c r="B11" s="181"/>
      <c r="C11" s="18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2"/>
      <c r="B12" s="185"/>
      <c r="C12" s="18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2"/>
      <c r="B13" s="181"/>
      <c r="C13" s="18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54"/>
      <c r="B14" s="54"/>
      <c r="C14" s="18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54"/>
      <c r="B15" s="54"/>
      <c r="C15" s="2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55"/>
      <c r="B16" s="183"/>
      <c r="C16" s="2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78"/>
      <c r="B17" s="17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78"/>
      <c r="B18" s="17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7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1"/>
    </row>
    <row r="34" spans="1:17" ht="15" customHeight="1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Sb0nNQ1J7JS1Z7sr4glk+tI6PNjQbBrGBzSAcwgmQ7jLE0jaQS33Jzk+H/Tj4eTmOvzH7gA4KlyJDOfdGJ64Lg==" saltValue="iQ1Oi0eqU+jle9tD81EvD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6"/>
    </row>
    <row r="2" spans="1:15">
      <c r="A2" s="200" t="s">
        <v>292</v>
      </c>
      <c r="B2" s="201">
        <v>46142</v>
      </c>
      <c r="C2" s="201">
        <v>46150</v>
      </c>
      <c r="D2" s="201">
        <v>46157</v>
      </c>
      <c r="E2" s="201">
        <v>46164</v>
      </c>
      <c r="F2" s="201">
        <v>46171</v>
      </c>
      <c r="G2" s="201">
        <v>46178</v>
      </c>
      <c r="H2" s="201">
        <v>46184</v>
      </c>
      <c r="I2" s="201">
        <v>46192</v>
      </c>
      <c r="J2" s="20"/>
      <c r="K2" s="15"/>
      <c r="L2" s="15"/>
      <c r="M2" s="15"/>
      <c r="N2" s="15"/>
      <c r="O2" s="46"/>
    </row>
    <row r="3" spans="1:15">
      <c r="A3" s="200" t="s">
        <v>293</v>
      </c>
      <c r="B3" s="202">
        <f t="shared" ref="B3:I3" si="0">B4</f>
        <v>8856.6861092070776</v>
      </c>
      <c r="C3" s="202">
        <f t="shared" si="0"/>
        <v>8864.3846705940268</v>
      </c>
      <c r="D3" s="202">
        <f t="shared" si="0"/>
        <v>8907.3133261368821</v>
      </c>
      <c r="E3" s="202">
        <f t="shared" si="0"/>
        <v>8965.7623097914948</v>
      </c>
      <c r="F3" s="202">
        <f t="shared" si="0"/>
        <v>9018.1202536705168</v>
      </c>
      <c r="G3" s="202">
        <f t="shared" si="0"/>
        <v>9065.8177533026028</v>
      </c>
      <c r="H3" s="202">
        <f t="shared" si="0"/>
        <v>9132.4812004452906</v>
      </c>
      <c r="I3" s="202">
        <f t="shared" si="0"/>
        <v>9112.6180216684425</v>
      </c>
      <c r="J3" s="20"/>
      <c r="K3" s="15"/>
      <c r="L3" s="15"/>
      <c r="M3" s="15"/>
      <c r="N3" s="15"/>
      <c r="O3" s="46"/>
    </row>
    <row r="4" spans="1:15">
      <c r="A4" s="20"/>
      <c r="B4" s="203">
        <f>'NAV Trend'!C11/1000000000</f>
        <v>8856.6861092070776</v>
      </c>
      <c r="C4" s="203">
        <f>'NAV Trend'!D11/1000000000</f>
        <v>8864.3846705940268</v>
      </c>
      <c r="D4" s="203">
        <f>'NAV Trend'!E11/1000000000</f>
        <v>8907.3133261368821</v>
      </c>
      <c r="E4" s="203">
        <f>'NAV Trend'!F11/1000000000</f>
        <v>8965.7623097914948</v>
      </c>
      <c r="F4" s="203">
        <f>'NAV Trend'!G11/1000000000</f>
        <v>9018.1202536705168</v>
      </c>
      <c r="G4" s="203">
        <f>'NAV Trend'!H11/1000000000</f>
        <v>9065.8177533026028</v>
      </c>
      <c r="H4" s="204">
        <f>'NAV Trend'!I11/1000000000</f>
        <v>9132.4812004452906</v>
      </c>
      <c r="I4" s="204">
        <f>'NAV Trend'!J11/1000000000</f>
        <v>9112.6180216684425</v>
      </c>
      <c r="J4" s="20"/>
      <c r="K4" s="15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15"/>
      <c r="L7" s="15"/>
      <c r="M7" s="15"/>
      <c r="N7" s="15"/>
      <c r="O7" s="46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TxZaVR/TkTaBuXSpid1DR1L4mI45/eg2naaf7pY3NjulNHdGCkaacl+O0ZEcWz0aKKpkJphJqPbPb+KF9qgaYQ==" saltValue="Q0XZ2oKeQymb37Zd2Rd9Q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20"/>
      <c r="P1" s="44"/>
    </row>
    <row r="2" spans="1:16">
      <c r="A2" s="200" t="s">
        <v>292</v>
      </c>
      <c r="B2" s="201">
        <v>46142</v>
      </c>
      <c r="C2" s="201">
        <v>46150</v>
      </c>
      <c r="D2" s="201">
        <v>46157</v>
      </c>
      <c r="E2" s="201">
        <v>46164</v>
      </c>
      <c r="F2" s="201">
        <v>46171</v>
      </c>
      <c r="G2" s="201">
        <v>46178</v>
      </c>
      <c r="H2" s="201">
        <v>46184</v>
      </c>
      <c r="I2" s="201">
        <v>46192</v>
      </c>
      <c r="J2" s="20"/>
      <c r="K2" s="20"/>
      <c r="L2" s="20"/>
      <c r="M2" s="15"/>
      <c r="N2" s="15"/>
      <c r="O2" s="20"/>
      <c r="P2" s="44"/>
    </row>
    <row r="3" spans="1:16">
      <c r="A3" s="200" t="s">
        <v>294</v>
      </c>
      <c r="B3" s="202">
        <f t="shared" ref="B3:I3" si="0">B4</f>
        <v>30.630921333499995</v>
      </c>
      <c r="C3" s="202">
        <f t="shared" si="0"/>
        <v>30.807819494499999</v>
      </c>
      <c r="D3" s="202">
        <f t="shared" si="0"/>
        <v>31.798755539750001</v>
      </c>
      <c r="E3" s="202">
        <f t="shared" si="0"/>
        <v>31.648596766119997</v>
      </c>
      <c r="F3" s="202">
        <f t="shared" si="0"/>
        <v>31.957060014499998</v>
      </c>
      <c r="G3" s="202">
        <f t="shared" si="0"/>
        <v>31.023458333940003</v>
      </c>
      <c r="H3" s="202">
        <f t="shared" si="0"/>
        <v>31.276624002919995</v>
      </c>
      <c r="I3" s="202">
        <f t="shared" si="0"/>
        <v>30.175205285199997</v>
      </c>
      <c r="J3" s="20"/>
      <c r="K3" s="20"/>
      <c r="L3" s="20"/>
      <c r="M3" s="15"/>
      <c r="N3" s="15"/>
      <c r="O3" s="20"/>
      <c r="P3" s="44"/>
    </row>
    <row r="4" spans="1:16">
      <c r="A4" s="20"/>
      <c r="B4" s="203">
        <f>'NAV Trend'!C17/1000000000</f>
        <v>30.630921333499995</v>
      </c>
      <c r="C4" s="203">
        <f>'NAV Trend'!D17/1000000000</f>
        <v>30.807819494499999</v>
      </c>
      <c r="D4" s="203">
        <f>'NAV Trend'!E17/1000000000</f>
        <v>31.798755539750001</v>
      </c>
      <c r="E4" s="203">
        <f>'NAV Trend'!F17/1000000000</f>
        <v>31.648596766119997</v>
      </c>
      <c r="F4" s="203">
        <f>'NAV Trend'!G17/1000000000</f>
        <v>31.957060014499998</v>
      </c>
      <c r="G4" s="203">
        <f>'NAV Trend'!H17/1000000000</f>
        <v>31.023458333940003</v>
      </c>
      <c r="H4" s="203">
        <f>'NAV Trend'!I17/1000000000</f>
        <v>31.276624002919995</v>
      </c>
      <c r="I4" s="204">
        <f>'NAV Trend'!J17/1000000000</f>
        <v>30.175205285199997</v>
      </c>
      <c r="J4" s="20"/>
      <c r="K4" s="20"/>
      <c r="L4" s="20"/>
      <c r="M4" s="15"/>
      <c r="N4" s="15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lnVE//jnknk8PDnHLmxzJIZS1qWsrU8LYXboa4mZ2C+Dq2AtCDNW48l2DmCtSHXA1w9UdEHm74ZXPqonRUfX0Q==" saltValue="3KV+woC+nOYdDLJclSG8U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2" sqref="K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">
        <v>46136</v>
      </c>
      <c r="C1" s="2">
        <v>46142</v>
      </c>
      <c r="D1" s="2">
        <v>46150</v>
      </c>
      <c r="E1" s="2">
        <v>46157</v>
      </c>
      <c r="F1" s="2">
        <v>46164</v>
      </c>
      <c r="G1" s="2">
        <v>46171</v>
      </c>
      <c r="H1" s="2">
        <v>46178</v>
      </c>
      <c r="I1" s="2">
        <v>46184</v>
      </c>
      <c r="J1" s="2">
        <v>46192</v>
      </c>
    </row>
    <row r="2" spans="1:11">
      <c r="A2" s="3" t="s">
        <v>17</v>
      </c>
      <c r="B2" s="4">
        <v>216340303668.50018</v>
      </c>
      <c r="C2" s="4">
        <v>234656506558.00677</v>
      </c>
      <c r="D2" s="4">
        <v>246413093222.44684</v>
      </c>
      <c r="E2" s="4">
        <v>261274211009.01639</v>
      </c>
      <c r="F2" s="4">
        <v>264351575123.16064</v>
      </c>
      <c r="G2" s="4">
        <v>266819826208.66391</v>
      </c>
      <c r="H2" s="4">
        <v>261164527998.5798</v>
      </c>
      <c r="I2" s="4">
        <v>256764978197.62451</v>
      </c>
      <c r="J2" s="4">
        <v>242186700352.6647</v>
      </c>
    </row>
    <row r="3" spans="1:11">
      <c r="A3" s="3" t="s">
        <v>53</v>
      </c>
      <c r="B3" s="4">
        <v>5684681458968.9551</v>
      </c>
      <c r="C3" s="4">
        <v>5710644091386.6309</v>
      </c>
      <c r="D3" s="4">
        <v>5722001461776.2686</v>
      </c>
      <c r="E3" s="4">
        <v>5750770301084.7988</v>
      </c>
      <c r="F3" s="4">
        <v>5784270199757.0078</v>
      </c>
      <c r="G3" s="4">
        <v>5839627786905.6484</v>
      </c>
      <c r="H3" s="4">
        <v>5902329950916.0596</v>
      </c>
      <c r="I3" s="4">
        <v>5945195246120.4697</v>
      </c>
      <c r="J3" s="4">
        <v>5946340110063.4297</v>
      </c>
    </row>
    <row r="4" spans="1:11">
      <c r="A4" s="3" t="s">
        <v>289</v>
      </c>
      <c r="B4" s="5">
        <v>235706472228.2908</v>
      </c>
      <c r="C4" s="5">
        <v>235773291330.45038</v>
      </c>
      <c r="D4" s="5">
        <v>234903600186.06744</v>
      </c>
      <c r="E4" s="5">
        <v>233963293234.06</v>
      </c>
      <c r="F4" s="5">
        <v>233712243996.24088</v>
      </c>
      <c r="G4" s="5">
        <v>234954745853.45001</v>
      </c>
      <c r="H4" s="5">
        <v>236159500980.94</v>
      </c>
      <c r="I4" s="5">
        <v>236916586622.81195</v>
      </c>
      <c r="J4" s="5">
        <v>237211374820.86002</v>
      </c>
    </row>
    <row r="5" spans="1:11">
      <c r="A5" s="3" t="s">
        <v>164</v>
      </c>
      <c r="B5" s="4">
        <v>1845513937800.6819</v>
      </c>
      <c r="C5" s="4">
        <v>1871002753487.2156</v>
      </c>
      <c r="D5" s="4">
        <v>1849855930085.6921</v>
      </c>
      <c r="E5" s="4">
        <v>1834914569508.6284</v>
      </c>
      <c r="F5" s="4">
        <v>1850349851807.7859</v>
      </c>
      <c r="G5" s="4">
        <v>1839533501218.4192</v>
      </c>
      <c r="H5" s="4">
        <v>1829416071688.4446</v>
      </c>
      <c r="I5" s="4">
        <v>1830631570207.8184</v>
      </c>
      <c r="J5" s="4">
        <v>1831543622192.5051</v>
      </c>
    </row>
    <row r="6" spans="1:11">
      <c r="A6" s="3" t="s">
        <v>290</v>
      </c>
      <c r="B6" s="5">
        <v>505637897315.83008</v>
      </c>
      <c r="C6" s="5">
        <v>506711673309.49524</v>
      </c>
      <c r="D6" s="5">
        <v>507433414809.49524</v>
      </c>
      <c r="E6" s="5">
        <v>507839066699.88861</v>
      </c>
      <c r="F6" s="5">
        <v>508288025309.51001</v>
      </c>
      <c r="G6" s="5">
        <v>508142816542.39001</v>
      </c>
      <c r="H6" s="5">
        <v>509449760962.75995</v>
      </c>
      <c r="I6" s="5">
        <v>509810118982.62</v>
      </c>
      <c r="J6" s="5">
        <v>509105404218.04999</v>
      </c>
    </row>
    <row r="7" spans="1:11">
      <c r="A7" s="3" t="s">
        <v>203</v>
      </c>
      <c r="B7" s="7">
        <v>137046282636.08223</v>
      </c>
      <c r="C7" s="7">
        <v>144449783996.67877</v>
      </c>
      <c r="D7" s="7">
        <v>147596619374.13925</v>
      </c>
      <c r="E7" s="7">
        <v>153248181990.54001</v>
      </c>
      <c r="F7" s="7">
        <v>157193396976.43375</v>
      </c>
      <c r="G7" s="7">
        <v>158918035170.78</v>
      </c>
      <c r="H7" s="7">
        <v>157794604666.74005</v>
      </c>
      <c r="I7" s="7">
        <v>157283348047.30002</v>
      </c>
      <c r="J7" s="7">
        <v>153787085927.89999</v>
      </c>
    </row>
    <row r="8" spans="1:11">
      <c r="A8" s="3" t="s">
        <v>233</v>
      </c>
      <c r="B8" s="6">
        <v>18040731810.32</v>
      </c>
      <c r="C8" s="6">
        <v>19513541737.860001</v>
      </c>
      <c r="D8" s="6">
        <v>19560945940.800003</v>
      </c>
      <c r="E8" s="6">
        <v>21319511673.420002</v>
      </c>
      <c r="F8" s="6">
        <v>21546894877.009998</v>
      </c>
      <c r="G8" s="6">
        <v>21792643850.099998</v>
      </c>
      <c r="H8" s="6">
        <v>21280346410.980003</v>
      </c>
      <c r="I8" s="6">
        <v>21268685643.470001</v>
      </c>
      <c r="J8" s="6">
        <v>19841788312.09</v>
      </c>
    </row>
    <row r="9" spans="1:11">
      <c r="A9" s="3" t="s">
        <v>291</v>
      </c>
      <c r="B9" s="6">
        <v>125945079150.49832</v>
      </c>
      <c r="C9" s="6">
        <v>133934467400.73964</v>
      </c>
      <c r="D9" s="6">
        <v>136619605199.11766</v>
      </c>
      <c r="E9" s="6">
        <v>143984190936.53003</v>
      </c>
      <c r="F9" s="6">
        <v>146050121944.34546</v>
      </c>
      <c r="G9" s="6">
        <v>148330897921.06546</v>
      </c>
      <c r="H9" s="6">
        <v>148222989678.10001</v>
      </c>
      <c r="I9" s="6">
        <v>143663656305.06003</v>
      </c>
      <c r="J9" s="6">
        <v>141495673383.96002</v>
      </c>
    </row>
    <row r="10" spans="1:11">
      <c r="A10" s="3" t="s">
        <v>262</v>
      </c>
      <c r="B10" s="6">
        <v>31632969925.556732</v>
      </c>
      <c r="C10" s="6">
        <v>31899721332.017464</v>
      </c>
      <c r="D10" s="6">
        <v>32017546923.681477</v>
      </c>
      <c r="E10" s="6">
        <v>31347647935.149067</v>
      </c>
      <c r="F10" s="6">
        <v>31785576256.807602</v>
      </c>
      <c r="G10" s="6">
        <v>31841806178.550476</v>
      </c>
      <c r="H10" s="6">
        <v>31850952331.097569</v>
      </c>
      <c r="I10" s="6">
        <v>30947010318.115276</v>
      </c>
      <c r="J10" s="6">
        <v>31106262396.983276</v>
      </c>
    </row>
    <row r="11" spans="1:11" ht="15.6">
      <c r="A11" s="8" t="s">
        <v>295</v>
      </c>
      <c r="B11" s="9">
        <f t="shared" ref="B11:H11" si="0">SUM(B2:B9)</f>
        <v>8768912163579.1582</v>
      </c>
      <c r="C11" s="9">
        <f t="shared" si="0"/>
        <v>8856686109207.0781</v>
      </c>
      <c r="D11" s="9">
        <f t="shared" si="0"/>
        <v>8864384670594.0273</v>
      </c>
      <c r="E11" s="9">
        <f t="shared" si="0"/>
        <v>8907313326136.8828</v>
      </c>
      <c r="F11" s="9">
        <f t="shared" si="0"/>
        <v>8965762309791.4941</v>
      </c>
      <c r="G11" s="9">
        <f t="shared" si="0"/>
        <v>9018120253670.5176</v>
      </c>
      <c r="H11" s="9">
        <f t="shared" si="0"/>
        <v>9065817753302.6035</v>
      </c>
      <c r="I11" s="9">
        <f>SUM(I2:I10)</f>
        <v>9132481200445.291</v>
      </c>
      <c r="J11" s="9">
        <f>SUM(J2:J10)</f>
        <v>9112618021668.4434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2" t="s">
        <v>297</v>
      </c>
      <c r="C13" s="13">
        <f>(B11+C11)/2</f>
        <v>8812799136393.1172</v>
      </c>
      <c r="D13" s="14">
        <f t="shared" ref="D13:J13" si="1">(C11+D11)/2</f>
        <v>8860535389900.5527</v>
      </c>
      <c r="E13" s="14">
        <f t="shared" si="1"/>
        <v>8885848998365.4551</v>
      </c>
      <c r="F13" s="14">
        <f t="shared" si="1"/>
        <v>8936537817964.1875</v>
      </c>
      <c r="G13" s="14">
        <f t="shared" si="1"/>
        <v>8991941281731.0059</v>
      </c>
      <c r="H13" s="14">
        <f t="shared" si="1"/>
        <v>9041969003486.5605</v>
      </c>
      <c r="I13" s="14">
        <f t="shared" si="1"/>
        <v>9099149476873.9473</v>
      </c>
      <c r="J13" s="14">
        <f t="shared" si="1"/>
        <v>9122549611056.8672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46136</v>
      </c>
      <c r="C16" s="2">
        <v>46142</v>
      </c>
      <c r="D16" s="2">
        <v>46150</v>
      </c>
      <c r="E16" s="2">
        <v>46157</v>
      </c>
      <c r="F16" s="2">
        <v>46164</v>
      </c>
      <c r="G16" s="2">
        <v>46171</v>
      </c>
      <c r="H16" s="2">
        <v>46178</v>
      </c>
      <c r="I16" s="2">
        <v>46184</v>
      </c>
      <c r="J16" s="2">
        <v>46192</v>
      </c>
      <c r="K16" s="15"/>
    </row>
    <row r="17" spans="1:11">
      <c r="A17" s="16" t="s">
        <v>298</v>
      </c>
      <c r="B17" s="17">
        <v>28905229299.34</v>
      </c>
      <c r="C17" s="17">
        <v>30630921333.499996</v>
      </c>
      <c r="D17" s="17">
        <v>30807819494.5</v>
      </c>
      <c r="E17" s="17">
        <v>31798755539.75</v>
      </c>
      <c r="F17" s="17">
        <v>31648596766.119999</v>
      </c>
      <c r="G17" s="17">
        <v>31957060014.499996</v>
      </c>
      <c r="H17" s="17">
        <v>31023458333.940002</v>
      </c>
      <c r="I17" s="17">
        <v>31276624002.919994</v>
      </c>
      <c r="J17" s="17">
        <v>30175205285.199997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49Ry31f/QeijZxPDjaM8XygUqIkVNrRA7DJ3sv0d6lU8hG+/2Vg7r6eU+DwpbbeDfdDhwrV3iSgX6ZadSTxBLA==" saltValue="Ec/KxDQhTha8talutxmOt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2026-06-28T20:59:18Z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