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5172" yWindow="1872" windowWidth="19200" windowHeight="9972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Valuation'!$AC$140</definedName>
    <definedName name="NFEM_RATE" localSheetId="0">'Weekly Valuation'!$AC$140</definedName>
  </definedNames>
  <calcPr calcId="162913"/>
</workbook>
</file>

<file path=xl/calcChain.xml><?xml version="1.0" encoding="utf-8"?>
<calcChain xmlns="http://schemas.openxmlformats.org/spreadsheetml/2006/main">
  <c r="O129" i="1" l="1"/>
  <c r="R135" i="1" l="1"/>
  <c r="T155" i="1" l="1"/>
  <c r="R155" i="1"/>
  <c r="O155" i="1"/>
  <c r="T153" i="1" l="1"/>
  <c r="R153" i="1"/>
  <c r="O153" i="1"/>
  <c r="T142" i="1"/>
  <c r="R142" i="1"/>
  <c r="O142" i="1"/>
  <c r="O141" i="1"/>
  <c r="T137" i="1"/>
  <c r="R137" i="1"/>
  <c r="O137" i="1"/>
  <c r="T151" i="1"/>
  <c r="R151" i="1"/>
  <c r="O151" i="1"/>
  <c r="R130" i="1"/>
  <c r="O130" i="1"/>
  <c r="O244" i="1"/>
  <c r="T244" i="1"/>
  <c r="R244" i="1"/>
  <c r="O132" i="1"/>
  <c r="R132" i="1"/>
  <c r="T132" i="1"/>
  <c r="T131" i="1"/>
  <c r="R131" i="1"/>
  <c r="O131" i="1"/>
  <c r="O150" i="1"/>
  <c r="O125" i="1"/>
  <c r="R125" i="1"/>
  <c r="T125" i="1"/>
  <c r="T138" i="1"/>
  <c r="R138" i="1"/>
  <c r="O138" i="1"/>
  <c r="R157" i="1"/>
  <c r="T157" i="1"/>
  <c r="O157" i="1"/>
  <c r="T136" i="1"/>
  <c r="R136" i="1"/>
  <c r="O136" i="1"/>
  <c r="T143" i="1"/>
  <c r="R143" i="1"/>
  <c r="O143" i="1"/>
  <c r="T127" i="1"/>
  <c r="R127" i="1"/>
  <c r="O127" i="1"/>
  <c r="T246" i="1"/>
  <c r="R246" i="1"/>
  <c r="O246" i="1"/>
  <c r="T154" i="1"/>
  <c r="R154" i="1"/>
  <c r="O154" i="1"/>
  <c r="T122" i="1"/>
  <c r="R122" i="1"/>
  <c r="O122" i="1"/>
  <c r="T135" i="1"/>
  <c r="O135" i="1"/>
  <c r="T156" i="1"/>
  <c r="R156" i="1"/>
  <c r="O156" i="1"/>
  <c r="T160" i="1"/>
  <c r="R160" i="1"/>
  <c r="O160" i="1"/>
  <c r="O148" i="1"/>
  <c r="O128" i="1"/>
  <c r="R128" i="1"/>
  <c r="T128" i="1"/>
  <c r="O241" i="1"/>
  <c r="R241" i="1"/>
  <c r="T241" i="1"/>
  <c r="T124" i="1"/>
  <c r="R124" i="1"/>
  <c r="O124" i="1"/>
  <c r="O123" i="1"/>
  <c r="R123" i="1"/>
  <c r="T123" i="1"/>
  <c r="AB201" i="1"/>
  <c r="AA201" i="1"/>
  <c r="Z201" i="1"/>
  <c r="Y201" i="1"/>
  <c r="X201" i="1"/>
  <c r="T129" i="1" l="1"/>
  <c r="R129" i="1"/>
  <c r="N152" i="1" l="1"/>
  <c r="R150" i="1"/>
  <c r="T150" i="1"/>
  <c r="N149" i="1"/>
  <c r="T141" i="1"/>
  <c r="R141" i="1"/>
  <c r="X142" i="1" l="1"/>
  <c r="R149" i="1"/>
  <c r="T149" i="1"/>
  <c r="S147" i="1"/>
  <c r="X122" i="1"/>
  <c r="R148" i="1"/>
  <c r="T148" i="1"/>
  <c r="T159" i="1"/>
  <c r="R159" i="1"/>
  <c r="T152" i="1"/>
  <c r="R152" i="1"/>
  <c r="Q147" i="1"/>
  <c r="T146" i="1"/>
  <c r="R146" i="1"/>
  <c r="T144" i="1"/>
  <c r="R144" i="1"/>
  <c r="O159" i="1"/>
  <c r="N147" i="1"/>
  <c r="O146" i="1"/>
  <c r="O144" i="1"/>
  <c r="T130" i="1"/>
  <c r="T134" i="1"/>
  <c r="R134" i="1"/>
  <c r="T133" i="1"/>
  <c r="R133" i="1"/>
  <c r="T126" i="1"/>
  <c r="R126" i="1"/>
  <c r="T121" i="1"/>
  <c r="R121" i="1"/>
  <c r="O134" i="1"/>
  <c r="O133" i="1"/>
  <c r="O126" i="1"/>
  <c r="O121" i="1"/>
  <c r="O247" i="1" l="1"/>
  <c r="X158" i="1" l="1"/>
  <c r="X157" i="1"/>
  <c r="D161" i="1" l="1"/>
  <c r="N161" i="1" l="1"/>
  <c r="AB246" i="1" l="1"/>
  <c r="AA246" i="1"/>
  <c r="Z246" i="1"/>
  <c r="U247" i="1"/>
  <c r="Y246" i="1"/>
  <c r="X246" i="1"/>
  <c r="K247" i="1"/>
  <c r="E247" i="1" l="1"/>
  <c r="E237" i="1" l="1"/>
  <c r="AB135" i="1" l="1"/>
  <c r="AA135" i="1"/>
  <c r="Z135" i="1"/>
  <c r="Y135" i="1"/>
  <c r="X135" i="1"/>
  <c r="AB191" i="1"/>
  <c r="AA191" i="1"/>
  <c r="Z191" i="1"/>
  <c r="Y191" i="1"/>
  <c r="X191" i="1"/>
  <c r="AB59" i="1" l="1"/>
  <c r="AA59" i="1"/>
  <c r="Z59" i="1"/>
  <c r="Y59" i="1"/>
  <c r="X59" i="1"/>
  <c r="O203" i="1" l="1"/>
  <c r="P202" i="1" l="1"/>
  <c r="P201" i="1"/>
  <c r="P191" i="1"/>
  <c r="P189" i="1"/>
  <c r="B5" i="3"/>
  <c r="X261" i="1" l="1"/>
  <c r="X179" i="1"/>
  <c r="X88" i="1"/>
  <c r="O26" i="1" l="1"/>
  <c r="B6" i="3" s="1"/>
  <c r="P10" i="1" l="1"/>
  <c r="P23" i="1"/>
  <c r="X226" i="1"/>
  <c r="AB31" i="1" l="1"/>
  <c r="AA31" i="1"/>
  <c r="Z31" i="1"/>
  <c r="Y31" i="1"/>
  <c r="X31" i="1"/>
  <c r="AB142" i="1" l="1"/>
  <c r="AA142" i="1"/>
  <c r="Z142" i="1"/>
  <c r="Y142" i="1"/>
  <c r="X33" i="1" l="1"/>
  <c r="Y33" i="1"/>
  <c r="Z33" i="1"/>
  <c r="AA33" i="1"/>
  <c r="AB33" i="1"/>
  <c r="O161" i="1" l="1"/>
  <c r="P135" i="1" s="1"/>
  <c r="P132" i="1" l="1"/>
  <c r="P142" i="1"/>
  <c r="P133" i="1"/>
  <c r="AB67" i="1" l="1"/>
  <c r="AA67" i="1"/>
  <c r="Z67" i="1"/>
  <c r="Y67" i="1"/>
  <c r="X67" i="1"/>
  <c r="K209" i="1" l="1"/>
  <c r="U209" i="1"/>
  <c r="O209" i="1"/>
  <c r="E209" i="1"/>
  <c r="AB206" i="1" l="1"/>
  <c r="AA206" i="1"/>
  <c r="Z206" i="1"/>
  <c r="Y206" i="1"/>
  <c r="X206" i="1"/>
  <c r="P206" i="1"/>
  <c r="Y197" i="1" l="1"/>
  <c r="Y85" i="1" l="1"/>
  <c r="I11" i="4" l="1"/>
  <c r="P233" i="1" l="1"/>
  <c r="X233" i="1"/>
  <c r="J11" i="4" l="1"/>
  <c r="P173" i="1"/>
  <c r="P182" i="1" l="1"/>
  <c r="P190" i="1"/>
  <c r="Y220" i="1"/>
  <c r="Y168" i="1"/>
  <c r="X37" i="1" l="1"/>
  <c r="AB24" i="1"/>
  <c r="AA24" i="1"/>
  <c r="Z24" i="1"/>
  <c r="Y24" i="1"/>
  <c r="X24" i="1"/>
  <c r="P207" i="1" l="1"/>
  <c r="P234" i="1" l="1"/>
  <c r="AB195" i="1" l="1"/>
  <c r="AA195" i="1"/>
  <c r="Z195" i="1"/>
  <c r="Y195" i="1"/>
  <c r="X195" i="1"/>
  <c r="X148" i="1" l="1"/>
  <c r="Y136" i="1"/>
  <c r="Y132" i="1"/>
  <c r="Y131" i="1"/>
  <c r="Y244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4" i="5" s="1"/>
  <c r="B3" i="5" s="1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AB267" i="1"/>
  <c r="AA267" i="1"/>
  <c r="Y267" i="1"/>
  <c r="U267" i="1"/>
  <c r="O267" i="1"/>
  <c r="K267" i="1"/>
  <c r="E267" i="1"/>
  <c r="F265" i="1" s="1"/>
  <c r="AB266" i="1"/>
  <c r="AA266" i="1"/>
  <c r="Z266" i="1"/>
  <c r="Y266" i="1"/>
  <c r="X266" i="1"/>
  <c r="AB265" i="1"/>
  <c r="AA265" i="1"/>
  <c r="Z265" i="1"/>
  <c r="Y265" i="1"/>
  <c r="X265" i="1"/>
  <c r="AB264" i="1"/>
  <c r="AA264" i="1"/>
  <c r="Z264" i="1"/>
  <c r="Y264" i="1"/>
  <c r="X264" i="1"/>
  <c r="AB263" i="1"/>
  <c r="AA263" i="1"/>
  <c r="Z263" i="1"/>
  <c r="Y263" i="1"/>
  <c r="X263" i="1"/>
  <c r="AB262" i="1"/>
  <c r="AA262" i="1"/>
  <c r="Z262" i="1"/>
  <c r="Y262" i="1"/>
  <c r="X262" i="1"/>
  <c r="AB261" i="1"/>
  <c r="AA261" i="1"/>
  <c r="Z261" i="1"/>
  <c r="Y261" i="1"/>
  <c r="AB260" i="1"/>
  <c r="AA260" i="1"/>
  <c r="Z260" i="1"/>
  <c r="Y260" i="1"/>
  <c r="X260" i="1"/>
  <c r="AB259" i="1"/>
  <c r="AA259" i="1"/>
  <c r="Z259" i="1"/>
  <c r="Y259" i="1"/>
  <c r="X259" i="1"/>
  <c r="AB258" i="1"/>
  <c r="AA258" i="1"/>
  <c r="Z258" i="1"/>
  <c r="Y258" i="1"/>
  <c r="X258" i="1"/>
  <c r="AB257" i="1"/>
  <c r="AA257" i="1"/>
  <c r="Z257" i="1"/>
  <c r="Y257" i="1"/>
  <c r="X257" i="1"/>
  <c r="AB256" i="1"/>
  <c r="AA256" i="1"/>
  <c r="Z256" i="1"/>
  <c r="Y256" i="1"/>
  <c r="X256" i="1"/>
  <c r="AB255" i="1"/>
  <c r="AA255" i="1"/>
  <c r="Z255" i="1"/>
  <c r="Y255" i="1"/>
  <c r="X255" i="1"/>
  <c r="U252" i="1"/>
  <c r="O252" i="1"/>
  <c r="P251" i="1" s="1"/>
  <c r="K252" i="1"/>
  <c r="E252" i="1"/>
  <c r="F251" i="1" s="1"/>
  <c r="AB251" i="1"/>
  <c r="AA251" i="1"/>
  <c r="Z251" i="1"/>
  <c r="Y251" i="1"/>
  <c r="X251" i="1"/>
  <c r="AB250" i="1"/>
  <c r="AA250" i="1"/>
  <c r="Z250" i="1"/>
  <c r="Y250" i="1"/>
  <c r="X250" i="1"/>
  <c r="B21" i="2"/>
  <c r="B11" i="2" s="1"/>
  <c r="AB245" i="1"/>
  <c r="AA245" i="1"/>
  <c r="Z245" i="1"/>
  <c r="Y245" i="1"/>
  <c r="X245" i="1"/>
  <c r="AB243" i="1"/>
  <c r="AA243" i="1"/>
  <c r="Z243" i="1"/>
  <c r="Y243" i="1"/>
  <c r="X243" i="1"/>
  <c r="AB244" i="1"/>
  <c r="AA244" i="1"/>
  <c r="Z244" i="1"/>
  <c r="X244" i="1"/>
  <c r="AB242" i="1"/>
  <c r="AA242" i="1"/>
  <c r="Z242" i="1"/>
  <c r="Y242" i="1"/>
  <c r="X242" i="1"/>
  <c r="AB241" i="1"/>
  <c r="AA241" i="1"/>
  <c r="Z241" i="1"/>
  <c r="Y241" i="1"/>
  <c r="P246" i="1"/>
  <c r="AB237" i="1"/>
  <c r="AA237" i="1"/>
  <c r="Y237" i="1"/>
  <c r="U237" i="1"/>
  <c r="O237" i="1"/>
  <c r="P221" i="1" s="1"/>
  <c r="K237" i="1"/>
  <c r="AB236" i="1"/>
  <c r="AA236" i="1"/>
  <c r="Z236" i="1"/>
  <c r="Y236" i="1"/>
  <c r="X236" i="1"/>
  <c r="AB235" i="1"/>
  <c r="AA235" i="1"/>
  <c r="Z235" i="1"/>
  <c r="Y235" i="1"/>
  <c r="X235" i="1"/>
  <c r="AB234" i="1"/>
  <c r="AA234" i="1"/>
  <c r="Z234" i="1"/>
  <c r="Y234" i="1"/>
  <c r="X234" i="1"/>
  <c r="AB233" i="1"/>
  <c r="AA233" i="1"/>
  <c r="Z233" i="1"/>
  <c r="Y233" i="1"/>
  <c r="AB230" i="1"/>
  <c r="AA230" i="1"/>
  <c r="Z230" i="1"/>
  <c r="Y230" i="1"/>
  <c r="X230" i="1"/>
  <c r="AB229" i="1"/>
  <c r="AA229" i="1"/>
  <c r="Z229" i="1"/>
  <c r="Y229" i="1"/>
  <c r="X229" i="1"/>
  <c r="AB228" i="1"/>
  <c r="AA228" i="1"/>
  <c r="Z228" i="1"/>
  <c r="Y228" i="1"/>
  <c r="X228" i="1"/>
  <c r="AB227" i="1"/>
  <c r="AA227" i="1"/>
  <c r="Z227" i="1"/>
  <c r="Y227" i="1"/>
  <c r="X227" i="1"/>
  <c r="AB226" i="1"/>
  <c r="AA226" i="1"/>
  <c r="Z226" i="1"/>
  <c r="Y226" i="1"/>
  <c r="AB225" i="1"/>
  <c r="AA225" i="1"/>
  <c r="Z225" i="1"/>
  <c r="Y225" i="1"/>
  <c r="X225" i="1"/>
  <c r="AB224" i="1"/>
  <c r="AA224" i="1"/>
  <c r="Z224" i="1"/>
  <c r="Y224" i="1"/>
  <c r="X224" i="1"/>
  <c r="AB223" i="1"/>
  <c r="AA223" i="1"/>
  <c r="Z223" i="1"/>
  <c r="Y223" i="1"/>
  <c r="X223" i="1"/>
  <c r="AB222" i="1"/>
  <c r="AA222" i="1"/>
  <c r="Z222" i="1"/>
  <c r="Y222" i="1"/>
  <c r="X222" i="1"/>
  <c r="AB221" i="1"/>
  <c r="AA221" i="1"/>
  <c r="Z221" i="1"/>
  <c r="Y221" i="1"/>
  <c r="X221" i="1"/>
  <c r="AB220" i="1"/>
  <c r="AA220" i="1"/>
  <c r="Z220" i="1"/>
  <c r="X220" i="1"/>
  <c r="AB219" i="1"/>
  <c r="AA219" i="1"/>
  <c r="Z219" i="1"/>
  <c r="Y219" i="1"/>
  <c r="X219" i="1"/>
  <c r="AB218" i="1"/>
  <c r="AA218" i="1"/>
  <c r="Z218" i="1"/>
  <c r="Y218" i="1"/>
  <c r="X218" i="1"/>
  <c r="AB217" i="1"/>
  <c r="AA217" i="1"/>
  <c r="Z217" i="1"/>
  <c r="Y217" i="1"/>
  <c r="X217" i="1"/>
  <c r="AB214" i="1"/>
  <c r="AA214" i="1"/>
  <c r="Z214" i="1"/>
  <c r="Y214" i="1"/>
  <c r="X214" i="1"/>
  <c r="AB213" i="1"/>
  <c r="AA213" i="1"/>
  <c r="Z213" i="1"/>
  <c r="Y213" i="1"/>
  <c r="X213" i="1"/>
  <c r="AB209" i="1"/>
  <c r="AA209" i="1"/>
  <c r="Y209" i="1"/>
  <c r="B2" i="3"/>
  <c r="B19" i="2"/>
  <c r="B9" i="2" s="1"/>
  <c r="AB208" i="1"/>
  <c r="AA208" i="1"/>
  <c r="Z208" i="1"/>
  <c r="Y208" i="1"/>
  <c r="X208" i="1"/>
  <c r="AB207" i="1"/>
  <c r="AA207" i="1"/>
  <c r="Z207" i="1"/>
  <c r="Y207" i="1"/>
  <c r="X207" i="1"/>
  <c r="AB203" i="1"/>
  <c r="AA203" i="1"/>
  <c r="Y203" i="1"/>
  <c r="U203" i="1"/>
  <c r="K203" i="1"/>
  <c r="E203" i="1"/>
  <c r="F201" i="1" s="1"/>
  <c r="AB200" i="1"/>
  <c r="AA200" i="1"/>
  <c r="Z200" i="1"/>
  <c r="Y200" i="1"/>
  <c r="X200" i="1"/>
  <c r="AB199" i="1"/>
  <c r="AA199" i="1"/>
  <c r="Z199" i="1"/>
  <c r="Y199" i="1"/>
  <c r="X199" i="1"/>
  <c r="AB198" i="1"/>
  <c r="AA198" i="1"/>
  <c r="Z198" i="1"/>
  <c r="Y198" i="1"/>
  <c r="X198" i="1"/>
  <c r="AB197" i="1"/>
  <c r="AA197" i="1"/>
  <c r="Z197" i="1"/>
  <c r="X197" i="1"/>
  <c r="AB196" i="1"/>
  <c r="AA196" i="1"/>
  <c r="Z196" i="1"/>
  <c r="Y196" i="1"/>
  <c r="X196" i="1"/>
  <c r="AB194" i="1"/>
  <c r="AA194" i="1"/>
  <c r="Z194" i="1"/>
  <c r="Y194" i="1"/>
  <c r="X194" i="1"/>
  <c r="AB193" i="1"/>
  <c r="AA193" i="1"/>
  <c r="Z193" i="1"/>
  <c r="Y193" i="1"/>
  <c r="X193" i="1"/>
  <c r="AB192" i="1"/>
  <c r="AA192" i="1"/>
  <c r="Z192" i="1"/>
  <c r="Y192" i="1"/>
  <c r="X192" i="1"/>
  <c r="AB190" i="1"/>
  <c r="AA190" i="1"/>
  <c r="Z190" i="1"/>
  <c r="Y190" i="1"/>
  <c r="X190" i="1"/>
  <c r="AB189" i="1"/>
  <c r="AA189" i="1"/>
  <c r="Z189" i="1"/>
  <c r="Y189" i="1"/>
  <c r="X189" i="1"/>
  <c r="AB188" i="1"/>
  <c r="AA188" i="1"/>
  <c r="Z188" i="1"/>
  <c r="Y188" i="1"/>
  <c r="X188" i="1"/>
  <c r="AB187" i="1"/>
  <c r="AA187" i="1"/>
  <c r="Z187" i="1"/>
  <c r="Y187" i="1"/>
  <c r="X187" i="1"/>
  <c r="AB186" i="1"/>
  <c r="AA186" i="1"/>
  <c r="Z186" i="1"/>
  <c r="Y186" i="1"/>
  <c r="X186" i="1"/>
  <c r="AB185" i="1"/>
  <c r="AA185" i="1"/>
  <c r="Z185" i="1"/>
  <c r="Y185" i="1"/>
  <c r="X185" i="1"/>
  <c r="AB184" i="1"/>
  <c r="AA184" i="1"/>
  <c r="Z184" i="1"/>
  <c r="Y184" i="1"/>
  <c r="X184" i="1"/>
  <c r="AB183" i="1"/>
  <c r="AA183" i="1"/>
  <c r="Z183" i="1"/>
  <c r="Y183" i="1"/>
  <c r="X183" i="1"/>
  <c r="AB182" i="1"/>
  <c r="AA182" i="1"/>
  <c r="Z182" i="1"/>
  <c r="Y182" i="1"/>
  <c r="X182" i="1"/>
  <c r="AB181" i="1"/>
  <c r="AA181" i="1"/>
  <c r="Z181" i="1"/>
  <c r="Y181" i="1"/>
  <c r="X181" i="1"/>
  <c r="AB180" i="1"/>
  <c r="AA180" i="1"/>
  <c r="Z180" i="1"/>
  <c r="Y180" i="1"/>
  <c r="X180" i="1"/>
  <c r="AB179" i="1"/>
  <c r="AA179" i="1"/>
  <c r="Z179" i="1"/>
  <c r="Y179" i="1"/>
  <c r="AB178" i="1"/>
  <c r="AA178" i="1"/>
  <c r="Z178" i="1"/>
  <c r="Y178" i="1"/>
  <c r="X178" i="1"/>
  <c r="AB177" i="1"/>
  <c r="AA177" i="1"/>
  <c r="Z177" i="1"/>
  <c r="Y177" i="1"/>
  <c r="X177" i="1"/>
  <c r="AB176" i="1"/>
  <c r="AA176" i="1"/>
  <c r="Z176" i="1"/>
  <c r="Y176" i="1"/>
  <c r="X176" i="1"/>
  <c r="AB202" i="1"/>
  <c r="AA202" i="1"/>
  <c r="Z202" i="1"/>
  <c r="Y202" i="1"/>
  <c r="X202" i="1"/>
  <c r="AB175" i="1"/>
  <c r="AA175" i="1"/>
  <c r="Z175" i="1"/>
  <c r="Y175" i="1"/>
  <c r="X175" i="1"/>
  <c r="AB174" i="1"/>
  <c r="AA174" i="1"/>
  <c r="Z174" i="1"/>
  <c r="Y174" i="1"/>
  <c r="X174" i="1"/>
  <c r="AB173" i="1"/>
  <c r="AA173" i="1"/>
  <c r="Z173" i="1"/>
  <c r="Y173" i="1"/>
  <c r="X173" i="1"/>
  <c r="AB170" i="1"/>
  <c r="AA170" i="1"/>
  <c r="Y170" i="1"/>
  <c r="U170" i="1"/>
  <c r="O170" i="1"/>
  <c r="K170" i="1"/>
  <c r="E170" i="1"/>
  <c r="B17" i="2" s="1"/>
  <c r="B7" i="2" s="1"/>
  <c r="AB169" i="1"/>
  <c r="AA169" i="1"/>
  <c r="Z169" i="1"/>
  <c r="Y169" i="1"/>
  <c r="X169" i="1"/>
  <c r="AB168" i="1"/>
  <c r="AA168" i="1"/>
  <c r="Z168" i="1"/>
  <c r="X168" i="1"/>
  <c r="AB167" i="1"/>
  <c r="AA167" i="1"/>
  <c r="Z167" i="1"/>
  <c r="Y167" i="1"/>
  <c r="X167" i="1"/>
  <c r="AB166" i="1"/>
  <c r="AA166" i="1"/>
  <c r="Z166" i="1"/>
  <c r="Y166" i="1"/>
  <c r="X166" i="1"/>
  <c r="AB165" i="1"/>
  <c r="AA165" i="1"/>
  <c r="Z165" i="1"/>
  <c r="Y165" i="1"/>
  <c r="X165" i="1"/>
  <c r="AB164" i="1"/>
  <c r="AA164" i="1"/>
  <c r="Z164" i="1"/>
  <c r="Y164" i="1"/>
  <c r="X164" i="1"/>
  <c r="AB161" i="1"/>
  <c r="AA161" i="1"/>
  <c r="Y161" i="1"/>
  <c r="U161" i="1"/>
  <c r="K161" i="1"/>
  <c r="E161" i="1"/>
  <c r="F135" i="1" s="1"/>
  <c r="AB160" i="1"/>
  <c r="AA160" i="1"/>
  <c r="Z160" i="1"/>
  <c r="X160" i="1"/>
  <c r="Y160" i="1"/>
  <c r="AB159" i="1"/>
  <c r="AA159" i="1"/>
  <c r="Z159" i="1"/>
  <c r="X159" i="1"/>
  <c r="Y159" i="1"/>
  <c r="AB158" i="1"/>
  <c r="AA158" i="1"/>
  <c r="Z158" i="1"/>
  <c r="Y158" i="1"/>
  <c r="AB157" i="1"/>
  <c r="AA157" i="1"/>
  <c r="Z157" i="1"/>
  <c r="Y157" i="1"/>
  <c r="AB156" i="1"/>
  <c r="AA156" i="1"/>
  <c r="Z156" i="1"/>
  <c r="Y156" i="1"/>
  <c r="X156" i="1"/>
  <c r="AB155" i="1"/>
  <c r="AA155" i="1"/>
  <c r="Z155" i="1"/>
  <c r="Y155" i="1"/>
  <c r="X155" i="1"/>
  <c r="AB154" i="1"/>
  <c r="AA154" i="1"/>
  <c r="Z154" i="1"/>
  <c r="Y154" i="1"/>
  <c r="X154" i="1"/>
  <c r="AB153" i="1"/>
  <c r="AA153" i="1"/>
  <c r="Z153" i="1"/>
  <c r="Y153" i="1"/>
  <c r="X153" i="1"/>
  <c r="AB152" i="1"/>
  <c r="AA152" i="1"/>
  <c r="Z152" i="1"/>
  <c r="X152" i="1"/>
  <c r="Y152" i="1"/>
  <c r="AB151" i="1"/>
  <c r="AA151" i="1"/>
  <c r="Z151" i="1"/>
  <c r="Y151" i="1"/>
  <c r="X151" i="1"/>
  <c r="AB150" i="1"/>
  <c r="AA150" i="1"/>
  <c r="Z150" i="1"/>
  <c r="Y150" i="1"/>
  <c r="X150" i="1"/>
  <c r="AB149" i="1"/>
  <c r="AA149" i="1"/>
  <c r="Z149" i="1"/>
  <c r="X149" i="1"/>
  <c r="Y149" i="1"/>
  <c r="AB148" i="1"/>
  <c r="AA148" i="1"/>
  <c r="Z148" i="1"/>
  <c r="Y148" i="1"/>
  <c r="AB147" i="1"/>
  <c r="AA147" i="1"/>
  <c r="Z147" i="1"/>
  <c r="Y147" i="1"/>
  <c r="X147" i="1"/>
  <c r="AB146" i="1"/>
  <c r="AA146" i="1"/>
  <c r="Z146" i="1"/>
  <c r="Y146" i="1"/>
  <c r="X146" i="1"/>
  <c r="AB145" i="1"/>
  <c r="AA145" i="1"/>
  <c r="Z145" i="1"/>
  <c r="Y145" i="1"/>
  <c r="X145" i="1"/>
  <c r="AB144" i="1"/>
  <c r="AA144" i="1"/>
  <c r="Z144" i="1"/>
  <c r="Y144" i="1"/>
  <c r="AB143" i="1"/>
  <c r="AA143" i="1"/>
  <c r="Z143" i="1"/>
  <c r="Y143" i="1"/>
  <c r="X143" i="1"/>
  <c r="AB141" i="1"/>
  <c r="AA141" i="1"/>
  <c r="Z141" i="1"/>
  <c r="Y141" i="1"/>
  <c r="X141" i="1"/>
  <c r="AB138" i="1"/>
  <c r="AA138" i="1"/>
  <c r="Z138" i="1"/>
  <c r="Y138" i="1"/>
  <c r="X138" i="1"/>
  <c r="AB137" i="1"/>
  <c r="AA137" i="1"/>
  <c r="Z137" i="1"/>
  <c r="Y137" i="1"/>
  <c r="X137" i="1"/>
  <c r="AB136" i="1"/>
  <c r="AA136" i="1"/>
  <c r="Z136" i="1"/>
  <c r="X136" i="1"/>
  <c r="AB130" i="1"/>
  <c r="AA130" i="1"/>
  <c r="Z130" i="1"/>
  <c r="Y130" i="1"/>
  <c r="X130" i="1"/>
  <c r="AB134" i="1"/>
  <c r="AA134" i="1"/>
  <c r="Z134" i="1"/>
  <c r="Y134" i="1"/>
  <c r="X134" i="1"/>
  <c r="AB133" i="1"/>
  <c r="AA133" i="1"/>
  <c r="Z133" i="1"/>
  <c r="Y133" i="1"/>
  <c r="AB132" i="1"/>
  <c r="AA132" i="1"/>
  <c r="Z132" i="1"/>
  <c r="AB131" i="1"/>
  <c r="AA131" i="1"/>
  <c r="Z131" i="1"/>
  <c r="AB129" i="1"/>
  <c r="AA129" i="1"/>
  <c r="Z129" i="1"/>
  <c r="Y129" i="1"/>
  <c r="X129" i="1"/>
  <c r="AB128" i="1"/>
  <c r="AA128" i="1"/>
  <c r="Z128" i="1"/>
  <c r="Y128" i="1"/>
  <c r="X128" i="1"/>
  <c r="AB127" i="1"/>
  <c r="AA127" i="1"/>
  <c r="Z127" i="1"/>
  <c r="Y127" i="1"/>
  <c r="X127" i="1"/>
  <c r="AB126" i="1"/>
  <c r="AA126" i="1"/>
  <c r="Z126" i="1"/>
  <c r="Y126" i="1"/>
  <c r="X126" i="1"/>
  <c r="AB125" i="1"/>
  <c r="AA125" i="1"/>
  <c r="Z125" i="1"/>
  <c r="Y125" i="1"/>
  <c r="X125" i="1"/>
  <c r="AB124" i="1"/>
  <c r="AA124" i="1"/>
  <c r="Z124" i="1"/>
  <c r="Y124" i="1"/>
  <c r="X124" i="1"/>
  <c r="AB123" i="1"/>
  <c r="AA123" i="1"/>
  <c r="Z123" i="1"/>
  <c r="Y123" i="1"/>
  <c r="AB122" i="1"/>
  <c r="AA122" i="1"/>
  <c r="Z122" i="1"/>
  <c r="Y122" i="1"/>
  <c r="AB121" i="1"/>
  <c r="AA121" i="1"/>
  <c r="Z121" i="1"/>
  <c r="Y121" i="1"/>
  <c r="AB117" i="1"/>
  <c r="AA117" i="1"/>
  <c r="Y117" i="1"/>
  <c r="U117" i="1"/>
  <c r="O117" i="1"/>
  <c r="P82" i="1" s="1"/>
  <c r="K117" i="1"/>
  <c r="E117" i="1"/>
  <c r="AB116" i="1"/>
  <c r="AA116" i="1"/>
  <c r="Z116" i="1"/>
  <c r="Y116" i="1"/>
  <c r="X116" i="1"/>
  <c r="AB115" i="1"/>
  <c r="AA115" i="1"/>
  <c r="Z115" i="1"/>
  <c r="Y115" i="1"/>
  <c r="X115" i="1"/>
  <c r="AB114" i="1"/>
  <c r="AA114" i="1"/>
  <c r="Z114" i="1"/>
  <c r="Y114" i="1"/>
  <c r="X114" i="1"/>
  <c r="AB113" i="1"/>
  <c r="AA113" i="1"/>
  <c r="Z113" i="1"/>
  <c r="Y113" i="1"/>
  <c r="X113" i="1"/>
  <c r="AB112" i="1"/>
  <c r="AA112" i="1"/>
  <c r="Z112" i="1"/>
  <c r="Y112" i="1"/>
  <c r="X112" i="1"/>
  <c r="AB111" i="1"/>
  <c r="AA111" i="1"/>
  <c r="Z111" i="1"/>
  <c r="Y111" i="1"/>
  <c r="X111" i="1"/>
  <c r="AB110" i="1"/>
  <c r="AA110" i="1"/>
  <c r="Z110" i="1"/>
  <c r="Y110" i="1"/>
  <c r="X110" i="1"/>
  <c r="AB109" i="1"/>
  <c r="AA109" i="1"/>
  <c r="Z109" i="1"/>
  <c r="Y109" i="1"/>
  <c r="X109" i="1"/>
  <c r="AB108" i="1"/>
  <c r="AA108" i="1"/>
  <c r="Z108" i="1"/>
  <c r="Y108" i="1"/>
  <c r="X108" i="1"/>
  <c r="AB107" i="1"/>
  <c r="AA107" i="1"/>
  <c r="Z107" i="1"/>
  <c r="Y107" i="1"/>
  <c r="X107" i="1"/>
  <c r="AB106" i="1"/>
  <c r="AA106" i="1"/>
  <c r="Z106" i="1"/>
  <c r="Y106" i="1"/>
  <c r="X106" i="1"/>
  <c r="AB105" i="1"/>
  <c r="AA105" i="1"/>
  <c r="Z105" i="1"/>
  <c r="Y105" i="1"/>
  <c r="X105" i="1"/>
  <c r="AB104" i="1"/>
  <c r="AA104" i="1"/>
  <c r="Z104" i="1"/>
  <c r="Y104" i="1"/>
  <c r="X104" i="1"/>
  <c r="AB103" i="1"/>
  <c r="AA103" i="1"/>
  <c r="Z103" i="1"/>
  <c r="Y103" i="1"/>
  <c r="X103" i="1"/>
  <c r="AB102" i="1"/>
  <c r="AA102" i="1"/>
  <c r="Z102" i="1"/>
  <c r="Y102" i="1"/>
  <c r="X102" i="1"/>
  <c r="AB101" i="1"/>
  <c r="AA101" i="1"/>
  <c r="Z101" i="1"/>
  <c r="Y101" i="1"/>
  <c r="X101" i="1"/>
  <c r="AB100" i="1"/>
  <c r="AA100" i="1"/>
  <c r="Z100" i="1"/>
  <c r="Y100" i="1"/>
  <c r="X100" i="1"/>
  <c r="AB95" i="1"/>
  <c r="AA95" i="1"/>
  <c r="Z95" i="1"/>
  <c r="Y95" i="1"/>
  <c r="X95" i="1"/>
  <c r="AB99" i="1"/>
  <c r="AA99" i="1"/>
  <c r="Z99" i="1"/>
  <c r="Y99" i="1"/>
  <c r="X99" i="1"/>
  <c r="AB98" i="1"/>
  <c r="AA98" i="1"/>
  <c r="Z98" i="1"/>
  <c r="Y98" i="1"/>
  <c r="X98" i="1"/>
  <c r="AB97" i="1"/>
  <c r="AA97" i="1"/>
  <c r="Z97" i="1"/>
  <c r="Y97" i="1"/>
  <c r="X97" i="1"/>
  <c r="AB96" i="1"/>
  <c r="AA96" i="1"/>
  <c r="Z96" i="1"/>
  <c r="Y96" i="1"/>
  <c r="X96" i="1"/>
  <c r="AB94" i="1"/>
  <c r="AA94" i="1"/>
  <c r="Z94" i="1"/>
  <c r="Y94" i="1"/>
  <c r="X94" i="1"/>
  <c r="AB93" i="1"/>
  <c r="AA93" i="1"/>
  <c r="Z93" i="1"/>
  <c r="Y93" i="1"/>
  <c r="X93" i="1"/>
  <c r="AB92" i="1"/>
  <c r="AA92" i="1"/>
  <c r="Z92" i="1"/>
  <c r="Y92" i="1"/>
  <c r="X92" i="1"/>
  <c r="AB91" i="1"/>
  <c r="AA91" i="1"/>
  <c r="Z91" i="1"/>
  <c r="Y91" i="1"/>
  <c r="X91" i="1"/>
  <c r="AB90" i="1"/>
  <c r="AA90" i="1"/>
  <c r="Z90" i="1"/>
  <c r="Y90" i="1"/>
  <c r="X90" i="1"/>
  <c r="AB89" i="1"/>
  <c r="AA89" i="1"/>
  <c r="Z89" i="1"/>
  <c r="Y89" i="1"/>
  <c r="X89" i="1"/>
  <c r="AB88" i="1"/>
  <c r="AA88" i="1"/>
  <c r="Z88" i="1"/>
  <c r="Y88" i="1"/>
  <c r="AB87" i="1"/>
  <c r="AA87" i="1"/>
  <c r="Z87" i="1"/>
  <c r="Y87" i="1"/>
  <c r="X87" i="1"/>
  <c r="AB86" i="1"/>
  <c r="AA86" i="1"/>
  <c r="Z86" i="1"/>
  <c r="Y86" i="1"/>
  <c r="X86" i="1"/>
  <c r="AB85" i="1"/>
  <c r="AA85" i="1"/>
  <c r="Z85" i="1"/>
  <c r="X85" i="1"/>
  <c r="AB84" i="1"/>
  <c r="AA84" i="1"/>
  <c r="Z84" i="1"/>
  <c r="Y84" i="1"/>
  <c r="X84" i="1"/>
  <c r="AB83" i="1"/>
  <c r="AA83" i="1"/>
  <c r="Z83" i="1"/>
  <c r="Y83" i="1"/>
  <c r="X83" i="1"/>
  <c r="AB82" i="1"/>
  <c r="AA82" i="1"/>
  <c r="Z82" i="1"/>
  <c r="Y82" i="1"/>
  <c r="X82" i="1"/>
  <c r="AB81" i="1"/>
  <c r="AA81" i="1"/>
  <c r="Z81" i="1"/>
  <c r="Y81" i="1"/>
  <c r="X81" i="1"/>
  <c r="AB80" i="1"/>
  <c r="AA80" i="1"/>
  <c r="Z80" i="1"/>
  <c r="Y80" i="1"/>
  <c r="X80" i="1"/>
  <c r="AB79" i="1"/>
  <c r="AA79" i="1"/>
  <c r="Z79" i="1"/>
  <c r="Y79" i="1"/>
  <c r="X79" i="1"/>
  <c r="AB76" i="1"/>
  <c r="AA76" i="1"/>
  <c r="Y76" i="1"/>
  <c r="U76" i="1"/>
  <c r="O76" i="1"/>
  <c r="P60" i="1" s="1"/>
  <c r="K76" i="1"/>
  <c r="E76" i="1"/>
  <c r="B14" i="2" s="1"/>
  <c r="B4" i="2" s="1"/>
  <c r="AB75" i="1"/>
  <c r="AA75" i="1"/>
  <c r="Z75" i="1"/>
  <c r="Y75" i="1"/>
  <c r="X75" i="1"/>
  <c r="AB74" i="1"/>
  <c r="AA74" i="1"/>
  <c r="Z74" i="1"/>
  <c r="Y74" i="1"/>
  <c r="X74" i="1"/>
  <c r="AB73" i="1"/>
  <c r="AA73" i="1"/>
  <c r="Z73" i="1"/>
  <c r="Y73" i="1"/>
  <c r="X73" i="1"/>
  <c r="AB72" i="1"/>
  <c r="AA72" i="1"/>
  <c r="Z72" i="1"/>
  <c r="Y72" i="1"/>
  <c r="X72" i="1"/>
  <c r="AB71" i="1"/>
  <c r="AA71" i="1"/>
  <c r="Z71" i="1"/>
  <c r="Y71" i="1"/>
  <c r="X71" i="1"/>
  <c r="AB70" i="1"/>
  <c r="AA70" i="1"/>
  <c r="Z70" i="1"/>
  <c r="Y70" i="1"/>
  <c r="X70" i="1"/>
  <c r="AB69" i="1"/>
  <c r="AA69" i="1"/>
  <c r="Z69" i="1"/>
  <c r="Y69" i="1"/>
  <c r="X69" i="1"/>
  <c r="AB68" i="1"/>
  <c r="AA68" i="1"/>
  <c r="Z68" i="1"/>
  <c r="Y68" i="1"/>
  <c r="X68" i="1"/>
  <c r="AB66" i="1"/>
  <c r="AA66" i="1"/>
  <c r="Z66" i="1"/>
  <c r="Y66" i="1"/>
  <c r="X66" i="1"/>
  <c r="AB65" i="1"/>
  <c r="AA65" i="1"/>
  <c r="Z65" i="1"/>
  <c r="Y65" i="1"/>
  <c r="X65" i="1"/>
  <c r="AB64" i="1"/>
  <c r="AA64" i="1"/>
  <c r="Z64" i="1"/>
  <c r="Y64" i="1"/>
  <c r="X64" i="1"/>
  <c r="AB63" i="1"/>
  <c r="AA63" i="1"/>
  <c r="Z63" i="1"/>
  <c r="Y63" i="1"/>
  <c r="X63" i="1"/>
  <c r="AB62" i="1"/>
  <c r="AA62" i="1"/>
  <c r="Z62" i="1"/>
  <c r="Y62" i="1"/>
  <c r="X62" i="1"/>
  <c r="AB61" i="1"/>
  <c r="AA61" i="1"/>
  <c r="Z61" i="1"/>
  <c r="Y61" i="1"/>
  <c r="X61" i="1"/>
  <c r="AB60" i="1"/>
  <c r="AA60" i="1"/>
  <c r="Z60" i="1"/>
  <c r="Y60" i="1"/>
  <c r="X60" i="1"/>
  <c r="AB58" i="1"/>
  <c r="AA58" i="1"/>
  <c r="Z58" i="1"/>
  <c r="Y58" i="1"/>
  <c r="X58" i="1"/>
  <c r="AB57" i="1"/>
  <c r="AA57" i="1"/>
  <c r="Z57" i="1"/>
  <c r="Y57" i="1"/>
  <c r="X57" i="1"/>
  <c r="AB47" i="1"/>
  <c r="AA47" i="1"/>
  <c r="Z47" i="1"/>
  <c r="Y47" i="1"/>
  <c r="X47" i="1"/>
  <c r="AB56" i="1"/>
  <c r="AA56" i="1"/>
  <c r="Z56" i="1"/>
  <c r="Y56" i="1"/>
  <c r="X56" i="1"/>
  <c r="AB55" i="1"/>
  <c r="AA55" i="1"/>
  <c r="Z55" i="1"/>
  <c r="Y55" i="1"/>
  <c r="X55" i="1"/>
  <c r="AB54" i="1"/>
  <c r="AA54" i="1"/>
  <c r="Z54" i="1"/>
  <c r="Y54" i="1"/>
  <c r="X54" i="1"/>
  <c r="AB53" i="1"/>
  <c r="AA53" i="1"/>
  <c r="Z53" i="1"/>
  <c r="Y53" i="1"/>
  <c r="X53" i="1"/>
  <c r="AB52" i="1"/>
  <c r="AA52" i="1"/>
  <c r="Z52" i="1"/>
  <c r="Y52" i="1"/>
  <c r="X52" i="1"/>
  <c r="AB51" i="1"/>
  <c r="AA51" i="1"/>
  <c r="Z51" i="1"/>
  <c r="Y51" i="1"/>
  <c r="X51" i="1"/>
  <c r="AB50" i="1"/>
  <c r="AA50" i="1"/>
  <c r="Z50" i="1"/>
  <c r="Y50" i="1"/>
  <c r="X50" i="1"/>
  <c r="AB49" i="1"/>
  <c r="AA49" i="1"/>
  <c r="Z49" i="1"/>
  <c r="Y49" i="1"/>
  <c r="X49" i="1"/>
  <c r="AB48" i="1"/>
  <c r="AA48" i="1"/>
  <c r="Z48" i="1"/>
  <c r="Y48" i="1"/>
  <c r="X48" i="1"/>
  <c r="AB46" i="1"/>
  <c r="AA46" i="1"/>
  <c r="Z46" i="1"/>
  <c r="Y46" i="1"/>
  <c r="X46" i="1"/>
  <c r="AB45" i="1"/>
  <c r="AA45" i="1"/>
  <c r="Z45" i="1"/>
  <c r="Y45" i="1"/>
  <c r="X45" i="1"/>
  <c r="AB44" i="1"/>
  <c r="AA44" i="1"/>
  <c r="Z44" i="1"/>
  <c r="Y44" i="1"/>
  <c r="X44" i="1"/>
  <c r="AB43" i="1"/>
  <c r="AA43" i="1"/>
  <c r="Z43" i="1"/>
  <c r="Y43" i="1"/>
  <c r="X43" i="1"/>
  <c r="AB42" i="1"/>
  <c r="AA42" i="1"/>
  <c r="Z42" i="1"/>
  <c r="Y42" i="1"/>
  <c r="X42" i="1"/>
  <c r="AB41" i="1"/>
  <c r="AA41" i="1"/>
  <c r="Z41" i="1"/>
  <c r="Y41" i="1"/>
  <c r="X41" i="1"/>
  <c r="AB40" i="1"/>
  <c r="AA40" i="1"/>
  <c r="Z40" i="1"/>
  <c r="Y40" i="1"/>
  <c r="X40" i="1"/>
  <c r="AB39" i="1"/>
  <c r="AA39" i="1"/>
  <c r="Z39" i="1"/>
  <c r="Y39" i="1"/>
  <c r="X39" i="1"/>
  <c r="AB38" i="1"/>
  <c r="AA38" i="1"/>
  <c r="Z38" i="1"/>
  <c r="Y38" i="1"/>
  <c r="X38" i="1"/>
  <c r="AB37" i="1"/>
  <c r="AA37" i="1"/>
  <c r="Z37" i="1"/>
  <c r="Y37" i="1"/>
  <c r="AB36" i="1"/>
  <c r="AA36" i="1"/>
  <c r="Z36" i="1"/>
  <c r="Y36" i="1"/>
  <c r="X36" i="1"/>
  <c r="AB35" i="1"/>
  <c r="AA35" i="1"/>
  <c r="Z35" i="1"/>
  <c r="Y35" i="1"/>
  <c r="X35" i="1"/>
  <c r="AB34" i="1"/>
  <c r="AA34" i="1"/>
  <c r="Z34" i="1"/>
  <c r="Y34" i="1"/>
  <c r="X34" i="1"/>
  <c r="AB32" i="1"/>
  <c r="AA32" i="1"/>
  <c r="Z32" i="1"/>
  <c r="Y32" i="1"/>
  <c r="X32" i="1"/>
  <c r="AB30" i="1"/>
  <c r="AA30" i="1"/>
  <c r="Z30" i="1"/>
  <c r="Y30" i="1"/>
  <c r="X30" i="1"/>
  <c r="AB29" i="1"/>
  <c r="AA29" i="1"/>
  <c r="Z29" i="1"/>
  <c r="Y29" i="1"/>
  <c r="X29" i="1"/>
  <c r="AB26" i="1"/>
  <c r="AA26" i="1"/>
  <c r="Y26" i="1"/>
  <c r="U26" i="1"/>
  <c r="P18" i="1"/>
  <c r="K26" i="1"/>
  <c r="E26" i="1"/>
  <c r="F14" i="1" s="1"/>
  <c r="AB25" i="1"/>
  <c r="AA25" i="1"/>
  <c r="Z25" i="1"/>
  <c r="Y25" i="1"/>
  <c r="X25" i="1"/>
  <c r="AB23" i="1"/>
  <c r="AA23" i="1"/>
  <c r="Z23" i="1"/>
  <c r="Y23" i="1"/>
  <c r="X23" i="1"/>
  <c r="AB22" i="1"/>
  <c r="AA22" i="1"/>
  <c r="Z22" i="1"/>
  <c r="Y22" i="1"/>
  <c r="X22" i="1"/>
  <c r="AB21" i="1"/>
  <c r="AA21" i="1"/>
  <c r="Z21" i="1"/>
  <c r="Y21" i="1"/>
  <c r="X21" i="1"/>
  <c r="AB20" i="1"/>
  <c r="AA20" i="1"/>
  <c r="Z20" i="1"/>
  <c r="Y20" i="1"/>
  <c r="X20" i="1"/>
  <c r="AB19" i="1"/>
  <c r="AA19" i="1"/>
  <c r="Z19" i="1"/>
  <c r="Y19" i="1"/>
  <c r="X19" i="1"/>
  <c r="AB18" i="1"/>
  <c r="AA18" i="1"/>
  <c r="Z18" i="1"/>
  <c r="Y18" i="1"/>
  <c r="X18" i="1"/>
  <c r="AB12" i="1"/>
  <c r="AA12" i="1"/>
  <c r="Z12" i="1"/>
  <c r="Y12" i="1"/>
  <c r="X12" i="1"/>
  <c r="AB17" i="1"/>
  <c r="AA17" i="1"/>
  <c r="Z17" i="1"/>
  <c r="Y17" i="1"/>
  <c r="X17" i="1"/>
  <c r="AB16" i="1"/>
  <c r="AA16" i="1"/>
  <c r="Z16" i="1"/>
  <c r="Y16" i="1"/>
  <c r="X16" i="1"/>
  <c r="AB15" i="1"/>
  <c r="AA15" i="1"/>
  <c r="Z15" i="1"/>
  <c r="Y15" i="1"/>
  <c r="X15" i="1"/>
  <c r="AB14" i="1"/>
  <c r="AA14" i="1"/>
  <c r="Z14" i="1"/>
  <c r="Y14" i="1"/>
  <c r="X14" i="1"/>
  <c r="AB13" i="1"/>
  <c r="AA13" i="1"/>
  <c r="Z13" i="1"/>
  <c r="Y13" i="1"/>
  <c r="X13" i="1"/>
  <c r="AB11" i="1"/>
  <c r="AA11" i="1"/>
  <c r="Z11" i="1"/>
  <c r="Y11" i="1"/>
  <c r="X11" i="1"/>
  <c r="AB10" i="1"/>
  <c r="AA10" i="1"/>
  <c r="Z10" i="1"/>
  <c r="Y10" i="1"/>
  <c r="X10" i="1"/>
  <c r="AB9" i="1"/>
  <c r="AA9" i="1"/>
  <c r="Z9" i="1"/>
  <c r="Y9" i="1"/>
  <c r="X9" i="1"/>
  <c r="AB8" i="1"/>
  <c r="AA8" i="1"/>
  <c r="Z8" i="1"/>
  <c r="Y8" i="1"/>
  <c r="X8" i="1"/>
  <c r="AB7" i="1"/>
  <c r="AA7" i="1"/>
  <c r="Z7" i="1"/>
  <c r="Y7" i="1"/>
  <c r="X7" i="1"/>
  <c r="AB6" i="1"/>
  <c r="AA6" i="1"/>
  <c r="Z6" i="1"/>
  <c r="Y6" i="1"/>
  <c r="X6" i="1"/>
  <c r="P39" i="1" l="1"/>
  <c r="P68" i="1"/>
  <c r="B15" i="2"/>
  <c r="B5" i="2" s="1"/>
  <c r="F173" i="1"/>
  <c r="F191" i="1"/>
  <c r="P103" i="1"/>
  <c r="P115" i="1"/>
  <c r="B4" i="3"/>
  <c r="P228" i="1"/>
  <c r="P266" i="1"/>
  <c r="P261" i="1"/>
  <c r="P166" i="1"/>
  <c r="B8" i="3"/>
  <c r="P86" i="1"/>
  <c r="B7" i="3"/>
  <c r="F59" i="1"/>
  <c r="P59" i="1"/>
  <c r="P49" i="1"/>
  <c r="P74" i="1"/>
  <c r="P88" i="1"/>
  <c r="P95" i="1"/>
  <c r="P72" i="1"/>
  <c r="P223" i="1"/>
  <c r="P41" i="1"/>
  <c r="P73" i="1"/>
  <c r="P50" i="1"/>
  <c r="F31" i="1"/>
  <c r="P31" i="1"/>
  <c r="B16" i="2"/>
  <c r="B6" i="2" s="1"/>
  <c r="F142" i="1"/>
  <c r="P33" i="1"/>
  <c r="P99" i="1"/>
  <c r="P66" i="1"/>
  <c r="P67" i="1"/>
  <c r="P22" i="1"/>
  <c r="P35" i="1"/>
  <c r="F67" i="1"/>
  <c r="P75" i="1"/>
  <c r="P116" i="1"/>
  <c r="P235" i="1"/>
  <c r="B3" i="3"/>
  <c r="C21" i="2"/>
  <c r="C11" i="2" s="1"/>
  <c r="F13" i="4"/>
  <c r="F37" i="1"/>
  <c r="F24" i="1"/>
  <c r="F9" i="1"/>
  <c r="P13" i="1"/>
  <c r="P24" i="1"/>
  <c r="F7" i="1"/>
  <c r="F11" i="1"/>
  <c r="F16" i="1"/>
  <c r="P30" i="1"/>
  <c r="F103" i="1"/>
  <c r="P220" i="1"/>
  <c r="F115" i="1"/>
  <c r="F21" i="1"/>
  <c r="F19" i="1"/>
  <c r="Z203" i="1"/>
  <c r="F12" i="1"/>
  <c r="F102" i="1"/>
  <c r="F180" i="1"/>
  <c r="F178" i="1"/>
  <c r="F176" i="1"/>
  <c r="F175" i="1"/>
  <c r="P168" i="1"/>
  <c r="P195" i="1"/>
  <c r="P184" i="1"/>
  <c r="P48" i="1"/>
  <c r="F250" i="1"/>
  <c r="F99" i="1"/>
  <c r="F100" i="1"/>
  <c r="F97" i="1"/>
  <c r="F80" i="1"/>
  <c r="F94" i="1"/>
  <c r="F92" i="1"/>
  <c r="F104" i="1"/>
  <c r="B18" i="2"/>
  <c r="B8" i="2" s="1"/>
  <c r="F195" i="1"/>
  <c r="F166" i="1"/>
  <c r="F164" i="1"/>
  <c r="F61" i="1"/>
  <c r="F63" i="1"/>
  <c r="F70" i="1"/>
  <c r="F167" i="1"/>
  <c r="F169" i="1"/>
  <c r="F90" i="1"/>
  <c r="F113" i="1"/>
  <c r="F88" i="1"/>
  <c r="F111" i="1"/>
  <c r="F68" i="1"/>
  <c r="F86" i="1"/>
  <c r="F109" i="1"/>
  <c r="P62" i="1"/>
  <c r="P64" i="1"/>
  <c r="P69" i="1"/>
  <c r="P71" i="1"/>
  <c r="F84" i="1"/>
  <c r="F107" i="1"/>
  <c r="F65" i="1"/>
  <c r="F82" i="1"/>
  <c r="F106" i="1"/>
  <c r="F72" i="1"/>
  <c r="F74" i="1"/>
  <c r="P81" i="1"/>
  <c r="P34" i="1"/>
  <c r="B20" i="2"/>
  <c r="B10" i="2" s="1"/>
  <c r="F244" i="1"/>
  <c r="Z209" i="1"/>
  <c r="F233" i="1"/>
  <c r="F208" i="1"/>
  <c r="F182" i="1"/>
  <c r="F168" i="1"/>
  <c r="F23" i="1"/>
  <c r="D13" i="4"/>
  <c r="Z237" i="1"/>
  <c r="P89" i="1"/>
  <c r="F55" i="1"/>
  <c r="P56" i="1"/>
  <c r="F47" i="1"/>
  <c r="P57" i="1"/>
  <c r="F58" i="1"/>
  <c r="P37" i="1"/>
  <c r="F159" i="1"/>
  <c r="P128" i="1"/>
  <c r="Z267" i="1"/>
  <c r="X267" i="1"/>
  <c r="F256" i="1"/>
  <c r="F258" i="1"/>
  <c r="F260" i="1"/>
  <c r="F262" i="1"/>
  <c r="F266" i="1"/>
  <c r="F264" i="1"/>
  <c r="F255" i="1"/>
  <c r="F257" i="1"/>
  <c r="F259" i="1"/>
  <c r="F261" i="1"/>
  <c r="F263" i="1"/>
  <c r="X252" i="1"/>
  <c r="F219" i="1"/>
  <c r="F217" i="1"/>
  <c r="F213" i="1"/>
  <c r="F235" i="1"/>
  <c r="F229" i="1"/>
  <c r="F227" i="1"/>
  <c r="F225" i="1"/>
  <c r="F223" i="1"/>
  <c r="F207" i="1"/>
  <c r="F200" i="1"/>
  <c r="F198" i="1"/>
  <c r="F196" i="1"/>
  <c r="F193" i="1"/>
  <c r="F190" i="1"/>
  <c r="F174" i="1"/>
  <c r="F202" i="1"/>
  <c r="F188" i="1"/>
  <c r="F186" i="1"/>
  <c r="F184" i="1"/>
  <c r="Z170" i="1"/>
  <c r="Z161" i="1"/>
  <c r="F134" i="1"/>
  <c r="F150" i="1"/>
  <c r="F152" i="1"/>
  <c r="F121" i="1"/>
  <c r="F123" i="1"/>
  <c r="F132" i="1"/>
  <c r="F129" i="1"/>
  <c r="F138" i="1"/>
  <c r="F156" i="1"/>
  <c r="F125" i="1"/>
  <c r="F143" i="1"/>
  <c r="F145" i="1"/>
  <c r="F147" i="1"/>
  <c r="F158" i="1"/>
  <c r="F149" i="1"/>
  <c r="F133" i="1"/>
  <c r="F151" i="1"/>
  <c r="F160" i="1"/>
  <c r="F122" i="1"/>
  <c r="F130" i="1"/>
  <c r="F153" i="1"/>
  <c r="F124" i="1"/>
  <c r="F128" i="1"/>
  <c r="F131" i="1"/>
  <c r="F137" i="1"/>
  <c r="F155" i="1"/>
  <c r="F157" i="1"/>
  <c r="F136" i="1"/>
  <c r="F154" i="1"/>
  <c r="F126" i="1"/>
  <c r="F141" i="1"/>
  <c r="F144" i="1"/>
  <c r="F148" i="1"/>
  <c r="K238" i="1"/>
  <c r="K268" i="1" s="1"/>
  <c r="Z117" i="1"/>
  <c r="X117" i="1"/>
  <c r="F85" i="1"/>
  <c r="F87" i="1"/>
  <c r="F89" i="1"/>
  <c r="F105" i="1"/>
  <c r="F108" i="1"/>
  <c r="F110" i="1"/>
  <c r="F112" i="1"/>
  <c r="F114" i="1"/>
  <c r="F116" i="1"/>
  <c r="F79" i="1"/>
  <c r="F81" i="1"/>
  <c r="F91" i="1"/>
  <c r="F93" i="1"/>
  <c r="F96" i="1"/>
  <c r="F98" i="1"/>
  <c r="F95" i="1"/>
  <c r="F101" i="1"/>
  <c r="Z76" i="1"/>
  <c r="F6" i="1"/>
  <c r="F8" i="1"/>
  <c r="F10" i="1"/>
  <c r="F13" i="1"/>
  <c r="F15" i="1"/>
  <c r="F17" i="1"/>
  <c r="F18" i="1"/>
  <c r="F22" i="1"/>
  <c r="F25" i="1"/>
  <c r="F20" i="1"/>
  <c r="J13" i="4"/>
  <c r="D4" i="5"/>
  <c r="D3" i="5" s="1"/>
  <c r="H13" i="4"/>
  <c r="P213" i="1"/>
  <c r="P214" i="1"/>
  <c r="P219" i="1"/>
  <c r="P222" i="1"/>
  <c r="P225" i="1"/>
  <c r="P226" i="1"/>
  <c r="P229" i="1"/>
  <c r="P230" i="1"/>
  <c r="P236" i="1"/>
  <c r="P98" i="1"/>
  <c r="P108" i="1"/>
  <c r="P79" i="1"/>
  <c r="P85" i="1"/>
  <c r="P93" i="1"/>
  <c r="P101" i="1"/>
  <c r="P105" i="1"/>
  <c r="P112" i="1"/>
  <c r="P83" i="1"/>
  <c r="P87" i="1"/>
  <c r="P91" i="1"/>
  <c r="P96" i="1"/>
  <c r="P110" i="1"/>
  <c r="P114" i="1"/>
  <c r="P178" i="1"/>
  <c r="P179" i="1"/>
  <c r="P183" i="1"/>
  <c r="P186" i="1"/>
  <c r="P187" i="1"/>
  <c r="P192" i="1"/>
  <c r="P196" i="1"/>
  <c r="P197" i="1"/>
  <c r="P200" i="1"/>
  <c r="P174" i="1"/>
  <c r="P258" i="1"/>
  <c r="P262" i="1"/>
  <c r="P256" i="1"/>
  <c r="P260" i="1"/>
  <c r="P264" i="1"/>
  <c r="P255" i="1"/>
  <c r="P257" i="1"/>
  <c r="P259" i="1"/>
  <c r="P263" i="1"/>
  <c r="P265" i="1"/>
  <c r="P54" i="1"/>
  <c r="P175" i="1"/>
  <c r="P176" i="1"/>
  <c r="P177" i="1"/>
  <c r="P180" i="1"/>
  <c r="P181" i="1"/>
  <c r="P185" i="1"/>
  <c r="P188" i="1"/>
  <c r="P193" i="1"/>
  <c r="P194" i="1"/>
  <c r="P198" i="1"/>
  <c r="P199" i="1"/>
  <c r="F29" i="1"/>
  <c r="F32" i="1"/>
  <c r="F35" i="1"/>
  <c r="P36" i="1"/>
  <c r="P6" i="1"/>
  <c r="P15" i="1"/>
  <c r="P8" i="1"/>
  <c r="P17" i="1"/>
  <c r="P7" i="1"/>
  <c r="P9" i="1"/>
  <c r="P11" i="1"/>
  <c r="P14" i="1"/>
  <c r="P16" i="1"/>
  <c r="P19" i="1"/>
  <c r="P12" i="1"/>
  <c r="P21" i="1"/>
  <c r="P80" i="1"/>
  <c r="F83" i="1"/>
  <c r="P84" i="1"/>
  <c r="P90" i="1"/>
  <c r="P92" i="1"/>
  <c r="P94" i="1"/>
  <c r="P97" i="1"/>
  <c r="P100" i="1"/>
  <c r="P102" i="1"/>
  <c r="P104" i="1"/>
  <c r="P106" i="1"/>
  <c r="P107" i="1"/>
  <c r="P109" i="1"/>
  <c r="P111" i="1"/>
  <c r="P113" i="1"/>
  <c r="P38" i="1"/>
  <c r="F39" i="1"/>
  <c r="P40" i="1"/>
  <c r="F41" i="1"/>
  <c r="P42" i="1"/>
  <c r="P43" i="1"/>
  <c r="F44" i="1"/>
  <c r="P45" i="1"/>
  <c r="F46" i="1"/>
  <c r="F49" i="1"/>
  <c r="F51" i="1"/>
  <c r="P52" i="1"/>
  <c r="F53" i="1"/>
  <c r="U238" i="1"/>
  <c r="U268" i="1" s="1"/>
  <c r="P217" i="1"/>
  <c r="P218" i="1"/>
  <c r="P224" i="1"/>
  <c r="P227" i="1"/>
  <c r="P20" i="1"/>
  <c r="P29" i="1"/>
  <c r="F30" i="1"/>
  <c r="P32" i="1"/>
  <c r="F34" i="1"/>
  <c r="F36" i="1"/>
  <c r="F38" i="1"/>
  <c r="F40" i="1"/>
  <c r="F42" i="1"/>
  <c r="P44" i="1"/>
  <c r="F45" i="1"/>
  <c r="P46" i="1"/>
  <c r="F48" i="1"/>
  <c r="F50" i="1"/>
  <c r="P51" i="1"/>
  <c r="F52" i="1"/>
  <c r="P53" i="1"/>
  <c r="P55" i="1"/>
  <c r="F56" i="1"/>
  <c r="P47" i="1"/>
  <c r="F57" i="1"/>
  <c r="P58" i="1"/>
  <c r="F60" i="1"/>
  <c r="P61" i="1"/>
  <c r="F62" i="1"/>
  <c r="P63" i="1"/>
  <c r="F64" i="1"/>
  <c r="P65" i="1"/>
  <c r="F66" i="1"/>
  <c r="F69" i="1"/>
  <c r="P70" i="1"/>
  <c r="F71" i="1"/>
  <c r="F73" i="1"/>
  <c r="F75" i="1"/>
  <c r="C13" i="2"/>
  <c r="C3" i="2" s="1"/>
  <c r="X76" i="1"/>
  <c r="X121" i="1"/>
  <c r="X123" i="1"/>
  <c r="X131" i="1"/>
  <c r="X132" i="1"/>
  <c r="X133" i="1"/>
  <c r="C17" i="2"/>
  <c r="C7" i="2" s="1"/>
  <c r="X170" i="1"/>
  <c r="P169" i="1"/>
  <c r="P167" i="1"/>
  <c r="P165" i="1"/>
  <c r="P164" i="1"/>
  <c r="P243" i="1"/>
  <c r="P241" i="1"/>
  <c r="X247" i="1"/>
  <c r="P245" i="1"/>
  <c r="P242" i="1"/>
  <c r="P25" i="1"/>
  <c r="B13" i="2"/>
  <c r="B3" i="2" s="1"/>
  <c r="E238" i="1"/>
  <c r="F237" i="1" s="1"/>
  <c r="X26" i="1"/>
  <c r="Z26" i="1"/>
  <c r="B10" i="3"/>
  <c r="C14" i="2"/>
  <c r="C4" i="2" s="1"/>
  <c r="C15" i="2"/>
  <c r="C5" i="2" s="1"/>
  <c r="P145" i="1"/>
  <c r="F146" i="1"/>
  <c r="P146" i="1"/>
  <c r="F177" i="1"/>
  <c r="F179" i="1"/>
  <c r="F181" i="1"/>
  <c r="F183" i="1"/>
  <c r="F185" i="1"/>
  <c r="F187" i="1"/>
  <c r="F189" i="1"/>
  <c r="F192" i="1"/>
  <c r="F194" i="1"/>
  <c r="F197" i="1"/>
  <c r="F199" i="1"/>
  <c r="P208" i="1"/>
  <c r="X209" i="1"/>
  <c r="F214" i="1"/>
  <c r="F218" i="1"/>
  <c r="F221" i="1"/>
  <c r="F224" i="1"/>
  <c r="F226" i="1"/>
  <c r="F228" i="1"/>
  <c r="F230" i="1"/>
  <c r="F234" i="1"/>
  <c r="F236" i="1"/>
  <c r="X241" i="1"/>
  <c r="P244" i="1"/>
  <c r="F243" i="1"/>
  <c r="P250" i="1"/>
  <c r="C18" i="2"/>
  <c r="C8" i="2" s="1"/>
  <c r="C19" i="2"/>
  <c r="C9" i="2" s="1"/>
  <c r="C20" i="2"/>
  <c r="C10" i="2" s="1"/>
  <c r="C13" i="4"/>
  <c r="E13" i="4"/>
  <c r="G13" i="4"/>
  <c r="I13" i="4"/>
  <c r="X203" i="1"/>
  <c r="X237" i="1"/>
  <c r="F241" i="1"/>
  <c r="F242" i="1"/>
  <c r="F245" i="1"/>
  <c r="B9" i="3" l="1"/>
  <c r="P160" i="1"/>
  <c r="P148" i="1"/>
  <c r="P130" i="1"/>
  <c r="P123" i="1"/>
  <c r="P150" i="1"/>
  <c r="P125" i="1"/>
  <c r="P141" i="1"/>
  <c r="P157" i="1"/>
  <c r="P154" i="1"/>
  <c r="O238" i="1"/>
  <c r="P161" i="1" s="1"/>
  <c r="P122" i="1"/>
  <c r="P152" i="1"/>
  <c r="P129" i="1"/>
  <c r="P137" i="1"/>
  <c r="P144" i="1"/>
  <c r="P155" i="1"/>
  <c r="C16" i="2"/>
  <c r="C6" i="2" s="1"/>
  <c r="P159" i="1"/>
  <c r="P121" i="1"/>
  <c r="P153" i="1"/>
  <c r="P127" i="1"/>
  <c r="P158" i="1"/>
  <c r="P131" i="1"/>
  <c r="P147" i="1"/>
  <c r="P124" i="1"/>
  <c r="P126" i="1"/>
  <c r="P134" i="1"/>
  <c r="P136" i="1"/>
  <c r="P138" i="1"/>
  <c r="P143" i="1"/>
  <c r="P149" i="1"/>
  <c r="P151" i="1"/>
  <c r="P156" i="1"/>
  <c r="X161" i="1"/>
  <c r="F203" i="1"/>
  <c r="F117" i="1"/>
  <c r="E268" i="1"/>
  <c r="F209" i="1"/>
  <c r="F161" i="1"/>
  <c r="F170" i="1"/>
  <c r="F26" i="1"/>
  <c r="F76" i="1"/>
  <c r="P209" i="1" l="1"/>
  <c r="X238" i="1"/>
  <c r="P76" i="1"/>
  <c r="P237" i="1"/>
  <c r="P170" i="1"/>
  <c r="P203" i="1"/>
  <c r="O268" i="1"/>
  <c r="P117" i="1"/>
  <c r="P26" i="1"/>
</calcChain>
</file>

<file path=xl/sharedStrings.xml><?xml version="1.0" encoding="utf-8"?>
<sst xmlns="http://schemas.openxmlformats.org/spreadsheetml/2006/main" count="1665" uniqueCount="347">
  <si>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</si>
  <si>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</si>
  <si>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</si>
  <si>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</si>
  <si>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</si>
  <si>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</si>
  <si>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</si>
  <si>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</si>
  <si>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</si>
  <si>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</si>
  <si>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</si>
  <si>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</si>
  <si>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</si>
  <si>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</si>
  <si>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</si>
  <si>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</si>
  <si>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</si>
  <si>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</si>
  <si>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</si>
  <si>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</si>
  <si>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</si>
  <si>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</si>
  <si>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</si>
  <si>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</si>
  <si>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</si>
  <si>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</si>
  <si>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</si>
  <si>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</si>
  <si>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</si>
  <si>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</si>
  <si>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</si>
  <si>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</si>
  <si>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</si>
  <si>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</si>
  <si>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</si>
  <si>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</si>
  <si>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</si>
  <si>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</si>
  <si>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</si>
  <si>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</si>
  <si>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</si>
  <si>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</si>
  <si>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</si>
  <si>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</si>
  <si>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</si>
  <si>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</si>
  <si>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</si>
  <si>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</si>
  <si>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</si>
  <si>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</si>
  <si>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</si>
  <si>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</si>
  <si>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</si>
  <si>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</si>
  <si>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</si>
  <si>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</si>
  <si>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</si>
  <si>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</si>
  <si>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</si>
  <si>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</si>
  <si>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</si>
  <si>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</si>
  <si>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</si>
  <si>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</si>
  <si>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</si>
  <si>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</si>
  <si>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</si>
  <si>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</si>
  <si>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</si>
  <si>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</si>
  <si>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</si>
  <si>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</si>
  <si>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</si>
  <si>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</si>
  <si>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</si>
  <si>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</si>
  <si>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</si>
  <si>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</si>
  <si>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</si>
  <si>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</si>
  <si>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</si>
  <si>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</si>
  <si>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</si>
  <si>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</si>
  <si>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</si>
  <si>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</si>
  <si>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</si>
  <si>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</si>
  <si>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</si>
  <si>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</si>
  <si>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</si>
  <si>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</si>
  <si>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</si>
  <si>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</si>
  <si>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</si>
  <si>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</si>
  <si>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</si>
  <si>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</si>
  <si>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</si>
  <si>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</si>
  <si>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</si>
  <si>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</si>
  <si>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</si>
  <si>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</si>
  <si>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</si>
  <si>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</si>
  <si>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</si>
  <si>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</si>
  <si>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</si>
  <si>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</si>
  <si>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</si>
  <si>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</si>
  <si>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</si>
  <si>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</si>
  <si>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</si>
  <si>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</si>
  <si>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</si>
  <si>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</si>
  <si>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</si>
  <si>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</si>
  <si>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</si>
  <si>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</si>
  <si>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</si>
  <si>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</si>
  <si>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</si>
  <si>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</si>
  <si>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</si>
  <si>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</si>
  <si>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</si>
  <si>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</si>
  <si>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</si>
  <si>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</si>
  <si>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</si>
  <si>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</si>
  <si>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</si>
  <si>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</si>
  <si>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</si>
  <si>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</si>
  <si>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</si>
  <si>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</si>
  <si>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GDL Income Fund</t>
  </si>
  <si>
    <t>Guaranty Trust Fixed Income Fund</t>
  </si>
  <si>
    <t>Lead Fixed Income Fund</t>
  </si>
  <si>
    <t>Lead Asset Management Limited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</si>
  <si>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</si>
  <si>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</si>
  <si>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</si>
  <si>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</si>
  <si>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</si>
  <si>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</si>
  <si>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</si>
  <si>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</si>
  <si>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</si>
  <si>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</si>
  <si>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</si>
  <si>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</si>
  <si>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</si>
  <si>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</si>
  <si>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</si>
  <si>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</si>
  <si>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</si>
  <si>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</si>
  <si>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</si>
  <si>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</si>
  <si>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</si>
  <si>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</si>
  <si>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</si>
  <si>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</si>
  <si>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</si>
  <si>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</si>
  <si>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</si>
  <si>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</si>
  <si>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</si>
  <si>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</si>
  <si>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FSL Eurobond Fund</t>
  </si>
  <si>
    <t>Futureview Dollar Fund</t>
  </si>
  <si>
    <t>Norrenberger Dollar Fund</t>
  </si>
  <si>
    <t>PACAM Eurobond Fund</t>
  </si>
  <si>
    <t>United Capital Nigerian Eurobond Fund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</si>
  <si>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</si>
  <si>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</si>
  <si>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</si>
  <si>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</si>
  <si>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</si>
  <si>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</si>
  <si>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</si>
  <si>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</si>
  <si>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</si>
  <si>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</si>
  <si>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</si>
  <si>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</si>
  <si>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</si>
  <si>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</si>
  <si>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</si>
  <si>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</si>
  <si>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</si>
  <si>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</si>
  <si>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</si>
  <si>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</si>
  <si>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</si>
  <si>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</si>
  <si>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</si>
  <si>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</si>
  <si>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</si>
  <si>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</si>
  <si>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</si>
  <si>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</si>
  <si>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</si>
  <si>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</si>
  <si>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</si>
  <si>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</si>
  <si>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</si>
  <si>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</si>
  <si>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</si>
  <si>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</si>
  <si>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</si>
  <si>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</si>
  <si>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</si>
  <si>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</si>
  <si>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</si>
  <si>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</si>
  <si>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</si>
  <si>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</si>
  <si>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</si>
  <si>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</si>
  <si>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</si>
  <si>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</si>
  <si>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</si>
  <si>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</si>
  <si>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</si>
  <si>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</si>
  <si>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</si>
  <si>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</si>
  <si>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</si>
  <si>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</si>
  <si>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</si>
  <si>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</si>
  <si>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</si>
  <si>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</si>
  <si>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</si>
  <si>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</si>
  <si>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</si>
  <si>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</si>
  <si>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</si>
  <si>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</si>
  <si>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</si>
  <si>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</si>
  <si>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</si>
  <si>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</si>
  <si>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</si>
  <si>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</si>
  <si>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</si>
  <si>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</si>
  <si>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</si>
  <si>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</si>
  <si>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</si>
  <si>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</si>
  <si>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</si>
  <si>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</si>
  <si>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</si>
  <si>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</si>
  <si>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</si>
  <si>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</si>
  <si>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</si>
  <si>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</si>
  <si>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FCMB-TLG Private Debt Fund</t>
  </si>
  <si>
    <t>United Capital Children Investment Fund</t>
  </si>
  <si>
    <t>Nigeria Infrastructure Debt Fund (NIDF)</t>
  </si>
  <si>
    <t>Chapel Hill Denham Management Limited</t>
  </si>
  <si>
    <t>United Capital Infrastructure Fund</t>
  </si>
  <si>
    <t>Infrastructure Funds Total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</si>
  <si>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</si>
  <si>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</si>
  <si>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</si>
  <si>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</si>
  <si>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</si>
  <si>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</si>
  <si>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</si>
  <si>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</si>
  <si>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</si>
  <si>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</si>
  <si>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</si>
  <si>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</si>
  <si>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</si>
  <si>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</si>
  <si>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</si>
  <si>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</si>
  <si>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</si>
  <si>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</si>
  <si>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</si>
  <si>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</si>
  <si>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</si>
  <si>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</si>
  <si>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</si>
  <si>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</si>
  <si>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</si>
  <si>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</si>
  <si>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</si>
  <si>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</si>
  <si>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</si>
  <si>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</si>
  <si>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</si>
  <si>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</si>
  <si>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</si>
  <si>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</si>
  <si>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</si>
  <si>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</si>
  <si>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Apel Wealth Money Market Fund</t>
  </si>
  <si>
    <t>Apel Wealth Management Limited</t>
  </si>
  <si>
    <t>Alpha10 Dollar Fund</t>
  </si>
  <si>
    <t>Alpha10 Fund Management Limited</t>
  </si>
  <si>
    <t>Alpha10 Money Market Fund</t>
  </si>
  <si>
    <t>Myrtle Asset Management Limited</t>
  </si>
  <si>
    <t>Myrtle Balanced Plus Fund</t>
  </si>
  <si>
    <t>Myrtle Dollar Shield Fund</t>
  </si>
  <si>
    <t>ValuAlliance Specialized Dollar Fund</t>
  </si>
  <si>
    <t>FCMBAM Debt Fund</t>
  </si>
  <si>
    <t>FCMBAM Money Market Fund</t>
  </si>
  <si>
    <t>FCMBAM Equity Fund</t>
  </si>
  <si>
    <t>FCMBAM USD Bond Fund</t>
  </si>
  <si>
    <t>First Asset Nigeria Smart Beta Equity Fund</t>
  </si>
  <si>
    <t>First Asset Money Market Fund</t>
  </si>
  <si>
    <t>First Asset Bond Fund</t>
  </si>
  <si>
    <t>First Asset Dollar Fund (Retail)</t>
  </si>
  <si>
    <t>First Asset Specialized Dollar Fund</t>
  </si>
  <si>
    <t>First Asset Balanced Fund</t>
  </si>
  <si>
    <t>First Asset Halal Fund</t>
  </si>
  <si>
    <t>First Asset Blended Dollar Fund</t>
  </si>
  <si>
    <r>
      <t>NAV (</t>
    </r>
    <r>
      <rPr>
        <b/>
        <sz val="8"/>
        <color theme="1"/>
        <rFont val="Calibri"/>
        <family val="2"/>
      </rPr>
      <t>$</t>
    </r>
    <r>
      <rPr>
        <b/>
        <sz val="8"/>
        <color theme="1"/>
        <rFont val="Arial Narrow"/>
        <family val="2"/>
      </rPr>
      <t>)</t>
    </r>
  </si>
  <si>
    <t>N/A</t>
  </si>
  <si>
    <t>Bid Price ($)</t>
  </si>
  <si>
    <t>Offer Price ($)</t>
  </si>
  <si>
    <t>FIXED INCOME</t>
  </si>
  <si>
    <t>BALANCED</t>
  </si>
  <si>
    <t>EQUITY</t>
  </si>
  <si>
    <t>SHARIAH COMPLIANT FUNDS</t>
  </si>
  <si>
    <t>REAL ESTATE INVESTMENT TRUSTS</t>
  </si>
  <si>
    <t>EUROBONDS</t>
  </si>
  <si>
    <t>Myrtle Nest Money Market Fund</t>
  </si>
  <si>
    <t xml:space="preserve"> </t>
  </si>
  <si>
    <t>NAV, Unit Price and Yield as at Week Ended June 5, 2026</t>
  </si>
  <si>
    <t>Week Ended June 5, 2026</t>
  </si>
  <si>
    <t>Zenith Balanced Strategy Fund</t>
  </si>
  <si>
    <t>WEEKLY VALUATION REPORT OF COLLECTIVE INVESTMENT SCHEMES AS AT WEEK ENDED THURSDAY, JUNE 11, 2026</t>
  </si>
  <si>
    <t>NAV, Unit Price and Yield as at Week Ended June 11, 2026</t>
  </si>
  <si>
    <t>NFEM RATE NG₦/US$ as at 11th June, 2026 = N1363.8250</t>
  </si>
  <si>
    <t>Week Ended June 11,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</si>
</sst>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60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entury Gothic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2"/>
      <color rgb="FF000000"/>
      <name val="Aptos"/>
    </font>
    <font>
      <b/>
      <sz val="8"/>
      <color theme="1"/>
      <name val="Calibri"/>
      <family val="2"/>
    </font>
    <font>
      <sz val="11"/>
      <color theme="3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sz val="11"/>
      <color theme="0"/>
      <name val="Calibri"/>
      <charset val="134"/>
      <scheme val="minor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64">
    <xf numFmtId="0" fontId="0" fillId="0" borderId="0"/>
    <xf numFmtId="164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5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8" fillId="21" borderId="0" applyNumberFormat="0" applyBorder="0" applyAlignment="0" applyProtection="0"/>
    <xf numFmtId="0" fontId="39" fillId="0" borderId="0"/>
    <xf numFmtId="0" fontId="36" fillId="0" borderId="0"/>
    <xf numFmtId="0" fontId="36" fillId="0" borderId="0"/>
    <xf numFmtId="0" fontId="40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1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4" fillId="0" borderId="1" xfId="0" applyFont="1" applyBorder="1" applyAlignment="1">
      <alignment horizontal="right"/>
    </xf>
    <xf numFmtId="16" fontId="5" fillId="2" borderId="1" xfId="0" applyNumberFormat="1" applyFont="1" applyFill="1" applyBorder="1"/>
    <xf numFmtId="0" fontId="5" fillId="0" borderId="1" xfId="0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4" fontId="6" fillId="2" borderId="1" xfId="0" applyNumberFormat="1" applyFont="1" applyFill="1" applyBorder="1"/>
    <xf numFmtId="4" fontId="7" fillId="2" borderId="1" xfId="0" applyNumberFormat="1" applyFont="1" applyFill="1" applyBorder="1"/>
    <xf numFmtId="164" fontId="6" fillId="2" borderId="1" xfId="1" applyFont="1" applyFill="1" applyBorder="1" applyAlignment="1">
      <alignment horizontal="right" vertical="top" wrapText="1"/>
    </xf>
    <xf numFmtId="0" fontId="8" fillId="3" borderId="1" xfId="0" applyFont="1" applyFill="1" applyBorder="1" applyAlignment="1">
      <alignment horizontal="right"/>
    </xf>
    <xf numFmtId="43" fontId="8" fillId="3" borderId="1" xfId="0" applyNumberFormat="1" applyFont="1" applyFill="1" applyBorder="1"/>
    <xf numFmtId="0" fontId="7" fillId="0" borderId="0" xfId="0" applyFont="1"/>
    <xf numFmtId="164" fontId="7" fillId="0" borderId="0" xfId="1" applyFont="1"/>
    <xf numFmtId="0" fontId="4" fillId="4" borderId="1" xfId="0" applyFont="1" applyFill="1" applyBorder="1" applyAlignment="1">
      <alignment horizontal="right"/>
    </xf>
    <xf numFmtId="43" fontId="4" fillId="4" borderId="1" xfId="0" applyNumberFormat="1" applyFont="1" applyFill="1" applyBorder="1"/>
    <xf numFmtId="164" fontId="4" fillId="4" borderId="1" xfId="1" applyFont="1" applyFill="1" applyBorder="1"/>
    <xf numFmtId="0" fontId="9" fillId="0" borderId="0" xfId="0" applyFont="1"/>
    <xf numFmtId="0" fontId="10" fillId="0" borderId="1" xfId="0" applyFont="1" applyBorder="1" applyAlignment="1">
      <alignment horizontal="right"/>
    </xf>
    <xf numFmtId="164" fontId="6" fillId="0" borderId="1" xfId="1" applyFont="1" applyBorder="1"/>
    <xf numFmtId="164" fontId="9" fillId="0" borderId="0" xfId="1" applyFont="1"/>
    <xf numFmtId="43" fontId="9" fillId="0" borderId="0" xfId="0" applyNumberFormat="1" applyFont="1"/>
    <xf numFmtId="0" fontId="11" fillId="0" borderId="0" xfId="0" applyFont="1"/>
    <xf numFmtId="0" fontId="7" fillId="2" borderId="0" xfId="0" applyFont="1" applyFill="1" applyAlignment="1">
      <alignment wrapText="1"/>
    </xf>
    <xf numFmtId="10" fontId="24" fillId="10" borderId="0" xfId="0" applyNumberFormat="1" applyFont="1" applyFill="1" applyAlignment="1">
      <alignment horizontal="right" vertical="center" wrapText="1"/>
    </xf>
    <xf numFmtId="4" fontId="0" fillId="0" borderId="0" xfId="0" applyNumberFormat="1"/>
    <xf numFmtId="164" fontId="21" fillId="0" borderId="0" xfId="1" applyFont="1"/>
    <xf numFmtId="2" fontId="0" fillId="0" borderId="0" xfId="0" applyNumberFormat="1"/>
    <xf numFmtId="165" fontId="0" fillId="0" borderId="0" xfId="0" applyNumberFormat="1"/>
    <xf numFmtId="4" fontId="26" fillId="10" borderId="0" xfId="0" applyNumberFormat="1" applyFont="1" applyFill="1" applyAlignment="1">
      <alignment horizontal="right" vertical="center" wrapText="1"/>
    </xf>
    <xf numFmtId="166" fontId="13" fillId="0" borderId="0" xfId="1" applyNumberFormat="1" applyFont="1"/>
    <xf numFmtId="4" fontId="29" fillId="0" borderId="0" xfId="0" applyNumberFormat="1" applyFont="1"/>
    <xf numFmtId="4" fontId="20" fillId="2" borderId="1" xfId="10" applyNumberFormat="1" applyFont="1" applyFill="1" applyBorder="1" applyAlignment="1">
      <alignment horizontal="right" vertical="top" wrapText="1"/>
    </xf>
    <xf numFmtId="164" fontId="0" fillId="0" borderId="0" xfId="1" applyFont="1"/>
    <xf numFmtId="0" fontId="32" fillId="0" borderId="0" xfId="0" applyFont="1"/>
    <xf numFmtId="0" fontId="33" fillId="0" borderId="0" xfId="0" applyFont="1"/>
    <xf numFmtId="43" fontId="0" fillId="0" borderId="0" xfId="0" applyNumberFormat="1"/>
    <xf numFmtId="0" fontId="34" fillId="0" borderId="0" xfId="0" applyFont="1"/>
    <xf numFmtId="0" fontId="22" fillId="2" borderId="0" xfId="0" applyFont="1" applyFill="1" applyAlignment="1">
      <alignment wrapText="1"/>
    </xf>
    <xf numFmtId="43" fontId="34" fillId="0" borderId="0" xfId="16" applyFont="1" applyBorder="1"/>
    <xf numFmtId="2" fontId="34" fillId="0" borderId="0" xfId="0" applyNumberFormat="1" applyFont="1"/>
    <xf numFmtId="10" fontId="34" fillId="0" borderId="0" xfId="2" applyNumberFormat="1" applyFont="1" applyBorder="1"/>
    <xf numFmtId="10" fontId="35" fillId="0" borderId="0" xfId="2" applyNumberFormat="1" applyFont="1" applyBorder="1"/>
    <xf numFmtId="10" fontId="0" fillId="0" borderId="0" xfId="2" applyNumberFormat="1" applyFont="1"/>
    <xf numFmtId="43" fontId="4" fillId="4" borderId="1" xfId="0" quotePrefix="1" applyNumberFormat="1" applyFont="1" applyFill="1" applyBorder="1" applyAlignment="1">
      <alignment horizontal="center"/>
    </xf>
    <xf numFmtId="0" fontId="42" fillId="0" borderId="0" xfId="0" applyFont="1"/>
    <xf numFmtId="0" fontId="43" fillId="0" borderId="0" xfId="0" applyFont="1"/>
    <xf numFmtId="0" fontId="3" fillId="0" borderId="0" xfId="0" applyFont="1"/>
    <xf numFmtId="0" fontId="44" fillId="0" borderId="0" xfId="0" applyFont="1"/>
    <xf numFmtId="0" fontId="10" fillId="0" borderId="0" xfId="0" applyFont="1" applyAlignment="1">
      <alignment horizontal="right"/>
    </xf>
    <xf numFmtId="4" fontId="6" fillId="2" borderId="0" xfId="0" applyNumberFormat="1" applyFont="1" applyFill="1" applyAlignment="1">
      <alignment horizontal="right"/>
    </xf>
    <xf numFmtId="10" fontId="24" fillId="10" borderId="0" xfId="2" applyNumberFormat="1" applyFont="1" applyFill="1" applyAlignment="1">
      <alignment horizontal="right" vertical="center" wrapText="1"/>
    </xf>
    <xf numFmtId="164" fontId="45" fillId="2" borderId="2" xfId="1" applyFont="1" applyFill="1" applyBorder="1"/>
    <xf numFmtId="10" fontId="45" fillId="2" borderId="2" xfId="2" applyNumberFormat="1" applyFont="1" applyFill="1" applyBorder="1"/>
    <xf numFmtId="164" fontId="45" fillId="2" borderId="2" xfId="1" applyFont="1" applyFill="1" applyBorder="1" applyAlignment="1">
      <alignment horizontal="center" wrapText="1"/>
    </xf>
    <xf numFmtId="0" fontId="0" fillId="0" borderId="0" xfId="0" applyAlignment="1">
      <alignment horizontal="right"/>
    </xf>
    <xf numFmtId="4" fontId="47" fillId="2" borderId="0" xfId="0" applyNumberFormat="1" applyFont="1" applyFill="1"/>
    <xf numFmtId="0" fontId="46" fillId="0" borderId="0" xfId="0" applyFont="1" applyAlignment="1">
      <alignment horizontal="right"/>
    </xf>
    <xf numFmtId="0" fontId="7" fillId="6" borderId="3" xfId="0" applyFont="1" applyFill="1" applyBorder="1"/>
    <xf numFmtId="0" fontId="15" fillId="7" borderId="3" xfId="0" applyFont="1" applyFill="1" applyBorder="1"/>
    <xf numFmtId="0" fontId="16" fillId="7" borderId="3" xfId="0" applyFont="1" applyFill="1" applyBorder="1"/>
    <xf numFmtId="4" fontId="20" fillId="2" borderId="3" xfId="0" applyNumberFormat="1" applyFont="1" applyFill="1" applyBorder="1" applyAlignment="1">
      <alignment wrapText="1"/>
    </xf>
    <xf numFmtId="0" fontId="20" fillId="2" borderId="3" xfId="0" applyFont="1" applyFill="1" applyBorder="1" applyAlignment="1">
      <alignment wrapText="1"/>
    </xf>
    <xf numFmtId="4" fontId="18" fillId="2" borderId="3" xfId="0" applyNumberFormat="1" applyFont="1" applyFill="1" applyBorder="1"/>
    <xf numFmtId="10" fontId="18" fillId="7" borderId="3" xfId="2" applyNumberFormat="1" applyFont="1" applyFill="1" applyBorder="1" applyAlignment="1">
      <alignment horizontal="center"/>
    </xf>
    <xf numFmtId="164" fontId="18" fillId="9" borderId="3" xfId="1" applyFont="1" applyFill="1" applyBorder="1" applyAlignment="1">
      <alignment horizontal="center"/>
    </xf>
    <xf numFmtId="10" fontId="18" fillId="9" borderId="3" xfId="2" applyNumberFormat="1" applyFont="1" applyFill="1" applyBorder="1" applyAlignment="1">
      <alignment horizontal="center"/>
    </xf>
    <xf numFmtId="4" fontId="20" fillId="2" borderId="3" xfId="0" applyNumberFormat="1" applyFont="1" applyFill="1" applyBorder="1"/>
    <xf numFmtId="10" fontId="20" fillId="7" borderId="3" xfId="2" applyNumberFormat="1" applyFont="1" applyFill="1" applyBorder="1" applyAlignment="1">
      <alignment horizontal="center"/>
    </xf>
    <xf numFmtId="164" fontId="20" fillId="9" borderId="3" xfId="1" applyFont="1" applyFill="1" applyBorder="1" applyAlignment="1">
      <alignment horizontal="center"/>
    </xf>
    <xf numFmtId="10" fontId="20" fillId="9" borderId="3" xfId="2" applyNumberFormat="1" applyFont="1" applyFill="1" applyBorder="1" applyAlignment="1">
      <alignment horizontal="center"/>
    </xf>
    <xf numFmtId="2" fontId="21" fillId="0" borderId="3" xfId="0" applyNumberFormat="1" applyFont="1" applyBorder="1"/>
    <xf numFmtId="164" fontId="20" fillId="2" borderId="3" xfId="1" applyFont="1" applyFill="1" applyBorder="1"/>
    <xf numFmtId="164" fontId="20" fillId="2" borderId="3" xfId="10" applyFont="1" applyFill="1" applyBorder="1"/>
    <xf numFmtId="4" fontId="18" fillId="0" borderId="3" xfId="0" applyNumberFormat="1" applyFont="1" applyBorder="1"/>
    <xf numFmtId="4" fontId="20" fillId="2" borderId="3" xfId="0" applyNumberFormat="1" applyFont="1" applyFill="1" applyBorder="1" applyAlignment="1">
      <alignment horizontal="right"/>
    </xf>
    <xf numFmtId="0" fontId="18" fillId="2" borderId="3" xfId="0" applyFont="1" applyFill="1" applyBorder="1"/>
    <xf numFmtId="0" fontId="17" fillId="2" borderId="3" xfId="0" applyFont="1" applyFill="1" applyBorder="1" applyAlignment="1">
      <alignment horizontal="right"/>
    </xf>
    <xf numFmtId="164" fontId="17" fillId="2" borderId="3" xfId="1" applyFont="1" applyFill="1" applyBorder="1" applyAlignment="1">
      <alignment horizontal="right" vertical="top" wrapText="1"/>
    </xf>
    <xf numFmtId="10" fontId="23" fillId="7" borderId="3" xfId="2" applyNumberFormat="1" applyFont="1" applyFill="1" applyBorder="1" applyAlignment="1">
      <alignment horizontal="center" vertical="top" wrapText="1"/>
    </xf>
    <xf numFmtId="10" fontId="20" fillId="2" borderId="3" xfId="2" applyNumberFormat="1" applyFont="1" applyFill="1" applyBorder="1" applyAlignment="1">
      <alignment horizontal="center" vertical="top" wrapText="1"/>
    </xf>
    <xf numFmtId="4" fontId="20" fillId="2" borderId="3" xfId="1" applyNumberFormat="1" applyFont="1" applyFill="1" applyBorder="1" applyAlignment="1">
      <alignment vertical="top" wrapText="1"/>
    </xf>
    <xf numFmtId="164" fontId="17" fillId="9" borderId="3" xfId="1" applyFont="1" applyFill="1" applyBorder="1" applyAlignment="1">
      <alignment horizontal="center"/>
    </xf>
    <xf numFmtId="10" fontId="20" fillId="9" borderId="3" xfId="2" applyNumberFormat="1" applyFont="1" applyFill="1" applyBorder="1" applyAlignment="1">
      <alignment horizontal="center" vertical="top" wrapText="1"/>
    </xf>
    <xf numFmtId="164" fontId="20" fillId="2" borderId="3" xfId="10" applyFont="1" applyFill="1" applyBorder="1" applyAlignment="1">
      <alignment horizontal="right"/>
    </xf>
    <xf numFmtId="4" fontId="20" fillId="2" borderId="3" xfId="1" applyNumberFormat="1" applyFont="1" applyFill="1" applyBorder="1" applyAlignment="1">
      <alignment horizontal="right"/>
    </xf>
    <xf numFmtId="164" fontId="20" fillId="2" borderId="3" xfId="10" applyFont="1" applyFill="1" applyBorder="1" applyAlignment="1">
      <alignment horizontal="right" wrapText="1"/>
    </xf>
    <xf numFmtId="164" fontId="20" fillId="9" borderId="3" xfId="1" applyFont="1" applyFill="1" applyBorder="1" applyAlignment="1">
      <alignment horizontal="center" wrapText="1"/>
    </xf>
    <xf numFmtId="10" fontId="20" fillId="9" borderId="3" xfId="2" applyNumberFormat="1" applyFont="1" applyFill="1" applyBorder="1" applyAlignment="1">
      <alignment horizontal="center" wrapText="1"/>
    </xf>
    <xf numFmtId="164" fontId="20" fillId="2" borderId="3" xfId="1" applyFont="1" applyFill="1" applyBorder="1" applyAlignment="1">
      <alignment horizontal="right"/>
    </xf>
    <xf numFmtId="10" fontId="20" fillId="7" borderId="3" xfId="2" applyNumberFormat="1" applyFont="1" applyFill="1" applyBorder="1" applyAlignment="1">
      <alignment horizontal="center" wrapText="1"/>
    </xf>
    <xf numFmtId="164" fontId="17" fillId="2" borderId="3" xfId="1" applyFont="1" applyFill="1" applyBorder="1" applyAlignment="1">
      <alignment horizontal="right"/>
    </xf>
    <xf numFmtId="10" fontId="20" fillId="9" borderId="3" xfId="1" applyNumberFormat="1" applyFont="1" applyFill="1" applyBorder="1" applyAlignment="1">
      <alignment horizontal="center"/>
    </xf>
    <xf numFmtId="2" fontId="20" fillId="2" borderId="3" xfId="0" applyNumberFormat="1" applyFont="1" applyFill="1" applyBorder="1"/>
    <xf numFmtId="164" fontId="20" fillId="2" borderId="3" xfId="10" applyFont="1" applyFill="1" applyBorder="1" applyAlignment="1">
      <alignment wrapText="1"/>
    </xf>
    <xf numFmtId="0" fontId="20" fillId="2" borderId="3" xfId="0" applyFont="1" applyFill="1" applyBorder="1" applyAlignment="1">
      <alignment horizontal="left" wrapText="1"/>
    </xf>
    <xf numFmtId="2" fontId="18" fillId="2" borderId="3" xfId="0" applyNumberFormat="1" applyFont="1" applyFill="1" applyBorder="1"/>
    <xf numFmtId="164" fontId="20" fillId="11" borderId="3" xfId="1" applyFont="1" applyFill="1" applyBorder="1" applyAlignment="1">
      <alignment horizontal="center"/>
    </xf>
    <xf numFmtId="10" fontId="20" fillId="11" borderId="3" xfId="2" applyNumberFormat="1" applyFont="1" applyFill="1" applyBorder="1" applyAlignment="1">
      <alignment horizontal="center"/>
    </xf>
    <xf numFmtId="164" fontId="21" fillId="0" borderId="3" xfId="1" applyFont="1" applyBorder="1"/>
    <xf numFmtId="0" fontId="17" fillId="0" borderId="3" xfId="0" applyFont="1" applyBorder="1" applyAlignment="1">
      <alignment horizontal="right"/>
    </xf>
    <xf numFmtId="4" fontId="20" fillId="9" borderId="3" xfId="1" applyNumberFormat="1" applyFont="1" applyFill="1" applyBorder="1" applyAlignment="1">
      <alignment horizontal="center"/>
    </xf>
    <xf numFmtId="4" fontId="28" fillId="0" borderId="3" xfId="0" applyNumberFormat="1" applyFont="1" applyBorder="1"/>
    <xf numFmtId="0" fontId="22" fillId="2" borderId="3" xfId="0" applyFont="1" applyFill="1" applyBorder="1"/>
    <xf numFmtId="4" fontId="20" fillId="2" borderId="3" xfId="1" applyNumberFormat="1" applyFont="1" applyFill="1" applyBorder="1" applyAlignment="1">
      <alignment horizontal="right" vertical="top" wrapText="1"/>
    </xf>
    <xf numFmtId="4" fontId="20" fillId="9" borderId="3" xfId="1" applyNumberFormat="1" applyFont="1" applyFill="1" applyBorder="1" applyAlignment="1">
      <alignment horizontal="center" vertical="top" wrapText="1"/>
    </xf>
    <xf numFmtId="164" fontId="17" fillId="2" borderId="3" xfId="1" applyFont="1" applyFill="1" applyBorder="1"/>
    <xf numFmtId="43" fontId="20" fillId="2" borderId="3" xfId="0" applyNumberFormat="1" applyFont="1" applyFill="1" applyBorder="1"/>
    <xf numFmtId="43" fontId="20" fillId="9" borderId="3" xfId="0" applyNumberFormat="1" applyFont="1" applyFill="1" applyBorder="1" applyAlignment="1">
      <alignment horizontal="center"/>
    </xf>
    <xf numFmtId="4" fontId="20" fillId="2" borderId="3" xfId="0" applyNumberFormat="1" applyFont="1" applyFill="1" applyBorder="1" applyAlignment="1">
      <alignment horizontal="right" wrapText="1"/>
    </xf>
    <xf numFmtId="4" fontId="20" fillId="2" borderId="3" xfId="10" applyNumberFormat="1" applyFont="1" applyFill="1" applyBorder="1" applyAlignment="1">
      <alignment horizontal="right"/>
    </xf>
    <xf numFmtId="4" fontId="20" fillId="2" borderId="3" xfId="10" applyNumberFormat="1" applyFont="1" applyFill="1" applyBorder="1" applyAlignment="1">
      <alignment horizontal="right" wrapText="1"/>
    </xf>
    <xf numFmtId="4" fontId="17" fillId="9" borderId="3" xfId="1" applyNumberFormat="1" applyFont="1" applyFill="1" applyBorder="1" applyAlignment="1">
      <alignment horizontal="right" vertical="top" wrapText="1"/>
    </xf>
    <xf numFmtId="0" fontId="20" fillId="14" borderId="3" xfId="0" applyFont="1" applyFill="1" applyBorder="1" applyAlignment="1">
      <alignment horizontal="right" vertical="center"/>
    </xf>
    <xf numFmtId="0" fontId="17" fillId="14" borderId="3" xfId="0" applyFont="1" applyFill="1" applyBorder="1" applyAlignment="1">
      <alignment horizontal="right" vertical="center"/>
    </xf>
    <xf numFmtId="164" fontId="17" fillId="14" borderId="3" xfId="1" applyFont="1" applyFill="1" applyBorder="1" applyAlignment="1">
      <alignment horizontal="right" vertical="center" wrapText="1"/>
    </xf>
    <xf numFmtId="10" fontId="20" fillId="14" borderId="3" xfId="1" applyNumberFormat="1" applyFont="1" applyFill="1" applyBorder="1" applyAlignment="1">
      <alignment horizontal="right" vertical="center" wrapText="1"/>
    </xf>
    <xf numFmtId="4" fontId="20" fillId="14" borderId="3" xfId="1" applyNumberFormat="1" applyFont="1" applyFill="1" applyBorder="1" applyAlignment="1">
      <alignment horizontal="right" vertical="center" wrapText="1"/>
    </xf>
    <xf numFmtId="9" fontId="20" fillId="14" borderId="3" xfId="2" applyFont="1" applyFill="1" applyBorder="1" applyAlignment="1">
      <alignment horizontal="center" vertical="center" wrapText="1"/>
    </xf>
    <xf numFmtId="4" fontId="20" fillId="14" borderId="3" xfId="1" applyNumberFormat="1" applyFont="1" applyFill="1" applyBorder="1" applyAlignment="1">
      <alignment horizontal="center" vertical="center" wrapText="1"/>
    </xf>
    <xf numFmtId="10" fontId="18" fillId="14" borderId="3" xfId="2" applyNumberFormat="1" applyFont="1" applyFill="1" applyBorder="1" applyAlignment="1">
      <alignment horizontal="center" vertical="top" wrapText="1"/>
    </xf>
    <xf numFmtId="164" fontId="17" fillId="14" borderId="3" xfId="1" applyFont="1" applyFill="1" applyBorder="1" applyAlignment="1">
      <alignment horizontal="right" vertical="top" wrapText="1"/>
    </xf>
    <xf numFmtId="0" fontId="20" fillId="2" borderId="3" xfId="0" applyFont="1" applyFill="1" applyBorder="1" applyAlignment="1">
      <alignment horizontal="center" wrapText="1"/>
    </xf>
    <xf numFmtId="4" fontId="20" fillId="2" borderId="3" xfId="10" applyNumberFormat="1" applyFont="1" applyFill="1" applyBorder="1" applyAlignment="1">
      <alignment horizontal="right" vertical="top" wrapText="1"/>
    </xf>
    <xf numFmtId="164" fontId="30" fillId="14" borderId="3" xfId="1" applyFont="1" applyFill="1" applyBorder="1" applyAlignment="1">
      <alignment horizontal="right" vertical="top" wrapText="1"/>
    </xf>
    <xf numFmtId="4" fontId="20" fillId="14" borderId="3" xfId="1" applyNumberFormat="1" applyFont="1" applyFill="1" applyBorder="1" applyAlignment="1">
      <alignment horizontal="right" vertical="top" wrapText="1"/>
    </xf>
    <xf numFmtId="4" fontId="20" fillId="14" borderId="3" xfId="1" applyNumberFormat="1" applyFont="1" applyFill="1" applyBorder="1" applyAlignment="1">
      <alignment horizontal="center" vertical="top" wrapText="1"/>
    </xf>
    <xf numFmtId="167" fontId="18" fillId="14" borderId="3" xfId="2" applyNumberFormat="1" applyFont="1" applyFill="1" applyBorder="1" applyAlignment="1">
      <alignment horizontal="center" vertical="top" wrapText="1"/>
    </xf>
    <xf numFmtId="10" fontId="18" fillId="14" borderId="3" xfId="1" applyNumberFormat="1" applyFont="1" applyFill="1" applyBorder="1" applyAlignment="1">
      <alignment horizontal="center" vertical="top" wrapText="1"/>
    </xf>
    <xf numFmtId="164" fontId="20" fillId="2" borderId="3" xfId="10" applyFont="1" applyFill="1" applyBorder="1" applyAlignment="1">
      <alignment horizontal="right" vertical="top" wrapText="1"/>
    </xf>
    <xf numFmtId="10" fontId="20" fillId="7" borderId="3" xfId="2" applyNumberFormat="1" applyFont="1" applyFill="1" applyBorder="1" applyAlignment="1">
      <alignment horizontal="center" vertical="top" wrapText="1"/>
    </xf>
    <xf numFmtId="164" fontId="20" fillId="9" borderId="3" xfId="1" applyFont="1" applyFill="1" applyBorder="1" applyAlignment="1">
      <alignment horizontal="center" vertical="top" wrapText="1"/>
    </xf>
    <xf numFmtId="164" fontId="20" fillId="2" borderId="3" xfId="1" applyFont="1" applyFill="1" applyBorder="1" applyAlignment="1">
      <alignment horizontal="right" vertical="top" wrapText="1"/>
    </xf>
    <xf numFmtId="0" fontId="20" fillId="14" borderId="3" xfId="0" applyFont="1" applyFill="1" applyBorder="1" applyAlignment="1">
      <alignment horizontal="right"/>
    </xf>
    <xf numFmtId="0" fontId="17" fillId="14" borderId="3" xfId="0" applyFont="1" applyFill="1" applyBorder="1" applyAlignment="1">
      <alignment horizontal="right"/>
    </xf>
    <xf numFmtId="0" fontId="20" fillId="15" borderId="3" xfId="0" applyFont="1" applyFill="1" applyBorder="1" applyAlignment="1">
      <alignment horizontal="right" vertical="top" wrapText="1"/>
    </xf>
    <xf numFmtId="0" fontId="27" fillId="15" borderId="3" xfId="0" applyFont="1" applyFill="1" applyBorder="1" applyAlignment="1">
      <alignment horizontal="right" vertical="top" wrapText="1"/>
    </xf>
    <xf numFmtId="164" fontId="27" fillId="15" borderId="3" xfId="1" applyFont="1" applyFill="1" applyBorder="1" applyAlignment="1">
      <alignment horizontal="right" vertical="top" wrapText="1"/>
    </xf>
    <xf numFmtId="164" fontId="12" fillId="15" borderId="3" xfId="1" applyFont="1" applyFill="1" applyBorder="1" applyAlignment="1">
      <alignment horizontal="right" vertical="top" wrapText="1"/>
    </xf>
    <xf numFmtId="4" fontId="12" fillId="15" borderId="3" xfId="0" applyNumberFormat="1" applyFont="1" applyFill="1" applyBorder="1" applyAlignment="1">
      <alignment horizontal="right"/>
    </xf>
    <xf numFmtId="9" fontId="12" fillId="15" borderId="3" xfId="2" applyFont="1" applyFill="1" applyBorder="1" applyAlignment="1">
      <alignment horizontal="center"/>
    </xf>
    <xf numFmtId="4" fontId="12" fillId="15" borderId="3" xfId="0" applyNumberFormat="1" applyFont="1" applyFill="1" applyBorder="1" applyAlignment="1">
      <alignment horizontal="center"/>
    </xf>
    <xf numFmtId="10" fontId="12" fillId="15" borderId="3" xfId="2" applyNumberFormat="1" applyFont="1" applyFill="1" applyBorder="1" applyAlignment="1">
      <alignment horizontal="center" vertical="top" wrapText="1"/>
    </xf>
    <xf numFmtId="167" fontId="12" fillId="15" borderId="3" xfId="2" applyNumberFormat="1" applyFont="1" applyFill="1" applyBorder="1" applyAlignment="1">
      <alignment horizontal="center" vertical="top" wrapText="1"/>
    </xf>
    <xf numFmtId="167" fontId="20" fillId="15" borderId="3" xfId="2" applyNumberFormat="1" applyFont="1" applyFill="1" applyBorder="1" applyAlignment="1">
      <alignment horizontal="center" vertical="top" wrapText="1"/>
    </xf>
    <xf numFmtId="0" fontId="31" fillId="5" borderId="3" xfId="0" applyFont="1" applyFill="1" applyBorder="1" applyAlignment="1">
      <alignment horizontal="left" vertical="center"/>
    </xf>
    <xf numFmtId="0" fontId="11" fillId="5" borderId="3" xfId="0" applyFont="1" applyFill="1" applyBorder="1"/>
    <xf numFmtId="0" fontId="48" fillId="0" borderId="0" xfId="0" applyFont="1"/>
    <xf numFmtId="10" fontId="18" fillId="2" borderId="3" xfId="2" applyNumberFormat="1" applyFont="1" applyFill="1" applyBorder="1" applyAlignment="1">
      <alignment horizontal="center"/>
    </xf>
    <xf numFmtId="10" fontId="20" fillId="2" borderId="3" xfId="2" applyNumberFormat="1" applyFont="1" applyFill="1" applyBorder="1" applyAlignment="1">
      <alignment horizontal="center"/>
    </xf>
    <xf numFmtId="10" fontId="23" fillId="2" borderId="3" xfId="2" applyNumberFormat="1" applyFont="1" applyFill="1" applyBorder="1" applyAlignment="1">
      <alignment horizontal="center" vertical="top" wrapText="1"/>
    </xf>
    <xf numFmtId="164" fontId="20" fillId="2" borderId="3" xfId="1" applyFont="1" applyFill="1" applyBorder="1" applyAlignment="1">
      <alignment horizontal="center"/>
    </xf>
    <xf numFmtId="164" fontId="20" fillId="2" borderId="3" xfId="1" applyFont="1" applyFill="1" applyBorder="1" applyAlignment="1">
      <alignment horizontal="center" wrapText="1"/>
    </xf>
    <xf numFmtId="0" fontId="50" fillId="5" borderId="3" xfId="0" applyFont="1" applyFill="1" applyBorder="1"/>
    <xf numFmtId="0" fontId="17" fillId="15" borderId="3" xfId="0" applyFont="1" applyFill="1" applyBorder="1" applyAlignment="1">
      <alignment horizontal="center" vertical="top" wrapText="1"/>
    </xf>
    <xf numFmtId="164" fontId="20" fillId="14" borderId="3" xfId="1" applyFont="1" applyFill="1" applyBorder="1" applyAlignment="1">
      <alignment horizontal="center" vertical="top" wrapText="1"/>
    </xf>
    <xf numFmtId="164" fontId="23" fillId="2" borderId="3" xfId="1" applyFont="1" applyFill="1" applyBorder="1" applyAlignment="1">
      <alignment horizontal="center" vertical="top" wrapText="1"/>
    </xf>
    <xf numFmtId="0" fontId="17" fillId="22" borderId="3" xfId="0" applyFont="1" applyFill="1" applyBorder="1" applyAlignment="1">
      <alignment vertical="top" wrapText="1"/>
    </xf>
    <xf numFmtId="0" fontId="15" fillId="22" borderId="3" xfId="0" applyFont="1" applyFill="1" applyBorder="1" applyAlignment="1">
      <alignment vertical="top" wrapText="1"/>
    </xf>
    <xf numFmtId="0" fontId="15" fillId="22" borderId="3" xfId="0" applyFont="1" applyFill="1" applyBorder="1" applyAlignment="1">
      <alignment horizontal="center" vertical="top"/>
    </xf>
    <xf numFmtId="0" fontId="15" fillId="22" borderId="3" xfId="0" applyFont="1" applyFill="1" applyBorder="1" applyAlignment="1">
      <alignment horizontal="center" vertical="top" wrapText="1"/>
    </xf>
    <xf numFmtId="164" fontId="15" fillId="22" borderId="3" xfId="1" applyFont="1" applyFill="1" applyBorder="1" applyAlignment="1">
      <alignment horizontal="center" vertical="top"/>
    </xf>
    <xf numFmtId="10" fontId="18" fillId="22" borderId="3" xfId="2" applyNumberFormat="1" applyFont="1" applyFill="1" applyBorder="1" applyAlignment="1">
      <alignment horizontal="center" vertical="top" wrapText="1"/>
    </xf>
    <xf numFmtId="10" fontId="18" fillId="22" borderId="3" xfId="1" applyNumberFormat="1" applyFont="1" applyFill="1" applyBorder="1" applyAlignment="1">
      <alignment horizontal="center" vertical="top" wrapText="1"/>
    </xf>
    <xf numFmtId="10" fontId="20" fillId="22" borderId="3" xfId="2" applyNumberFormat="1" applyFont="1" applyFill="1" applyBorder="1" applyAlignment="1">
      <alignment horizontal="center" vertical="top" wrapText="1"/>
    </xf>
    <xf numFmtId="10" fontId="20" fillId="22" borderId="3" xfId="1" applyNumberFormat="1" applyFont="1" applyFill="1" applyBorder="1" applyAlignment="1">
      <alignment horizontal="center" vertical="top" wrapText="1"/>
    </xf>
    <xf numFmtId="164" fontId="20" fillId="2" borderId="3" xfId="1" applyFont="1" applyFill="1" applyBorder="1" applyAlignment="1">
      <alignment wrapText="1"/>
    </xf>
    <xf numFmtId="2" fontId="20" fillId="2" borderId="3" xfId="0" applyNumberFormat="1" applyFont="1" applyFill="1" applyBorder="1" applyAlignment="1">
      <alignment horizontal="right"/>
    </xf>
    <xf numFmtId="0" fontId="0" fillId="8" borderId="0" xfId="0" applyFill="1"/>
    <xf numFmtId="164" fontId="18" fillId="2" borderId="3" xfId="1" applyFont="1" applyFill="1" applyBorder="1" applyAlignment="1">
      <alignment horizontal="center"/>
    </xf>
    <xf numFmtId="10" fontId="20" fillId="2" borderId="0" xfId="2" applyNumberFormat="1" applyFont="1" applyFill="1" applyBorder="1" applyAlignment="1">
      <alignment horizontal="right" vertical="top" wrapText="1"/>
    </xf>
    <xf numFmtId="10" fontId="0" fillId="0" borderId="0" xfId="2" applyNumberFormat="1" applyFont="1" applyBorder="1"/>
    <xf numFmtId="0" fontId="0" fillId="23" borderId="0" xfId="0" applyFill="1"/>
    <xf numFmtId="0" fontId="0" fillId="14" borderId="0" xfId="0" applyFill="1"/>
    <xf numFmtId="0" fontId="2" fillId="0" borderId="0" xfId="0" applyFont="1"/>
    <xf numFmtId="4" fontId="20" fillId="2" borderId="3" xfId="10" applyNumberFormat="1" applyFont="1" applyFill="1" applyBorder="1" applyAlignment="1">
      <alignment vertical="top" wrapText="1"/>
    </xf>
    <xf numFmtId="164" fontId="45" fillId="2" borderId="0" xfId="1" applyFont="1" applyFill="1" applyBorder="1"/>
    <xf numFmtId="9" fontId="0" fillId="0" borderId="0" xfId="2" applyFont="1"/>
    <xf numFmtId="0" fontId="0" fillId="0" borderId="3" xfId="0" applyBorder="1"/>
    <xf numFmtId="10" fontId="0" fillId="0" borderId="3" xfId="2" applyNumberFormat="1" applyFont="1" applyBorder="1"/>
    <xf numFmtId="0" fontId="20" fillId="0" borderId="0" xfId="0" applyFont="1" applyAlignment="1">
      <alignment horizontal="center"/>
    </xf>
    <xf numFmtId="4" fontId="20" fillId="2" borderId="3" xfId="44" applyNumberFormat="1" applyFont="1" applyFill="1" applyBorder="1" applyAlignment="1">
      <alignment wrapText="1"/>
    </xf>
    <xf numFmtId="0" fontId="20" fillId="0" borderId="0" xfId="0" applyFont="1" applyAlignment="1">
      <alignment horizontal="center" vertical="center"/>
    </xf>
    <xf numFmtId="0" fontId="20" fillId="2" borderId="0" xfId="0" applyFont="1" applyFill="1" applyAlignment="1">
      <alignment horizontal="center"/>
    </xf>
    <xf numFmtId="4" fontId="20" fillId="0" borderId="3" xfId="0" applyNumberFormat="1" applyFont="1" applyBorder="1" applyAlignment="1">
      <alignment wrapText="1"/>
    </xf>
    <xf numFmtId="49" fontId="20" fillId="2" borderId="3" xfId="0" applyNumberFormat="1" applyFont="1" applyFill="1" applyBorder="1" applyAlignment="1">
      <alignment wrapText="1"/>
    </xf>
    <xf numFmtId="4" fontId="6" fillId="2" borderId="0" xfId="0" applyNumberFormat="1" applyFont="1" applyFill="1"/>
    <xf numFmtId="164" fontId="6" fillId="2" borderId="0" xfId="1" applyFont="1" applyFill="1" applyBorder="1" applyAlignment="1">
      <alignment horizontal="right" vertical="top" wrapText="1"/>
    </xf>
    <xf numFmtId="0" fontId="52" fillId="2" borderId="0" xfId="0" applyFont="1" applyFill="1" applyAlignment="1">
      <alignment horizontal="right"/>
    </xf>
    <xf numFmtId="16" fontId="46" fillId="2" borderId="0" xfId="0" applyNumberFormat="1" applyFont="1" applyFill="1"/>
    <xf numFmtId="0" fontId="11" fillId="2" borderId="0" xfId="0" applyFont="1" applyFill="1"/>
    <xf numFmtId="0" fontId="46" fillId="2" borderId="0" xfId="0" applyFont="1" applyFill="1" applyAlignment="1">
      <alignment horizontal="right"/>
    </xf>
    <xf numFmtId="164" fontId="47" fillId="2" borderId="0" xfId="1" applyFont="1" applyFill="1" applyBorder="1" applyAlignment="1">
      <alignment horizontal="right" vertical="top" wrapText="1"/>
    </xf>
    <xf numFmtId="4" fontId="47" fillId="2" borderId="0" xfId="0" applyNumberFormat="1" applyFont="1" applyFill="1" applyAlignment="1">
      <alignment horizontal="right"/>
    </xf>
    <xf numFmtId="164" fontId="11" fillId="2" borderId="0" xfId="1" applyFont="1" applyFill="1" applyBorder="1"/>
    <xf numFmtId="0" fontId="53" fillId="2" borderId="0" xfId="0" applyFont="1" applyFill="1" applyAlignment="1">
      <alignment horizontal="right"/>
    </xf>
    <xf numFmtId="16" fontId="53" fillId="2" borderId="0" xfId="0" applyNumberFormat="1" applyFont="1" applyFill="1" applyAlignment="1">
      <alignment horizontal="center" wrapText="1"/>
    </xf>
    <xf numFmtId="0" fontId="54" fillId="2" borderId="0" xfId="0" applyFont="1" applyFill="1"/>
    <xf numFmtId="0" fontId="53" fillId="2" borderId="0" xfId="0" applyFont="1" applyFill="1" applyAlignment="1">
      <alignment horizontal="right" wrapText="1"/>
    </xf>
    <xf numFmtId="4" fontId="55" fillId="2" borderId="0" xfId="0" applyNumberFormat="1" applyFont="1" applyFill="1"/>
    <xf numFmtId="4" fontId="55" fillId="2" borderId="0" xfId="0" applyNumberFormat="1" applyFont="1" applyFill="1" applyAlignment="1">
      <alignment horizontal="right"/>
    </xf>
    <xf numFmtId="164" fontId="55" fillId="2" borderId="0" xfId="1" applyFont="1" applyFill="1" applyBorder="1" applyAlignment="1">
      <alignment horizontal="right" vertical="top" wrapText="1"/>
    </xf>
    <xf numFmtId="0" fontId="56" fillId="2" borderId="0" xfId="0" applyFont="1" applyFill="1" applyAlignment="1">
      <alignment horizontal="right" wrapText="1"/>
    </xf>
    <xf numFmtId="164" fontId="13" fillId="2" borderId="0" xfId="1" applyFont="1" applyFill="1" applyBorder="1"/>
    <xf numFmtId="4" fontId="13" fillId="2" borderId="0" xfId="0" applyNumberFormat="1" applyFont="1" applyFill="1"/>
    <xf numFmtId="0" fontId="56" fillId="2" borderId="0" xfId="0" applyFont="1" applyFill="1" applyAlignment="1">
      <alignment horizontal="right"/>
    </xf>
    <xf numFmtId="4" fontId="13" fillId="2" borderId="0" xfId="0" applyNumberFormat="1" applyFont="1" applyFill="1" applyAlignment="1">
      <alignment horizontal="right"/>
    </xf>
    <xf numFmtId="164" fontId="13" fillId="2" borderId="0" xfId="1" applyFont="1" applyFill="1" applyBorder="1" applyAlignment="1">
      <alignment horizontal="right" vertical="top" wrapText="1"/>
    </xf>
    <xf numFmtId="0" fontId="57" fillId="0" borderId="0" xfId="0" applyFont="1"/>
    <xf numFmtId="0" fontId="51" fillId="0" borderId="0" xfId="0" applyFont="1"/>
    <xf numFmtId="16" fontId="58" fillId="2" borderId="0" xfId="0" applyNumberFormat="1" applyFont="1" applyFill="1"/>
    <xf numFmtId="164" fontId="59" fillId="0" borderId="0" xfId="1" applyFont="1"/>
    <xf numFmtId="43" fontId="59" fillId="0" borderId="0" xfId="0" applyNumberFormat="1" applyFont="1"/>
    <xf numFmtId="4" fontId="59" fillId="0" borderId="0" xfId="0" applyNumberFormat="1" applyFont="1"/>
    <xf numFmtId="10" fontId="20" fillId="2" borderId="1" xfId="2" applyNumberFormat="1" applyFont="1" applyFill="1" applyBorder="1" applyAlignment="1">
      <alignment horizontal="right" vertical="top" wrapText="1"/>
    </xf>
    <xf numFmtId="0" fontId="8" fillId="8" borderId="3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 wrapText="1"/>
    </xf>
    <xf numFmtId="0" fontId="27" fillId="13" borderId="3" xfId="0" applyFont="1" applyFill="1" applyBorder="1" applyAlignment="1">
      <alignment horizontal="center" wrapText="1"/>
    </xf>
    <xf numFmtId="0" fontId="27" fillId="8" borderId="3" xfId="0" applyFont="1" applyFill="1" applyBorder="1" applyAlignment="1">
      <alignment horizontal="center"/>
    </xf>
    <xf numFmtId="0" fontId="25" fillId="12" borderId="3" xfId="0" applyFont="1" applyFill="1" applyBorder="1" applyAlignment="1">
      <alignment horizontal="center"/>
    </xf>
    <xf numFmtId="0" fontId="19" fillId="8" borderId="3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/>
    </xf>
    <xf numFmtId="0" fontId="15" fillId="7" borderId="4" xfId="0" applyFont="1" applyFill="1" applyBorder="1" applyAlignment="1">
      <alignment horizontal="center" vertical="top" wrapText="1"/>
    </xf>
    <xf numFmtId="0" fontId="15" fillId="7" borderId="5" xfId="0" applyFont="1" applyFill="1" applyBorder="1" applyAlignment="1">
      <alignment horizontal="center" vertical="top" wrapText="1"/>
    </xf>
    <xf numFmtId="0" fontId="15" fillId="7" borderId="6" xfId="0" applyFont="1" applyFill="1" applyBorder="1" applyAlignment="1">
      <alignment horizontal="center" vertical="top" wrapText="1"/>
    </xf>
    <xf numFmtId="0" fontId="15" fillId="7" borderId="3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wrapText="1"/>
    </xf>
  </cellXfs>
  <cellStyles count="64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2" xfId="6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Normal 7" xfId="61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Percent 8" xfId="63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June 5,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261.16452799857979</c:v>
                </c:pt>
                <c:pt idx="1">
                  <c:v>5902.3299509160597</c:v>
                </c:pt>
                <c:pt idx="2">
                  <c:v>236.15950098094001</c:v>
                </c:pt>
                <c:pt idx="3">
                  <c:v>1829.4160716884446</c:v>
                </c:pt>
                <c:pt idx="4">
                  <c:v>509.44976096275997</c:v>
                </c:pt>
                <c:pt idx="5" formatCode="_-* #,##0.00_-;\-* #,##0.00_-;_-* &quot;-&quot;??_-;_-@_-">
                  <c:v>157.79460466674004</c:v>
                </c:pt>
                <c:pt idx="6">
                  <c:v>21.280346410980002</c:v>
                </c:pt>
                <c:pt idx="7">
                  <c:v>148.22298967809999</c:v>
                </c:pt>
                <c:pt idx="8">
                  <c:v>31.85095233109757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June 11,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256.76497819762449</c:v>
                </c:pt>
                <c:pt idx="1">
                  <c:v>5945.1952461204701</c:v>
                </c:pt>
                <c:pt idx="2">
                  <c:v>236.91658662281196</c:v>
                </c:pt>
                <c:pt idx="3">
                  <c:v>1830.6315702078184</c:v>
                </c:pt>
                <c:pt idx="4">
                  <c:v>509.81011898262</c:v>
                </c:pt>
                <c:pt idx="5" formatCode="_-* #,##0.00_-;\-* #,##0.00_-;_-* &quot;-&quot;??_-;_-@_-">
                  <c:v>157.64325564730001</c:v>
                </c:pt>
                <c:pt idx="6">
                  <c:v>21.26868564347</c:v>
                </c:pt>
                <c:pt idx="7">
                  <c:v>143.66365630506002</c:v>
                </c:pt>
                <c:pt idx="8">
                  <c:v>30.947010318115275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33180888"/>
        <c:axId val="333178928"/>
      </c:barChart>
      <c:catAx>
        <c:axId val="33318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3178928"/>
        <c:crosses val="autoZero"/>
        <c:auto val="1"/>
        <c:lblAlgn val="ctr"/>
        <c:lblOffset val="100"/>
        <c:noMultiLvlLbl val="0"/>
      </c:catAx>
      <c:valAx>
        <c:axId val="33317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333180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11TH JUNE,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11-Jun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EQUITY BASED FUNDS</c:v>
                </c:pt>
                <c:pt idx="5">
                  <c:v>BONDS/FIXED INCOME FUNDS</c:v>
                </c:pt>
                <c:pt idx="6">
                  <c:v>REAL ESTATE INVESTMENT TRUST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21268685643.470001</c:v>
                </c:pt>
                <c:pt idx="1">
                  <c:v>30947010318.115276</c:v>
                </c:pt>
                <c:pt idx="2">
                  <c:v>143663656305.06003</c:v>
                </c:pt>
                <c:pt idx="3" formatCode="_-* #,##0.00_-;\-* #,##0.00_-;_-* &quot;-&quot;??_-;_-@_-">
                  <c:v>157643255647.30002</c:v>
                </c:pt>
                <c:pt idx="4">
                  <c:v>256764978197.62451</c:v>
                </c:pt>
                <c:pt idx="5">
                  <c:v>236916586622.81195</c:v>
                </c:pt>
                <c:pt idx="6">
                  <c:v>509810118982.62</c:v>
                </c:pt>
                <c:pt idx="7">
                  <c:v>1830631570207.8184</c:v>
                </c:pt>
                <c:pt idx="8">
                  <c:v>5945195246120.4697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46136</c:v>
                </c:pt>
                <c:pt idx="1">
                  <c:v>46142</c:v>
                </c:pt>
                <c:pt idx="2">
                  <c:v>46150</c:v>
                </c:pt>
                <c:pt idx="3">
                  <c:v>46157</c:v>
                </c:pt>
                <c:pt idx="4">
                  <c:v>46164</c:v>
                </c:pt>
                <c:pt idx="5">
                  <c:v>46171</c:v>
                </c:pt>
                <c:pt idx="6">
                  <c:v>46178</c:v>
                </c:pt>
                <c:pt idx="7">
                  <c:v>46184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8768.912163579158</c:v>
                </c:pt>
                <c:pt idx="1">
                  <c:v>8856.6861092070776</c:v>
                </c:pt>
                <c:pt idx="2">
                  <c:v>8864.3846705940268</c:v>
                </c:pt>
                <c:pt idx="3">
                  <c:v>8907.3133261368821</c:v>
                </c:pt>
                <c:pt idx="4">
                  <c:v>8965.7623097914948</c:v>
                </c:pt>
                <c:pt idx="5">
                  <c:v>9018.1202536705168</c:v>
                </c:pt>
                <c:pt idx="6">
                  <c:v>9097.6687056337014</c:v>
                </c:pt>
                <c:pt idx="7">
                  <c:v>9132.8411080452915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1672"/>
        <c:axId val="338214560"/>
      </c:lineChart>
      <c:dateAx>
        <c:axId val="33318167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14560"/>
        <c:crosses val="autoZero"/>
        <c:auto val="1"/>
        <c:lblOffset val="100"/>
        <c:baseTimeUnit val="days"/>
      </c:dateAx>
      <c:valAx>
        <c:axId val="338214560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46136</c:v>
                </c:pt>
                <c:pt idx="1">
                  <c:v>46142</c:v>
                </c:pt>
                <c:pt idx="2">
                  <c:v>46150</c:v>
                </c:pt>
                <c:pt idx="3">
                  <c:v>46157</c:v>
                </c:pt>
                <c:pt idx="4">
                  <c:v>46164</c:v>
                </c:pt>
                <c:pt idx="5">
                  <c:v>46171</c:v>
                </c:pt>
                <c:pt idx="6">
                  <c:v>46178</c:v>
                </c:pt>
                <c:pt idx="7">
                  <c:v>46184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28.90522929934</c:v>
                </c:pt>
                <c:pt idx="1">
                  <c:v>30.630921333499995</c:v>
                </c:pt>
                <c:pt idx="2">
                  <c:v>30.807819494499999</c:v>
                </c:pt>
                <c:pt idx="3">
                  <c:v>31.798755539750001</c:v>
                </c:pt>
                <c:pt idx="4">
                  <c:v>31.648596766119997</c:v>
                </c:pt>
                <c:pt idx="5">
                  <c:v>31.957060014499998</c:v>
                </c:pt>
                <c:pt idx="6">
                  <c:v>31.023458333940003</c:v>
                </c:pt>
                <c:pt idx="7">
                  <c:v>31.276624002919995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8220832"/>
        <c:axId val="338217304"/>
      </c:lineChart>
      <c:dateAx>
        <c:axId val="33822083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17304"/>
        <c:crosses val="autoZero"/>
        <c:auto val="1"/>
        <c:lblOffset val="100"/>
        <c:baseTimeUnit val="days"/>
      </c:dateAx>
      <c:valAx>
        <c:axId val="338217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8220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DG276"/>
  <sheetViews>
    <sheetView tabSelected="1" zoomScale="130" zoomScaleNormal="130" workbookViewId="0">
      <pane xSplit="3" ySplit="14" topLeftCell="D15" activePane="bottomRight" state="frozen"/>
      <selection pane="topRight" activeCell="C1" sqref="C1"/>
      <selection pane="bottomLeft" activeCell="A12" sqref="A12"/>
      <selection pane="bottomRight" activeCell="A2" sqref="A2"/>
    </sheetView>
  </sheetViews>
  <sheetFormatPr defaultColWidth="9" defaultRowHeight="14.4"/>
  <cols>
    <col min="1" max="1" width="4.44140625" customWidth="1"/>
    <col min="2" max="2" width="31" customWidth="1"/>
    <col min="3" max="3" width="31.6640625" customWidth="1"/>
    <col min="4" max="4" width="17.33203125" customWidth="1"/>
    <col min="5" max="5" width="21" customWidth="1"/>
    <col min="11" max="11" width="11.44140625" customWidth="1"/>
    <col min="14" max="14" width="15.109375" customWidth="1"/>
    <col min="15" max="15" width="20.5546875" customWidth="1"/>
    <col min="18" max="20" width="10.109375" customWidth="1"/>
    <col min="21" max="21" width="11.6640625" customWidth="1"/>
    <col min="22" max="22" width="8.33203125" customWidth="1"/>
    <col min="23" max="23" width="9.109375" customWidth="1"/>
    <col min="26" max="26" width="9.33203125" customWidth="1"/>
    <col min="27" max="27" width="7.44140625" customWidth="1"/>
    <col min="28" max="28" width="6.5546875" customWidth="1"/>
    <col min="29" max="29" width="9.88671875" bestFit="1" customWidth="1"/>
    <col min="30" max="30" width="17.5546875" customWidth="1"/>
    <col min="31" max="31" width="11.33203125" customWidth="1"/>
    <col min="32" max="33" width="17.33203125" customWidth="1"/>
  </cols>
  <sheetData>
    <row r="1" spans="1:32" ht="27">
      <c r="A1" s="221" t="s">
        <v>343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  <c r="S1" s="221"/>
      <c r="T1" s="221"/>
      <c r="U1" s="221"/>
      <c r="V1" s="221"/>
      <c r="W1" s="221"/>
      <c r="X1" s="221"/>
      <c r="Y1" s="221"/>
      <c r="Z1" s="221"/>
      <c r="AA1" s="221"/>
      <c r="AB1" s="221"/>
    </row>
    <row r="2" spans="1:32" ht="14.4" customHeight="1">
      <c r="A2" s="56"/>
      <c r="B2" s="57"/>
      <c r="C2" s="58"/>
      <c r="D2" s="222" t="s">
        <v>340</v>
      </c>
      <c r="E2" s="223"/>
      <c r="F2" s="223"/>
      <c r="G2" s="223"/>
      <c r="H2" s="223"/>
      <c r="I2" s="223"/>
      <c r="J2" s="223"/>
      <c r="K2" s="223"/>
      <c r="L2" s="223"/>
      <c r="M2" s="224"/>
      <c r="N2" s="222" t="s">
        <v>344</v>
      </c>
      <c r="O2" s="223"/>
      <c r="P2" s="223"/>
      <c r="Q2" s="223"/>
      <c r="R2" s="223"/>
      <c r="S2" s="223"/>
      <c r="T2" s="223"/>
      <c r="U2" s="223"/>
      <c r="V2" s="223"/>
      <c r="W2" s="224"/>
      <c r="X2" s="225" t="s">
        <v>0</v>
      </c>
      <c r="Y2" s="225"/>
      <c r="Z2" s="225"/>
      <c r="AA2" s="225" t="s">
        <v>1</v>
      </c>
      <c r="AB2" s="225"/>
    </row>
    <row r="3" spans="1:32" ht="20.399999999999999">
      <c r="A3" s="155" t="s">
        <v>2</v>
      </c>
      <c r="B3" s="155" t="s">
        <v>3</v>
      </c>
      <c r="C3" s="156" t="s">
        <v>4</v>
      </c>
      <c r="D3" s="157" t="s">
        <v>328</v>
      </c>
      <c r="E3" s="157" t="s">
        <v>5</v>
      </c>
      <c r="F3" s="158" t="s">
        <v>6</v>
      </c>
      <c r="G3" s="158" t="s">
        <v>330</v>
      </c>
      <c r="H3" s="158" t="s">
        <v>11</v>
      </c>
      <c r="I3" s="158" t="s">
        <v>331</v>
      </c>
      <c r="J3" s="158" t="s">
        <v>7</v>
      </c>
      <c r="K3" s="158" t="s">
        <v>8</v>
      </c>
      <c r="L3" s="158" t="s">
        <v>9</v>
      </c>
      <c r="M3" s="158" t="s">
        <v>10</v>
      </c>
      <c r="N3" s="157" t="s">
        <v>328</v>
      </c>
      <c r="O3" s="159" t="s">
        <v>5</v>
      </c>
      <c r="P3" s="158" t="s">
        <v>6</v>
      </c>
      <c r="Q3" s="158" t="s">
        <v>330</v>
      </c>
      <c r="R3" s="158" t="s">
        <v>11</v>
      </c>
      <c r="S3" s="158" t="s">
        <v>331</v>
      </c>
      <c r="T3" s="158" t="s">
        <v>7</v>
      </c>
      <c r="U3" s="158" t="s">
        <v>8</v>
      </c>
      <c r="V3" s="158" t="s">
        <v>9</v>
      </c>
      <c r="W3" s="158" t="s">
        <v>10</v>
      </c>
      <c r="X3" s="157" t="s">
        <v>12</v>
      </c>
      <c r="Y3" s="158" t="s">
        <v>13</v>
      </c>
      <c r="Z3" s="158" t="s">
        <v>14</v>
      </c>
      <c r="AA3" s="158" t="s">
        <v>15</v>
      </c>
      <c r="AB3" s="158" t="s">
        <v>16</v>
      </c>
      <c r="AD3" s="52"/>
      <c r="AF3" s="50"/>
    </row>
    <row r="4" spans="1:32" ht="5.55" customHeight="1"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</row>
    <row r="5" spans="1:32" ht="15" customHeight="1">
      <c r="A5" s="166"/>
      <c r="B5" s="219" t="s">
        <v>17</v>
      </c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  <c r="T5" s="219"/>
      <c r="U5" s="219"/>
      <c r="V5" s="219"/>
      <c r="W5" s="219"/>
      <c r="X5" s="219"/>
      <c r="Y5" s="219"/>
      <c r="Z5" s="219"/>
      <c r="AA5" s="219"/>
      <c r="AB5" s="219"/>
    </row>
    <row r="6" spans="1:32">
      <c r="A6" s="180">
        <v>1</v>
      </c>
      <c r="B6" s="59" t="s">
        <v>18</v>
      </c>
      <c r="C6" s="60" t="s">
        <v>19</v>
      </c>
      <c r="D6" s="146" t="s">
        <v>329</v>
      </c>
      <c r="E6" s="61">
        <v>14621814052.459999</v>
      </c>
      <c r="F6" s="62">
        <f t="shared" ref="F6:F25" si="0">(E6/$E$26)</f>
        <v>5.5986983241994914E-2</v>
      </c>
      <c r="G6" s="146" t="s">
        <v>329</v>
      </c>
      <c r="H6" s="61">
        <v>910.57920000000001</v>
      </c>
      <c r="I6" s="146" t="s">
        <v>329</v>
      </c>
      <c r="J6" s="61">
        <v>915.62779999999998</v>
      </c>
      <c r="K6" s="63">
        <v>1705</v>
      </c>
      <c r="L6" s="64">
        <v>-2.1299999999999999E-2</v>
      </c>
      <c r="M6" s="64">
        <v>0.47120000000000001</v>
      </c>
      <c r="N6" s="146" t="s">
        <v>329</v>
      </c>
      <c r="O6" s="61">
        <v>14056427846.780001</v>
      </c>
      <c r="P6" s="62">
        <f t="shared" ref="P6:P25" si="1">(O6/$O$26)</f>
        <v>5.4744334470572455E-2</v>
      </c>
      <c r="Q6" s="146" t="s">
        <v>329</v>
      </c>
      <c r="R6" s="61">
        <v>904.54759999999999</v>
      </c>
      <c r="S6" s="146" t="s">
        <v>329</v>
      </c>
      <c r="T6" s="61">
        <v>912.39509999999996</v>
      </c>
      <c r="U6" s="63">
        <v>1705</v>
      </c>
      <c r="V6" s="64">
        <v>-6.6E-3</v>
      </c>
      <c r="W6" s="64">
        <v>0.46139999999999998</v>
      </c>
      <c r="X6" s="160">
        <f>((O6-E6)/E6)</f>
        <v>-3.8667309244359925E-2</v>
      </c>
      <c r="Y6" s="160">
        <f>((T6-J6)/J6)</f>
        <v>-3.5305830600600185E-3</v>
      </c>
      <c r="Z6" s="160">
        <f>((U6-K6)/K6)</f>
        <v>0</v>
      </c>
      <c r="AA6" s="160">
        <f>V6-L6</f>
        <v>1.47E-2</v>
      </c>
      <c r="AB6" s="161">
        <f>W6-M6</f>
        <v>-9.8000000000000309E-3</v>
      </c>
      <c r="AC6" s="45"/>
    </row>
    <row r="7" spans="1:32" ht="13.2" customHeight="1">
      <c r="A7" s="180">
        <v>2</v>
      </c>
      <c r="B7" s="59" t="s">
        <v>20</v>
      </c>
      <c r="C7" s="60" t="s">
        <v>21</v>
      </c>
      <c r="D7" s="146" t="s">
        <v>329</v>
      </c>
      <c r="E7" s="65">
        <v>2564725253.5799999</v>
      </c>
      <c r="F7" s="66">
        <f t="shared" si="0"/>
        <v>9.8203430352300624E-3</v>
      </c>
      <c r="G7" s="146" t="s">
        <v>329</v>
      </c>
      <c r="H7" s="65">
        <v>619.89819999999997</v>
      </c>
      <c r="I7" s="146" t="s">
        <v>329</v>
      </c>
      <c r="J7" s="65">
        <v>628.34400000000005</v>
      </c>
      <c r="K7" s="67">
        <v>824</v>
      </c>
      <c r="L7" s="68">
        <v>9.4289999999999999E-3</v>
      </c>
      <c r="M7" s="68">
        <v>0.51319999999999999</v>
      </c>
      <c r="N7" s="146" t="s">
        <v>329</v>
      </c>
      <c r="O7" s="65">
        <v>2548182952.25</v>
      </c>
      <c r="P7" s="66">
        <f t="shared" si="1"/>
        <v>9.924184248712992E-3</v>
      </c>
      <c r="Q7" s="146" t="s">
        <v>329</v>
      </c>
      <c r="R7" s="65">
        <v>616.19259999999997</v>
      </c>
      <c r="S7" s="146" t="s">
        <v>329</v>
      </c>
      <c r="T7" s="65">
        <v>624.58090000000004</v>
      </c>
      <c r="U7" s="67">
        <v>830</v>
      </c>
      <c r="V7" s="68">
        <v>9.4289999999999999E-3</v>
      </c>
      <c r="W7" s="68">
        <v>0.50419999999999998</v>
      </c>
      <c r="X7" s="162">
        <f t="shared" ref="X7:X26" si="2">((O7-E7)/E7)</f>
        <v>-6.4499311600371891E-3</v>
      </c>
      <c r="Y7" s="162">
        <f t="shared" ref="Y7:Y26" si="3">((T7-J7)/J7)</f>
        <v>-5.9889168990234776E-3</v>
      </c>
      <c r="Z7" s="162">
        <f t="shared" ref="Z7:Z26" si="4">((U7-K7)/K7)</f>
        <v>7.2815533980582527E-3</v>
      </c>
      <c r="AA7" s="160">
        <f t="shared" ref="AA7:AA26" si="5">V7-L7</f>
        <v>0</v>
      </c>
      <c r="AB7" s="161">
        <f t="shared" ref="AB7:AB26" si="6">W7-M7</f>
        <v>-9.000000000000008E-3</v>
      </c>
      <c r="AC7" s="53"/>
      <c r="AD7" s="50"/>
      <c r="AE7" s="50"/>
    </row>
    <row r="8" spans="1:32">
      <c r="A8" s="180">
        <v>3</v>
      </c>
      <c r="B8" s="59" t="s">
        <v>22</v>
      </c>
      <c r="C8" s="60" t="s">
        <v>23</v>
      </c>
      <c r="D8" s="146" t="s">
        <v>329</v>
      </c>
      <c r="E8" s="65">
        <v>20834406604.849998</v>
      </c>
      <c r="F8" s="66">
        <f t="shared" si="0"/>
        <v>7.9775024443454648E-2</v>
      </c>
      <c r="G8" s="146" t="s">
        <v>329</v>
      </c>
      <c r="H8" s="65">
        <v>76.374799999999993</v>
      </c>
      <c r="I8" s="146" t="s">
        <v>329</v>
      </c>
      <c r="J8" s="69">
        <v>78.677599999999998</v>
      </c>
      <c r="K8" s="63">
        <v>12256</v>
      </c>
      <c r="L8" s="64">
        <v>-2.8792706094672098E-2</v>
      </c>
      <c r="M8" s="64">
        <v>0.44202490812950762</v>
      </c>
      <c r="N8" s="146" t="s">
        <v>329</v>
      </c>
      <c r="O8" s="65">
        <v>20538053597.400002</v>
      </c>
      <c r="P8" s="66">
        <f t="shared" si="1"/>
        <v>7.9987752775195306E-2</v>
      </c>
      <c r="Q8" s="146" t="s">
        <v>329</v>
      </c>
      <c r="R8" s="65">
        <v>76.349400000000003</v>
      </c>
      <c r="S8" s="146" t="s">
        <v>329</v>
      </c>
      <c r="T8" s="69">
        <v>78.627643919999997</v>
      </c>
      <c r="U8" s="63">
        <v>12324</v>
      </c>
      <c r="V8" s="64">
        <v>-3.3099999999999997E-2</v>
      </c>
      <c r="W8" s="64">
        <v>0.44109999999999999</v>
      </c>
      <c r="X8" s="162">
        <f t="shared" si="2"/>
        <v>-1.422421156842593E-2</v>
      </c>
      <c r="Y8" s="162">
        <f t="shared" si="3"/>
        <v>-6.3494666842914857E-4</v>
      </c>
      <c r="Z8" s="162">
        <f t="shared" si="4"/>
        <v>5.5483028720626631E-3</v>
      </c>
      <c r="AA8" s="160">
        <f t="shared" si="5"/>
        <v>-4.3072939053278997E-3</v>
      </c>
      <c r="AB8" s="161">
        <f t="shared" si="6"/>
        <v>-9.2490812950762891E-4</v>
      </c>
      <c r="AC8" s="41"/>
      <c r="AD8" s="49"/>
      <c r="AE8" s="22"/>
      <c r="AF8" s="51"/>
    </row>
    <row r="9" spans="1:32">
      <c r="A9" s="180">
        <v>4</v>
      </c>
      <c r="B9" s="59" t="s">
        <v>24</v>
      </c>
      <c r="C9" s="60" t="s">
        <v>25</v>
      </c>
      <c r="D9" s="146" t="s">
        <v>329</v>
      </c>
      <c r="E9" s="65">
        <v>3269987543.3499999</v>
      </c>
      <c r="F9" s="66">
        <f t="shared" si="0"/>
        <v>1.2520795103413822E-2</v>
      </c>
      <c r="G9" s="146" t="s">
        <v>329</v>
      </c>
      <c r="H9" s="65">
        <v>373.06670000000003</v>
      </c>
      <c r="I9" s="146" t="s">
        <v>329</v>
      </c>
      <c r="J9" s="65">
        <v>373.06670000000003</v>
      </c>
      <c r="K9" s="67">
        <v>2696</v>
      </c>
      <c r="L9" s="68">
        <v>-2.0199999999999999E-2</v>
      </c>
      <c r="M9" s="68">
        <v>0.49070000000000003</v>
      </c>
      <c r="N9" s="146" t="s">
        <v>329</v>
      </c>
      <c r="O9" s="65">
        <v>3307242955.8000002</v>
      </c>
      <c r="P9" s="66">
        <f t="shared" si="1"/>
        <v>1.2880428549934531E-2</v>
      </c>
      <c r="Q9" s="146" t="s">
        <v>329</v>
      </c>
      <c r="R9" s="65">
        <v>374.05309999999997</v>
      </c>
      <c r="S9" s="146" t="s">
        <v>329</v>
      </c>
      <c r="T9" s="65">
        <v>374.05309999999997</v>
      </c>
      <c r="U9" s="67">
        <v>2701</v>
      </c>
      <c r="V9" s="68">
        <v>2.5999999999999999E-3</v>
      </c>
      <c r="W9" s="68">
        <v>0.49469999999999997</v>
      </c>
      <c r="X9" s="162">
        <f t="shared" si="2"/>
        <v>1.1393135893060095E-2</v>
      </c>
      <c r="Y9" s="162">
        <f t="shared" si="3"/>
        <v>2.6440312147933505E-3</v>
      </c>
      <c r="Z9" s="162">
        <f t="shared" si="4"/>
        <v>1.85459940652819E-3</v>
      </c>
      <c r="AA9" s="160">
        <f t="shared" si="5"/>
        <v>2.2800000000000001E-2</v>
      </c>
      <c r="AB9" s="161">
        <f t="shared" si="6"/>
        <v>3.999999999999948E-3</v>
      </c>
      <c r="AD9" s="41"/>
    </row>
    <row r="10" spans="1:32">
      <c r="A10" s="180">
        <v>5</v>
      </c>
      <c r="B10" s="59" t="s">
        <v>26</v>
      </c>
      <c r="C10" s="60" t="s">
        <v>27</v>
      </c>
      <c r="D10" s="146" t="s">
        <v>329</v>
      </c>
      <c r="E10" s="65">
        <v>12528872764</v>
      </c>
      <c r="F10" s="66">
        <f t="shared" si="0"/>
        <v>4.797310285594425E-2</v>
      </c>
      <c r="G10" s="146" t="s">
        <v>329</v>
      </c>
      <c r="H10" s="65">
        <v>2.9272999999999998</v>
      </c>
      <c r="I10" s="146" t="s">
        <v>329</v>
      </c>
      <c r="J10" s="65">
        <v>2.9626999999999999</v>
      </c>
      <c r="K10" s="67">
        <v>2705</v>
      </c>
      <c r="L10" s="68">
        <v>-2.4199999999999999E-2</v>
      </c>
      <c r="M10" s="68">
        <v>0.58209999999999995</v>
      </c>
      <c r="N10" s="146" t="s">
        <v>329</v>
      </c>
      <c r="O10" s="65">
        <v>12610519052.059999</v>
      </c>
      <c r="P10" s="66">
        <f t="shared" si="1"/>
        <v>4.9113080532166856E-2</v>
      </c>
      <c r="Q10" s="146" t="s">
        <v>329</v>
      </c>
      <c r="R10" s="65">
        <v>2.9327999999999999</v>
      </c>
      <c r="S10" s="146" t="s">
        <v>329</v>
      </c>
      <c r="T10" s="65">
        <v>2.9681000000000002</v>
      </c>
      <c r="U10" s="67">
        <v>2765</v>
      </c>
      <c r="V10" s="68">
        <v>8.0999999999999996E-3</v>
      </c>
      <c r="W10" s="68">
        <v>0.58509999999999995</v>
      </c>
      <c r="X10" s="162">
        <f t="shared" si="2"/>
        <v>6.5166507472722438E-3</v>
      </c>
      <c r="Y10" s="162">
        <f t="shared" si="3"/>
        <v>1.8226617612314084E-3</v>
      </c>
      <c r="Z10" s="162">
        <f t="shared" si="4"/>
        <v>2.2181146025878003E-2</v>
      </c>
      <c r="AA10" s="160">
        <f t="shared" si="5"/>
        <v>3.2299999999999995E-2</v>
      </c>
      <c r="AB10" s="161">
        <f t="shared" si="6"/>
        <v>3.0000000000000027E-3</v>
      </c>
    </row>
    <row r="11" spans="1:32" ht="12.6" customHeight="1">
      <c r="A11" s="180">
        <v>6</v>
      </c>
      <c r="B11" s="59" t="s">
        <v>28</v>
      </c>
      <c r="C11" s="60" t="s">
        <v>29</v>
      </c>
      <c r="D11" s="146" t="s">
        <v>329</v>
      </c>
      <c r="E11" s="70">
        <v>717446975.95000005</v>
      </c>
      <c r="F11" s="66">
        <f t="shared" si="0"/>
        <v>2.7471072792622951E-3</v>
      </c>
      <c r="G11" s="146" t="s">
        <v>329</v>
      </c>
      <c r="H11" s="65">
        <v>337.61180000000002</v>
      </c>
      <c r="I11" s="146" t="s">
        <v>329</v>
      </c>
      <c r="J11" s="65">
        <v>349.17469999999997</v>
      </c>
      <c r="K11" s="63">
        <v>227</v>
      </c>
      <c r="L11" s="64">
        <v>-5.0949999999999997E-3</v>
      </c>
      <c r="M11" s="64">
        <v>0.57679999999999998</v>
      </c>
      <c r="N11" s="146" t="s">
        <v>329</v>
      </c>
      <c r="O11" s="70">
        <v>718693826.33000004</v>
      </c>
      <c r="P11" s="66">
        <f t="shared" si="1"/>
        <v>2.7990336975661939E-3</v>
      </c>
      <c r="Q11" s="146" t="s">
        <v>329</v>
      </c>
      <c r="R11" s="65">
        <v>338.22890000000001</v>
      </c>
      <c r="S11" s="146" t="s">
        <v>329</v>
      </c>
      <c r="T11" s="65">
        <v>341.03179999999998</v>
      </c>
      <c r="U11" s="63">
        <v>231</v>
      </c>
      <c r="V11" s="64">
        <v>4.2999999999999999E-4</v>
      </c>
      <c r="W11" s="64">
        <v>0.57969999999999999</v>
      </c>
      <c r="X11" s="162">
        <f t="shared" si="2"/>
        <v>1.7378989971335388E-3</v>
      </c>
      <c r="Y11" s="162">
        <f t="shared" si="3"/>
        <v>-2.3320418117349275E-2</v>
      </c>
      <c r="Z11" s="162">
        <f t="shared" si="4"/>
        <v>1.7621145374449341E-2</v>
      </c>
      <c r="AA11" s="160">
        <f t="shared" si="5"/>
        <v>5.5249999999999995E-3</v>
      </c>
      <c r="AB11" s="161">
        <f t="shared" si="6"/>
        <v>2.9000000000000137E-3</v>
      </c>
    </row>
    <row r="12" spans="1:32" ht="12.6" customHeight="1">
      <c r="A12" s="180">
        <v>7</v>
      </c>
      <c r="B12" s="59" t="s">
        <v>318</v>
      </c>
      <c r="C12" s="60" t="s">
        <v>38</v>
      </c>
      <c r="D12" s="146" t="s">
        <v>329</v>
      </c>
      <c r="E12" s="71">
        <v>4303887327.21</v>
      </c>
      <c r="F12" s="66">
        <f t="shared" si="0"/>
        <v>1.6479601422875485E-2</v>
      </c>
      <c r="G12" s="146" t="s">
        <v>329</v>
      </c>
      <c r="H12" s="65">
        <v>8.35</v>
      </c>
      <c r="I12" s="146" t="s">
        <v>329</v>
      </c>
      <c r="J12" s="65">
        <v>8.35</v>
      </c>
      <c r="K12" s="67">
        <v>3822</v>
      </c>
      <c r="L12" s="68">
        <v>-5.8999999999999999E-3</v>
      </c>
      <c r="M12" s="68">
        <v>0.49320000000000003</v>
      </c>
      <c r="N12" s="146" t="s">
        <v>329</v>
      </c>
      <c r="O12" s="71">
        <v>4261404943.3400002</v>
      </c>
      <c r="P12" s="66">
        <f t="shared" si="1"/>
        <v>1.6596519405618165E-2</v>
      </c>
      <c r="Q12" s="146" t="s">
        <v>329</v>
      </c>
      <c r="R12" s="65">
        <v>8.2899999999999991</v>
      </c>
      <c r="S12" s="146" t="s">
        <v>329</v>
      </c>
      <c r="T12" s="65">
        <v>8.2899999999999991</v>
      </c>
      <c r="U12" s="67">
        <v>3823</v>
      </c>
      <c r="V12" s="68">
        <v>-1.3599999999999999E-2</v>
      </c>
      <c r="W12" s="68">
        <v>0.48170000000000002</v>
      </c>
      <c r="X12" s="162">
        <f>((O12-E12)/E12)</f>
        <v>-9.8707007503235772E-3</v>
      </c>
      <c r="Y12" s="162">
        <f>((T12-J12)/J12)</f>
        <v>-7.1856287425150298E-3</v>
      </c>
      <c r="Z12" s="162">
        <f>((U12-K12)/K12)</f>
        <v>2.6164311878597594E-4</v>
      </c>
      <c r="AA12" s="160">
        <f>V12-L12</f>
        <v>-7.6999999999999994E-3</v>
      </c>
      <c r="AB12" s="161">
        <f>W12-M12</f>
        <v>-1.150000000000001E-2</v>
      </c>
    </row>
    <row r="13" spans="1:32">
      <c r="A13" s="180">
        <v>8</v>
      </c>
      <c r="B13" s="59" t="s">
        <v>320</v>
      </c>
      <c r="C13" s="60" t="s">
        <v>79</v>
      </c>
      <c r="D13" s="146" t="s">
        <v>329</v>
      </c>
      <c r="E13" s="70">
        <v>6927873872.6700001</v>
      </c>
      <c r="F13" s="66">
        <f t="shared" si="0"/>
        <v>2.6526856176684429E-2</v>
      </c>
      <c r="G13" s="146" t="s">
        <v>329</v>
      </c>
      <c r="H13" s="65">
        <v>635.9</v>
      </c>
      <c r="I13" s="146" t="s">
        <v>329</v>
      </c>
      <c r="J13" s="65">
        <v>644.59</v>
      </c>
      <c r="K13" s="63">
        <v>2162</v>
      </c>
      <c r="L13" s="64">
        <v>-1.47E-2</v>
      </c>
      <c r="M13" s="64">
        <v>0.40279999999999999</v>
      </c>
      <c r="N13" s="146" t="s">
        <v>329</v>
      </c>
      <c r="O13" s="70">
        <v>7010845254.1800003</v>
      </c>
      <c r="P13" s="66">
        <f t="shared" si="1"/>
        <v>2.7304523005407526E-2</v>
      </c>
      <c r="Q13" s="146" t="s">
        <v>329</v>
      </c>
      <c r="R13" s="65">
        <v>635.12</v>
      </c>
      <c r="S13" s="146" t="s">
        <v>329</v>
      </c>
      <c r="T13" s="65">
        <v>643.66999999999996</v>
      </c>
      <c r="U13" s="63">
        <v>2171</v>
      </c>
      <c r="V13" s="64">
        <v>-1.2999999999999999E-3</v>
      </c>
      <c r="W13" s="64">
        <v>0.40100000000000002</v>
      </c>
      <c r="X13" s="162">
        <f t="shared" si="2"/>
        <v>1.1976456707348093E-2</v>
      </c>
      <c r="Y13" s="162">
        <f t="shared" si="3"/>
        <v>-1.4272638421323209E-3</v>
      </c>
      <c r="Z13" s="162">
        <f t="shared" si="4"/>
        <v>4.1628122109158188E-3</v>
      </c>
      <c r="AA13" s="160">
        <f t="shared" si="5"/>
        <v>1.3399999999999999E-2</v>
      </c>
      <c r="AB13" s="161">
        <f t="shared" si="6"/>
        <v>-1.7999999999999683E-3</v>
      </c>
      <c r="AC13" s="41"/>
      <c r="AD13" s="41"/>
      <c r="AE13" s="121"/>
    </row>
    <row r="14" spans="1:32" ht="14.4" customHeight="1">
      <c r="A14" s="180">
        <v>9</v>
      </c>
      <c r="B14" s="59" t="s">
        <v>30</v>
      </c>
      <c r="C14" s="60" t="s">
        <v>31</v>
      </c>
      <c r="D14" s="146" t="s">
        <v>329</v>
      </c>
      <c r="E14" s="71">
        <v>639847627.50999999</v>
      </c>
      <c r="F14" s="66">
        <f t="shared" si="0"/>
        <v>2.4499790703333166E-3</v>
      </c>
      <c r="G14" s="146" t="s">
        <v>329</v>
      </c>
      <c r="H14" s="65">
        <v>319.12</v>
      </c>
      <c r="I14" s="146" t="s">
        <v>329</v>
      </c>
      <c r="J14" s="65">
        <v>333.19</v>
      </c>
      <c r="K14" s="67">
        <v>2472</v>
      </c>
      <c r="L14" s="68">
        <v>8.5000000000000006E-3</v>
      </c>
      <c r="M14" s="68">
        <v>0.27800000000000002</v>
      </c>
      <c r="N14" s="146" t="s">
        <v>329</v>
      </c>
      <c r="O14" s="71">
        <v>641647694.60000002</v>
      </c>
      <c r="P14" s="66">
        <f t="shared" si="1"/>
        <v>2.4989688979551662E-3</v>
      </c>
      <c r="Q14" s="146" t="s">
        <v>329</v>
      </c>
      <c r="R14" s="65">
        <v>319.12</v>
      </c>
      <c r="S14" s="146" t="s">
        <v>329</v>
      </c>
      <c r="T14" s="65">
        <v>334.12</v>
      </c>
      <c r="U14" s="67">
        <v>2472</v>
      </c>
      <c r="V14" s="68">
        <v>8.5000000000000006E-3</v>
      </c>
      <c r="W14" s="68">
        <v>0.27800000000000002</v>
      </c>
      <c r="X14" s="162">
        <f t="shared" si="2"/>
        <v>2.8132746182166638E-3</v>
      </c>
      <c r="Y14" s="162">
        <f t="shared" si="3"/>
        <v>2.7912002160929406E-3</v>
      </c>
      <c r="Z14" s="162">
        <f t="shared" si="4"/>
        <v>0</v>
      </c>
      <c r="AA14" s="160">
        <f t="shared" si="5"/>
        <v>0</v>
      </c>
      <c r="AB14" s="161">
        <f t="shared" si="6"/>
        <v>0</v>
      </c>
      <c r="AE14" s="121"/>
    </row>
    <row r="15" spans="1:32">
      <c r="A15" s="180">
        <v>10</v>
      </c>
      <c r="B15" s="59" t="s">
        <v>32</v>
      </c>
      <c r="C15" s="60" t="s">
        <v>33</v>
      </c>
      <c r="D15" s="146" t="s">
        <v>329</v>
      </c>
      <c r="E15" s="71">
        <v>162526063.5298</v>
      </c>
      <c r="F15" s="66">
        <f t="shared" si="0"/>
        <v>6.2231293344203241E-4</v>
      </c>
      <c r="G15" s="146" t="s">
        <v>329</v>
      </c>
      <c r="H15" s="65">
        <v>519.18859999999995</v>
      </c>
      <c r="I15" s="146" t="s">
        <v>329</v>
      </c>
      <c r="J15" s="65">
        <v>535.11569999999995</v>
      </c>
      <c r="K15" s="67">
        <v>34</v>
      </c>
      <c r="L15" s="68">
        <v>-3.5000000000000001E-3</v>
      </c>
      <c r="M15" s="68">
        <v>0.63700000000000001</v>
      </c>
      <c r="N15" s="146" t="s">
        <v>329</v>
      </c>
      <c r="O15" s="71">
        <v>173127403.79449999</v>
      </c>
      <c r="P15" s="66">
        <f t="shared" si="1"/>
        <v>6.7426408776530603E-4</v>
      </c>
      <c r="Q15" s="146" t="s">
        <v>329</v>
      </c>
      <c r="R15" s="65">
        <v>519.60810000000004</v>
      </c>
      <c r="S15" s="146" t="s">
        <v>329</v>
      </c>
      <c r="T15" s="65">
        <v>534.64070000000004</v>
      </c>
      <c r="U15" s="67">
        <v>56</v>
      </c>
      <c r="V15" s="68">
        <v>-1E-4</v>
      </c>
      <c r="W15" s="68">
        <v>0.63680000000000003</v>
      </c>
      <c r="X15" s="162">
        <f t="shared" si="2"/>
        <v>6.5228554943473321E-2</v>
      </c>
      <c r="Y15" s="162">
        <f t="shared" si="3"/>
        <v>-8.8765850076891618E-4</v>
      </c>
      <c r="Z15" s="162">
        <f t="shared" si="4"/>
        <v>0.6470588235294118</v>
      </c>
      <c r="AA15" s="160">
        <f t="shared" si="5"/>
        <v>3.4000000000000002E-3</v>
      </c>
      <c r="AB15" s="161">
        <f t="shared" si="6"/>
        <v>-1.9999999999997797E-4</v>
      </c>
    </row>
    <row r="16" spans="1:32" ht="14.25" customHeight="1">
      <c r="A16" s="180">
        <v>11</v>
      </c>
      <c r="B16" s="59" t="s">
        <v>34</v>
      </c>
      <c r="C16" s="60" t="s">
        <v>35</v>
      </c>
      <c r="D16" s="146" t="s">
        <v>329</v>
      </c>
      <c r="E16" s="71">
        <v>23972980414.310001</v>
      </c>
      <c r="F16" s="66">
        <f t="shared" si="0"/>
        <v>9.1792635845402273E-2</v>
      </c>
      <c r="G16" s="146" t="s">
        <v>329</v>
      </c>
      <c r="H16" s="65">
        <v>5.9196</v>
      </c>
      <c r="I16" s="146" t="s">
        <v>329</v>
      </c>
      <c r="J16" s="65">
        <v>5.9752000000000001</v>
      </c>
      <c r="K16" s="67">
        <v>11763</v>
      </c>
      <c r="L16" s="68">
        <v>-1.8499999999999999E-2</v>
      </c>
      <c r="M16" s="68">
        <v>0.4879</v>
      </c>
      <c r="N16" s="146" t="s">
        <v>329</v>
      </c>
      <c r="O16" s="71">
        <v>23297724369.650002</v>
      </c>
      <c r="P16" s="66">
        <f t="shared" si="1"/>
        <v>9.0735600054141427E-2</v>
      </c>
      <c r="Q16" s="146" t="s">
        <v>329</v>
      </c>
      <c r="R16" s="65">
        <v>5.8109999999999999</v>
      </c>
      <c r="S16" s="146" t="s">
        <v>329</v>
      </c>
      <c r="T16" s="65">
        <v>5.8696999999999999</v>
      </c>
      <c r="U16" s="67">
        <v>12026</v>
      </c>
      <c r="V16" s="68">
        <v>-3.6499999999999998E-2</v>
      </c>
      <c r="W16" s="68">
        <v>0.46060000000000001</v>
      </c>
      <c r="X16" s="162">
        <f t="shared" si="2"/>
        <v>-2.8167379816358779E-2</v>
      </c>
      <c r="Y16" s="162">
        <f t="shared" si="3"/>
        <v>-1.7656312759405567E-2</v>
      </c>
      <c r="Z16" s="162">
        <f t="shared" si="4"/>
        <v>2.2358241945082038E-2</v>
      </c>
      <c r="AA16" s="160">
        <f t="shared" si="5"/>
        <v>-1.7999999999999999E-2</v>
      </c>
      <c r="AB16" s="161">
        <f t="shared" si="6"/>
        <v>-2.7299999999999991E-2</v>
      </c>
      <c r="AD16" s="50"/>
    </row>
    <row r="17" spans="1:33" ht="14.25" customHeight="1">
      <c r="A17" s="180">
        <v>12</v>
      </c>
      <c r="B17" s="59" t="s">
        <v>36</v>
      </c>
      <c r="C17" s="60" t="s">
        <v>37</v>
      </c>
      <c r="D17" s="146" t="s">
        <v>329</v>
      </c>
      <c r="E17" s="71">
        <v>529289001.17000002</v>
      </c>
      <c r="F17" s="66">
        <f t="shared" si="0"/>
        <v>2.0266496573105759E-3</v>
      </c>
      <c r="G17" s="146" t="s">
        <v>329</v>
      </c>
      <c r="H17" s="65">
        <v>46.97</v>
      </c>
      <c r="I17" s="146" t="s">
        <v>329</v>
      </c>
      <c r="J17" s="65">
        <v>47.37</v>
      </c>
      <c r="K17" s="67">
        <v>125</v>
      </c>
      <c r="L17" s="68">
        <v>-0.01</v>
      </c>
      <c r="M17" s="68">
        <v>0.85</v>
      </c>
      <c r="N17" s="146" t="s">
        <v>329</v>
      </c>
      <c r="O17" s="71">
        <v>542860043.29999995</v>
      </c>
      <c r="P17" s="66">
        <f t="shared" si="1"/>
        <v>2.1142293123876748E-3</v>
      </c>
      <c r="Q17" s="146" t="s">
        <v>329</v>
      </c>
      <c r="R17" s="65">
        <v>46.98</v>
      </c>
      <c r="S17" s="146" t="s">
        <v>329</v>
      </c>
      <c r="T17" s="65">
        <v>47.39</v>
      </c>
      <c r="U17" s="67">
        <v>125</v>
      </c>
      <c r="V17" s="68">
        <v>0.01</v>
      </c>
      <c r="W17" s="68">
        <v>0.75280000000000002</v>
      </c>
      <c r="X17" s="162">
        <f t="shared" ref="X17" si="7">((O17-E17)/E17)</f>
        <v>2.5640136296051826E-2</v>
      </c>
      <c r="Y17" s="162">
        <f t="shared" ref="Y17" si="8">((T17-J17)/J17)</f>
        <v>4.2220814861733435E-4</v>
      </c>
      <c r="Z17" s="162">
        <f t="shared" ref="Z17" si="9">((U17-K17)/K17)</f>
        <v>0</v>
      </c>
      <c r="AA17" s="160">
        <f t="shared" ref="AA17" si="10">V17-L17</f>
        <v>0.02</v>
      </c>
      <c r="AB17" s="161">
        <f t="shared" ref="AB17" si="11">W17-M17</f>
        <v>-9.7199999999999953E-2</v>
      </c>
      <c r="AD17" s="41"/>
    </row>
    <row r="18" spans="1:33">
      <c r="A18" s="180">
        <v>13</v>
      </c>
      <c r="B18" s="59" t="s">
        <v>39</v>
      </c>
      <c r="C18" s="60" t="s">
        <v>40</v>
      </c>
      <c r="D18" s="146" t="s">
        <v>329</v>
      </c>
      <c r="E18" s="65">
        <v>11121755143.299999</v>
      </c>
      <c r="F18" s="66">
        <f t="shared" si="0"/>
        <v>4.258524397831117E-2</v>
      </c>
      <c r="G18" s="146" t="s">
        <v>329</v>
      </c>
      <c r="H18" s="65">
        <v>47.32</v>
      </c>
      <c r="I18" s="146" t="s">
        <v>329</v>
      </c>
      <c r="J18" s="65">
        <v>47.58</v>
      </c>
      <c r="K18" s="67">
        <v>2381</v>
      </c>
      <c r="L18" s="68">
        <v>-3.5099999999999999E-2</v>
      </c>
      <c r="M18" s="68">
        <v>0.53159999999999996</v>
      </c>
      <c r="N18" s="146" t="s">
        <v>329</v>
      </c>
      <c r="O18" s="65">
        <v>10885224869.860001</v>
      </c>
      <c r="P18" s="66">
        <f t="shared" si="1"/>
        <v>4.2393728873265424E-2</v>
      </c>
      <c r="Q18" s="146" t="s">
        <v>329</v>
      </c>
      <c r="R18" s="65">
        <v>47.45</v>
      </c>
      <c r="S18" s="146" t="s">
        <v>329</v>
      </c>
      <c r="T18" s="65">
        <v>47.73</v>
      </c>
      <c r="U18" s="67">
        <v>2387</v>
      </c>
      <c r="V18" s="68">
        <v>-8.0000000000000004E-4</v>
      </c>
      <c r="W18" s="68">
        <v>0.53559999999999997</v>
      </c>
      <c r="X18" s="162">
        <f t="shared" si="2"/>
        <v>-2.1267351276159852E-2</v>
      </c>
      <c r="Y18" s="162">
        <f t="shared" si="3"/>
        <v>3.1525851197982046E-3</v>
      </c>
      <c r="Z18" s="162">
        <f t="shared" si="4"/>
        <v>2.51994960100798E-3</v>
      </c>
      <c r="AA18" s="160">
        <f t="shared" si="5"/>
        <v>3.4299999999999997E-2</v>
      </c>
      <c r="AB18" s="161">
        <f t="shared" si="6"/>
        <v>4.0000000000000036E-3</v>
      </c>
      <c r="AE18" s="50"/>
    </row>
    <row r="19" spans="1:33">
      <c r="A19" s="180">
        <v>14</v>
      </c>
      <c r="B19" s="59" t="s">
        <v>41</v>
      </c>
      <c r="C19" s="60" t="s">
        <v>42</v>
      </c>
      <c r="D19" s="146" t="s">
        <v>329</v>
      </c>
      <c r="E19" s="65">
        <v>389997259.70999998</v>
      </c>
      <c r="F19" s="66">
        <f t="shared" si="0"/>
        <v>1.4933010340214378E-3</v>
      </c>
      <c r="G19" s="146" t="s">
        <v>329</v>
      </c>
      <c r="H19" s="65">
        <v>3.34</v>
      </c>
      <c r="I19" s="146" t="s">
        <v>329</v>
      </c>
      <c r="J19" s="65">
        <v>3.4</v>
      </c>
      <c r="K19" s="67">
        <v>44</v>
      </c>
      <c r="L19" s="68">
        <v>-1.4492753623188482E-2</v>
      </c>
      <c r="M19" s="68">
        <v>0.58878504672897181</v>
      </c>
      <c r="N19" s="146" t="s">
        <v>329</v>
      </c>
      <c r="O19" s="65">
        <v>387519244.76999998</v>
      </c>
      <c r="P19" s="66">
        <f t="shared" si="1"/>
        <v>1.509237153330692E-3</v>
      </c>
      <c r="Q19" s="146" t="s">
        <v>329</v>
      </c>
      <c r="R19" s="65">
        <v>3.32</v>
      </c>
      <c r="S19" s="146" t="s">
        <v>329</v>
      </c>
      <c r="T19" s="65">
        <v>3.37</v>
      </c>
      <c r="U19" s="67">
        <v>45</v>
      </c>
      <c r="V19" s="68">
        <v>-8.8000000000000005E-3</v>
      </c>
      <c r="W19" s="68">
        <v>6.7999999999999996E-3</v>
      </c>
      <c r="X19" s="162">
        <f t="shared" si="2"/>
        <v>-6.3539291066881786E-3</v>
      </c>
      <c r="Y19" s="162">
        <f t="shared" si="3"/>
        <v>-8.8235294117646485E-3</v>
      </c>
      <c r="Z19" s="162">
        <f t="shared" si="4"/>
        <v>2.2727272727272728E-2</v>
      </c>
      <c r="AA19" s="160">
        <f t="shared" si="5"/>
        <v>5.6927536231884818E-3</v>
      </c>
      <c r="AB19" s="161">
        <f t="shared" si="6"/>
        <v>-0.58198504672897178</v>
      </c>
      <c r="AD19" s="41"/>
      <c r="AE19" s="41"/>
    </row>
    <row r="20" spans="1:33">
      <c r="A20" s="180">
        <v>15</v>
      </c>
      <c r="B20" s="59" t="s">
        <v>43</v>
      </c>
      <c r="C20" s="60" t="s">
        <v>44</v>
      </c>
      <c r="D20" s="146" t="s">
        <v>329</v>
      </c>
      <c r="E20" s="72">
        <v>24961051790</v>
      </c>
      <c r="F20" s="66">
        <f t="shared" si="0"/>
        <v>9.557596501059186E-2</v>
      </c>
      <c r="G20" s="146" t="s">
        <v>329</v>
      </c>
      <c r="H20" s="65">
        <v>76.150000000000006</v>
      </c>
      <c r="I20" s="146" t="s">
        <v>329</v>
      </c>
      <c r="J20" s="65">
        <v>76.44</v>
      </c>
      <c r="K20" s="67">
        <v>19694</v>
      </c>
      <c r="L20" s="68">
        <v>4.65E-2</v>
      </c>
      <c r="M20" s="68">
        <v>0.60440000000000005</v>
      </c>
      <c r="N20" s="146" t="s">
        <v>329</v>
      </c>
      <c r="O20" s="72">
        <v>24961051790</v>
      </c>
      <c r="P20" s="66">
        <f t="shared" si="1"/>
        <v>9.7213615210358664E-2</v>
      </c>
      <c r="Q20" s="146" t="s">
        <v>329</v>
      </c>
      <c r="R20" s="65">
        <v>76.150000000000006</v>
      </c>
      <c r="S20" s="146" t="s">
        <v>329</v>
      </c>
      <c r="T20" s="65">
        <v>76.44</v>
      </c>
      <c r="U20" s="67">
        <v>19694</v>
      </c>
      <c r="V20" s="68">
        <v>4.65E-2</v>
      </c>
      <c r="W20" s="68">
        <v>0.60440000000000005</v>
      </c>
      <c r="X20" s="162">
        <f t="shared" si="2"/>
        <v>0</v>
      </c>
      <c r="Y20" s="162">
        <f t="shared" si="3"/>
        <v>0</v>
      </c>
      <c r="Z20" s="162">
        <f t="shared" si="4"/>
        <v>0</v>
      </c>
      <c r="AA20" s="160">
        <f t="shared" si="5"/>
        <v>0</v>
      </c>
      <c r="AB20" s="161">
        <f t="shared" si="6"/>
        <v>0</v>
      </c>
    </row>
    <row r="21" spans="1:33" ht="12.75" customHeight="1">
      <c r="A21" s="180">
        <v>16</v>
      </c>
      <c r="B21" s="59" t="s">
        <v>45</v>
      </c>
      <c r="C21" s="60" t="s">
        <v>46</v>
      </c>
      <c r="D21" s="146" t="s">
        <v>329</v>
      </c>
      <c r="E21" s="65">
        <v>5190013856.8599997</v>
      </c>
      <c r="F21" s="66">
        <f t="shared" si="0"/>
        <v>1.9872583373528516E-2</v>
      </c>
      <c r="G21" s="146" t="s">
        <v>329</v>
      </c>
      <c r="H21" s="65">
        <v>17809.64</v>
      </c>
      <c r="I21" s="146" t="s">
        <v>329</v>
      </c>
      <c r="J21" s="65">
        <v>18063.099999999999</v>
      </c>
      <c r="K21" s="67">
        <v>83</v>
      </c>
      <c r="L21" s="68">
        <v>-1.7999999999999999E-2</v>
      </c>
      <c r="M21" s="68">
        <v>0.40439999999999998</v>
      </c>
      <c r="N21" s="146" t="s">
        <v>329</v>
      </c>
      <c r="O21" s="65">
        <v>4888127462.0600004</v>
      </c>
      <c r="P21" s="66">
        <f t="shared" si="1"/>
        <v>1.9037360532470092E-2</v>
      </c>
      <c r="Q21" s="146" t="s">
        <v>329</v>
      </c>
      <c r="R21" s="65">
        <v>17476.89</v>
      </c>
      <c r="S21" s="146" t="s">
        <v>329</v>
      </c>
      <c r="T21" s="65">
        <v>17735.78</v>
      </c>
      <c r="U21" s="67">
        <v>85</v>
      </c>
      <c r="V21" s="68">
        <v>-1.8100000000000002E-2</v>
      </c>
      <c r="W21" s="68">
        <v>0.379</v>
      </c>
      <c r="X21" s="162">
        <f t="shared" si="2"/>
        <v>-5.8166780113886429E-2</v>
      </c>
      <c r="Y21" s="162">
        <f t="shared" si="3"/>
        <v>-1.8120920550736018E-2</v>
      </c>
      <c r="Z21" s="162">
        <f t="shared" si="4"/>
        <v>2.4096385542168676E-2</v>
      </c>
      <c r="AA21" s="160">
        <f t="shared" si="5"/>
        <v>-1.0000000000000286E-4</v>
      </c>
      <c r="AB21" s="161">
        <f t="shared" si="6"/>
        <v>-2.5399999999999978E-2</v>
      </c>
      <c r="AD21" s="41"/>
    </row>
    <row r="22" spans="1:33">
      <c r="A22" s="180">
        <v>17</v>
      </c>
      <c r="B22" s="59" t="s">
        <v>47</v>
      </c>
      <c r="C22" s="60" t="s">
        <v>46</v>
      </c>
      <c r="D22" s="146" t="s">
        <v>329</v>
      </c>
      <c r="E22" s="65">
        <v>76228693583.679993</v>
      </c>
      <c r="F22" s="66">
        <f t="shared" si="0"/>
        <v>0.29187996611888473</v>
      </c>
      <c r="G22" s="146" t="s">
        <v>329</v>
      </c>
      <c r="H22" s="65">
        <v>63432.5</v>
      </c>
      <c r="I22" s="146" t="s">
        <v>329</v>
      </c>
      <c r="J22" s="65">
        <v>64211.62</v>
      </c>
      <c r="K22" s="67">
        <v>32139</v>
      </c>
      <c r="L22" s="68">
        <v>-1.8700000000000001E-2</v>
      </c>
      <c r="M22" s="68">
        <v>0.48370000000000002</v>
      </c>
      <c r="N22" s="146" t="s">
        <v>329</v>
      </c>
      <c r="O22" s="65">
        <v>75039054148.970001</v>
      </c>
      <c r="P22" s="66">
        <f t="shared" si="1"/>
        <v>0.29224801090752583</v>
      </c>
      <c r="Q22" s="146" t="s">
        <v>329</v>
      </c>
      <c r="R22" s="65">
        <v>62898.25</v>
      </c>
      <c r="S22" s="146" t="s">
        <v>329</v>
      </c>
      <c r="T22" s="65">
        <v>63686.44</v>
      </c>
      <c r="U22" s="67">
        <v>32505</v>
      </c>
      <c r="V22" s="68">
        <v>-8.0999999999999996E-3</v>
      </c>
      <c r="W22" s="68">
        <v>0.47160000000000002</v>
      </c>
      <c r="X22" s="162">
        <f t="shared" si="2"/>
        <v>-1.5606189464654351E-2</v>
      </c>
      <c r="Y22" s="162">
        <f t="shared" si="3"/>
        <v>-8.1788934775356894E-3</v>
      </c>
      <c r="Z22" s="162">
        <f t="shared" si="4"/>
        <v>1.1388033230654345E-2</v>
      </c>
      <c r="AA22" s="160">
        <f t="shared" si="5"/>
        <v>1.0600000000000002E-2</v>
      </c>
      <c r="AB22" s="161">
        <f t="shared" si="6"/>
        <v>-1.21E-2</v>
      </c>
    </row>
    <row r="23" spans="1:33">
      <c r="A23" s="180">
        <v>18</v>
      </c>
      <c r="B23" s="60" t="s">
        <v>48</v>
      </c>
      <c r="C23" s="60" t="s">
        <v>49</v>
      </c>
      <c r="D23" s="146" t="s">
        <v>329</v>
      </c>
      <c r="E23" s="65">
        <v>18194255181.5</v>
      </c>
      <c r="F23" s="66">
        <f t="shared" si="0"/>
        <v>6.9665874308929648E-2</v>
      </c>
      <c r="G23" s="146" t="s">
        <v>329</v>
      </c>
      <c r="H23" s="65">
        <v>2.7990200000000001</v>
      </c>
      <c r="I23" s="146" t="s">
        <v>329</v>
      </c>
      <c r="J23" s="73">
        <v>2.8251599999999999</v>
      </c>
      <c r="K23" s="67">
        <v>8779</v>
      </c>
      <c r="L23" s="68">
        <v>-1.9E-3</v>
      </c>
      <c r="M23" s="68">
        <v>0.45610000000000001</v>
      </c>
      <c r="N23" s="146" t="s">
        <v>329</v>
      </c>
      <c r="O23" s="65">
        <v>18302850707.610001</v>
      </c>
      <c r="P23" s="66">
        <f t="shared" si="1"/>
        <v>7.1282504475835604E-2</v>
      </c>
      <c r="Q23" s="146" t="s">
        <v>329</v>
      </c>
      <c r="R23" s="65">
        <v>2.75278</v>
      </c>
      <c r="S23" s="146" t="s">
        <v>329</v>
      </c>
      <c r="T23" s="73">
        <v>2.77854</v>
      </c>
      <c r="U23" s="67">
        <v>9086</v>
      </c>
      <c r="V23" s="68">
        <v>-2.8999999999999998E-3</v>
      </c>
      <c r="W23" s="68">
        <v>0.432</v>
      </c>
      <c r="X23" s="162">
        <f t="shared" ref="X23:X24" si="12">((O23-E23)/E23)</f>
        <v>5.9686711561801678E-3</v>
      </c>
      <c r="Y23" s="162">
        <f t="shared" ref="Y23:Y24" si="13">((T23-J23)/J23)</f>
        <v>-1.6501720256551802E-2</v>
      </c>
      <c r="Z23" s="162">
        <f t="shared" ref="Z23:Z24" si="14">((U23-K23)/K23)</f>
        <v>3.4969814329650302E-2</v>
      </c>
      <c r="AA23" s="160">
        <f t="shared" ref="AA23:AA24" si="15">V23-L23</f>
        <v>-9.999999999999998E-4</v>
      </c>
      <c r="AB23" s="161">
        <f t="shared" ref="AB23:AB24" si="16">W23-M23</f>
        <v>-2.410000000000001E-2</v>
      </c>
      <c r="AD23" s="50"/>
      <c r="AE23" s="50"/>
    </row>
    <row r="24" spans="1:33">
      <c r="A24" s="180">
        <v>19</v>
      </c>
      <c r="B24" s="59" t="s">
        <v>302</v>
      </c>
      <c r="C24" s="60" t="s">
        <v>119</v>
      </c>
      <c r="D24" s="146" t="s">
        <v>329</v>
      </c>
      <c r="E24" s="65">
        <v>10948302329.41</v>
      </c>
      <c r="F24" s="66">
        <f t="shared" si="0"/>
        <v>4.1921092474968641E-2</v>
      </c>
      <c r="G24" s="146" t="s">
        <v>329</v>
      </c>
      <c r="H24" s="65">
        <v>2.0099999999999998</v>
      </c>
      <c r="I24" s="146" t="s">
        <v>329</v>
      </c>
      <c r="J24" s="73">
        <v>2.04</v>
      </c>
      <c r="K24" s="67">
        <v>4610</v>
      </c>
      <c r="L24" s="68">
        <v>-4.9500000000000002E-2</v>
      </c>
      <c r="M24" s="68">
        <v>0.98070000000000002</v>
      </c>
      <c r="N24" s="146" t="s">
        <v>329</v>
      </c>
      <c r="O24" s="65">
        <v>9545076354.3700008</v>
      </c>
      <c r="P24" s="66">
        <f t="shared" si="1"/>
        <v>3.7174370201778197E-2</v>
      </c>
      <c r="Q24" s="146" t="s">
        <v>329</v>
      </c>
      <c r="R24" s="65">
        <v>2</v>
      </c>
      <c r="S24" s="146" t="s">
        <v>329</v>
      </c>
      <c r="T24" s="73">
        <v>2.0299999999999998</v>
      </c>
      <c r="U24" s="67">
        <v>4720</v>
      </c>
      <c r="V24" s="68">
        <v>-4.1999999999999997E-3</v>
      </c>
      <c r="W24" s="68">
        <v>0.97209999999999996</v>
      </c>
      <c r="X24" s="162">
        <f t="shared" si="12"/>
        <v>-0.12816836189027841</v>
      </c>
      <c r="Y24" s="162">
        <f t="shared" si="13"/>
        <v>-4.9019607843138382E-3</v>
      </c>
      <c r="Z24" s="162">
        <f t="shared" si="14"/>
        <v>2.3861171366594359E-2</v>
      </c>
      <c r="AA24" s="160">
        <f t="shared" si="15"/>
        <v>4.53E-2</v>
      </c>
      <c r="AB24" s="161">
        <f t="shared" si="16"/>
        <v>-8.600000000000052E-3</v>
      </c>
      <c r="AD24" s="41"/>
      <c r="AE24" s="41"/>
      <c r="AF24" s="41"/>
      <c r="AG24" s="41"/>
    </row>
    <row r="25" spans="1:33">
      <c r="A25" s="180">
        <v>20</v>
      </c>
      <c r="B25" s="60" t="s">
        <v>50</v>
      </c>
      <c r="C25" s="60" t="s">
        <v>51</v>
      </c>
      <c r="D25" s="146" t="s">
        <v>329</v>
      </c>
      <c r="E25" s="65">
        <v>23056801353.529999</v>
      </c>
      <c r="F25" s="66">
        <f t="shared" si="0"/>
        <v>8.8284582635415859E-2</v>
      </c>
      <c r="G25" s="146" t="s">
        <v>329</v>
      </c>
      <c r="H25" s="65">
        <v>353.92</v>
      </c>
      <c r="I25" s="146" t="s">
        <v>329</v>
      </c>
      <c r="J25" s="73">
        <v>359.55</v>
      </c>
      <c r="K25" s="67">
        <v>163</v>
      </c>
      <c r="L25" s="68">
        <v>-8.9999999999999993E-3</v>
      </c>
      <c r="M25" s="68">
        <v>0.67459999999999998</v>
      </c>
      <c r="N25" s="146" t="s">
        <v>329</v>
      </c>
      <c r="O25" s="65">
        <v>23049343680.5</v>
      </c>
      <c r="P25" s="66">
        <f t="shared" si="1"/>
        <v>8.9768253608011883E-2</v>
      </c>
      <c r="Q25" s="146" t="s">
        <v>329</v>
      </c>
      <c r="R25" s="65">
        <v>349.02</v>
      </c>
      <c r="S25" s="146" t="s">
        <v>329</v>
      </c>
      <c r="T25" s="73">
        <v>354.59</v>
      </c>
      <c r="U25" s="67">
        <v>171</v>
      </c>
      <c r="V25" s="68">
        <v>-1.38E-2</v>
      </c>
      <c r="W25" s="68">
        <v>0.65149999999999997</v>
      </c>
      <c r="X25" s="162">
        <f t="shared" si="2"/>
        <v>-3.2344785886169805E-4</v>
      </c>
      <c r="Y25" s="162">
        <f t="shared" si="3"/>
        <v>-1.379502155472128E-2</v>
      </c>
      <c r="Z25" s="162">
        <f t="shared" si="4"/>
        <v>4.9079754601226995E-2</v>
      </c>
      <c r="AA25" s="160">
        <f t="shared" si="5"/>
        <v>-4.8000000000000004E-3</v>
      </c>
      <c r="AB25" s="161">
        <f t="shared" si="6"/>
        <v>-2.3100000000000009E-2</v>
      </c>
      <c r="AD25" s="41"/>
      <c r="AE25" s="41"/>
    </row>
    <row r="26" spans="1:33">
      <c r="B26" s="74"/>
      <c r="C26" s="75" t="s">
        <v>52</v>
      </c>
      <c r="D26" s="120" t="s">
        <v>329</v>
      </c>
      <c r="E26" s="76">
        <f>SUM(E6:E25)</f>
        <v>261164527998.5798</v>
      </c>
      <c r="F26" s="77">
        <f>(E26/$E$238)</f>
        <v>2.8807608437025959E-2</v>
      </c>
      <c r="G26" s="146"/>
      <c r="H26" s="78"/>
      <c r="I26" s="78"/>
      <c r="J26" s="79"/>
      <c r="K26" s="80">
        <f>SUM(K6:K25)</f>
        <v>108684</v>
      </c>
      <c r="L26" s="81"/>
      <c r="M26" s="67">
        <v>0</v>
      </c>
      <c r="N26" s="146" t="s">
        <v>329</v>
      </c>
      <c r="O26" s="76">
        <f>SUM(O6:O25)</f>
        <v>256764978197.62451</v>
      </c>
      <c r="P26" s="77">
        <f>(O26/$O$238)</f>
        <v>2.8210059954635269E-2</v>
      </c>
      <c r="Q26" s="148"/>
      <c r="R26" s="78"/>
      <c r="S26" s="78"/>
      <c r="T26" s="79"/>
      <c r="U26" s="80">
        <f>SUM(U6:U25)</f>
        <v>109922</v>
      </c>
      <c r="V26" s="81"/>
      <c r="W26" s="80"/>
      <c r="X26" s="162">
        <f t="shared" si="2"/>
        <v>-1.6845893409304102E-2</v>
      </c>
      <c r="Y26" s="162" t="e">
        <f t="shared" si="3"/>
        <v>#DIV/0!</v>
      </c>
      <c r="Z26" s="162">
        <f t="shared" si="4"/>
        <v>1.1390821096021493E-2</v>
      </c>
      <c r="AA26" s="160">
        <f t="shared" si="5"/>
        <v>0</v>
      </c>
      <c r="AB26" s="161">
        <f t="shared" si="6"/>
        <v>0</v>
      </c>
    </row>
    <row r="27" spans="1:33" ht="4.5" customHeight="1">
      <c r="B27" s="215"/>
      <c r="C27" s="215"/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</row>
    <row r="28" spans="1:33" ht="15" customHeight="1">
      <c r="A28" s="166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</row>
    <row r="29" spans="1:33" ht="16.8" customHeight="1">
      <c r="A29" s="178">
        <v>21</v>
      </c>
      <c r="B29" s="59" t="s">
        <v>54</v>
      </c>
      <c r="C29" s="60" t="s">
        <v>19</v>
      </c>
      <c r="D29" s="146" t="s">
        <v>329</v>
      </c>
      <c r="E29" s="82">
        <v>5920217605.1800003</v>
      </c>
      <c r="F29" s="66">
        <f>(E29/$O$76)</f>
        <v>9.957986844995935E-4</v>
      </c>
      <c r="G29" s="146" t="s">
        <v>329</v>
      </c>
      <c r="H29" s="73">
        <v>100</v>
      </c>
      <c r="I29" s="146" t="s">
        <v>329</v>
      </c>
      <c r="J29" s="73">
        <v>100</v>
      </c>
      <c r="K29" s="67">
        <v>928</v>
      </c>
      <c r="L29" s="68">
        <v>0.15</v>
      </c>
      <c r="M29" s="68">
        <v>0.15</v>
      </c>
      <c r="N29" s="146" t="s">
        <v>329</v>
      </c>
      <c r="O29" s="82">
        <v>6002899381.3199997</v>
      </c>
      <c r="P29" s="66">
        <f t="shared" ref="P29:P36" si="17">(O29/$O$76)</f>
        <v>1.0097060117978773E-3</v>
      </c>
      <c r="Q29" s="146" t="s">
        <v>329</v>
      </c>
      <c r="R29" s="73">
        <v>100</v>
      </c>
      <c r="S29" s="146" t="s">
        <v>329</v>
      </c>
      <c r="T29" s="73">
        <v>100</v>
      </c>
      <c r="U29" s="67">
        <v>928</v>
      </c>
      <c r="V29" s="68">
        <v>0.15</v>
      </c>
      <c r="W29" s="68">
        <v>0.15</v>
      </c>
      <c r="X29" s="162">
        <f>((O29-E29)/E29)</f>
        <v>1.3966002882673686E-2</v>
      </c>
      <c r="Y29" s="162">
        <f>((T29-J29)/J29)</f>
        <v>0</v>
      </c>
      <c r="Z29" s="162">
        <f>((U29-K29)/K29)</f>
        <v>0</v>
      </c>
      <c r="AA29" s="162">
        <f>V29-L29</f>
        <v>0</v>
      </c>
      <c r="AB29" s="163">
        <f>W29-M29</f>
        <v>0</v>
      </c>
    </row>
    <row r="30" spans="1:33" ht="15.6">
      <c r="A30" s="178">
        <v>22</v>
      </c>
      <c r="B30" s="59" t="s">
        <v>55</v>
      </c>
      <c r="C30" s="60" t="s">
        <v>56</v>
      </c>
      <c r="D30" s="146" t="s">
        <v>329</v>
      </c>
      <c r="E30" s="82">
        <v>41379456448.040001</v>
      </c>
      <c r="F30" s="66">
        <f>(E30/$O$76)</f>
        <v>6.9601509681355067E-3</v>
      </c>
      <c r="G30" s="146" t="s">
        <v>329</v>
      </c>
      <c r="H30" s="73">
        <v>100</v>
      </c>
      <c r="I30" s="146" t="s">
        <v>329</v>
      </c>
      <c r="J30" s="73">
        <v>100</v>
      </c>
      <c r="K30" s="67">
        <v>5034</v>
      </c>
      <c r="L30" s="68">
        <v>0.17704800000000001</v>
      </c>
      <c r="M30" s="68">
        <v>0.17704800000000001</v>
      </c>
      <c r="N30" s="146" t="s">
        <v>329</v>
      </c>
      <c r="O30" s="82">
        <v>41013266886.470001</v>
      </c>
      <c r="P30" s="66">
        <f t="shared" si="17"/>
        <v>6.8985567653531915E-3</v>
      </c>
      <c r="Q30" s="146" t="s">
        <v>329</v>
      </c>
      <c r="R30" s="73">
        <v>100</v>
      </c>
      <c r="S30" s="146" t="s">
        <v>329</v>
      </c>
      <c r="T30" s="73">
        <v>100</v>
      </c>
      <c r="U30" s="67">
        <v>5095</v>
      </c>
      <c r="V30" s="68">
        <v>0.175291</v>
      </c>
      <c r="W30" s="68">
        <v>0.175291</v>
      </c>
      <c r="X30" s="162">
        <f t="shared" ref="X30:X76" si="18">((O30-E30)/E30)</f>
        <v>-8.849549825039927E-3</v>
      </c>
      <c r="Y30" s="162">
        <f t="shared" ref="Y30:Y76" si="19">((T30-J30)/J30)</f>
        <v>0</v>
      </c>
      <c r="Z30" s="162">
        <f t="shared" ref="Z30:Z76" si="20">((U30-K30)/K30)</f>
        <v>1.2117600317838697E-2</v>
      </c>
      <c r="AA30" s="160">
        <f t="shared" ref="AA30:AA76" si="21">V30-L30</f>
        <v>-1.7570000000000086E-3</v>
      </c>
      <c r="AB30" s="161">
        <f t="shared" ref="AB30:AB76" si="22">W30-M30</f>
        <v>-1.7570000000000086E-3</v>
      </c>
      <c r="AD30" s="145"/>
    </row>
    <row r="31" spans="1:33">
      <c r="A31" s="178">
        <v>23</v>
      </c>
      <c r="B31" s="59" t="s">
        <v>311</v>
      </c>
      <c r="C31" s="60" t="s">
        <v>310</v>
      </c>
      <c r="D31" s="146" t="s">
        <v>329</v>
      </c>
      <c r="E31" s="82">
        <v>1726125437.1500001</v>
      </c>
      <c r="F31" s="66">
        <f>(E31/$O$76)</f>
        <v>2.9033957097983977E-4</v>
      </c>
      <c r="G31" s="146" t="s">
        <v>329</v>
      </c>
      <c r="H31" s="73">
        <v>1</v>
      </c>
      <c r="I31" s="146" t="s">
        <v>329</v>
      </c>
      <c r="J31" s="73">
        <v>1</v>
      </c>
      <c r="K31" s="67">
        <v>202</v>
      </c>
      <c r="L31" s="68">
        <v>0.1757</v>
      </c>
      <c r="M31" s="68">
        <v>0.1757</v>
      </c>
      <c r="N31" s="146" t="s">
        <v>329</v>
      </c>
      <c r="O31" s="82">
        <v>1732751146.23</v>
      </c>
      <c r="P31" s="66">
        <f t="shared" si="17"/>
        <v>2.9145403548532824E-4</v>
      </c>
      <c r="Q31" s="146" t="s">
        <v>329</v>
      </c>
      <c r="R31" s="73">
        <v>1</v>
      </c>
      <c r="S31" s="146" t="s">
        <v>329</v>
      </c>
      <c r="T31" s="73">
        <v>1</v>
      </c>
      <c r="U31" s="67">
        <v>205</v>
      </c>
      <c r="V31" s="68">
        <v>0.17860000000000001</v>
      </c>
      <c r="W31" s="68">
        <v>0.17860000000000001</v>
      </c>
      <c r="X31" s="162">
        <f t="shared" ref="X31" si="23">((O31-E31)/E31)</f>
        <v>3.8384864375439654E-3</v>
      </c>
      <c r="Y31" s="162">
        <f t="shared" ref="Y31" si="24">((T31-J31)/J31)</f>
        <v>0</v>
      </c>
      <c r="Z31" s="162">
        <f t="shared" ref="Z31" si="25">((U31-K31)/K31)</f>
        <v>1.4851485148514851E-2</v>
      </c>
      <c r="AA31" s="160">
        <f t="shared" ref="AA31" si="26">V31-L31</f>
        <v>2.9000000000000137E-3</v>
      </c>
      <c r="AB31" s="161">
        <f t="shared" ref="AB31" si="27">W31-M31</f>
        <v>2.9000000000000137E-3</v>
      </c>
    </row>
    <row r="32" spans="1:33">
      <c r="A32" s="178">
        <v>24</v>
      </c>
      <c r="B32" s="59" t="s">
        <v>57</v>
      </c>
      <c r="C32" s="60" t="s">
        <v>21</v>
      </c>
      <c r="D32" s="146" t="s">
        <v>329</v>
      </c>
      <c r="E32" s="82">
        <v>3769421234.75</v>
      </c>
      <c r="F32" s="66">
        <f>(E32/$O$76)</f>
        <v>6.3402816538443067E-4</v>
      </c>
      <c r="G32" s="146" t="s">
        <v>329</v>
      </c>
      <c r="H32" s="73">
        <v>100</v>
      </c>
      <c r="I32" s="146" t="s">
        <v>329</v>
      </c>
      <c r="J32" s="73">
        <v>100</v>
      </c>
      <c r="K32" s="67">
        <v>2579</v>
      </c>
      <c r="L32" s="68">
        <v>0.15770000000000001</v>
      </c>
      <c r="M32" s="68">
        <v>0.15770000000000001</v>
      </c>
      <c r="N32" s="146" t="s">
        <v>329</v>
      </c>
      <c r="O32" s="82">
        <v>4047505777.0700002</v>
      </c>
      <c r="P32" s="66">
        <f t="shared" si="17"/>
        <v>6.8080283481206029E-4</v>
      </c>
      <c r="Q32" s="146" t="s">
        <v>329</v>
      </c>
      <c r="R32" s="73">
        <v>100</v>
      </c>
      <c r="S32" s="146" t="s">
        <v>329</v>
      </c>
      <c r="T32" s="73">
        <v>100</v>
      </c>
      <c r="U32" s="67">
        <v>2626</v>
      </c>
      <c r="V32" s="68">
        <v>0.16220000000000001</v>
      </c>
      <c r="W32" s="68">
        <v>0.16220000000000001</v>
      </c>
      <c r="X32" s="162">
        <f t="shared" si="18"/>
        <v>7.3773803722534503E-2</v>
      </c>
      <c r="Y32" s="162">
        <f t="shared" si="19"/>
        <v>0</v>
      </c>
      <c r="Z32" s="162">
        <f t="shared" si="20"/>
        <v>1.8224117875145406E-2</v>
      </c>
      <c r="AA32" s="160">
        <f t="shared" si="21"/>
        <v>4.500000000000004E-3</v>
      </c>
      <c r="AB32" s="161">
        <f t="shared" si="22"/>
        <v>4.500000000000004E-3</v>
      </c>
    </row>
    <row r="33" spans="1:28">
      <c r="A33" s="178">
        <v>25</v>
      </c>
      <c r="B33" s="59" t="s">
        <v>307</v>
      </c>
      <c r="C33" s="60" t="s">
        <v>308</v>
      </c>
      <c r="D33" s="146" t="s">
        <v>329</v>
      </c>
      <c r="E33" s="82">
        <v>1402523639.4000001</v>
      </c>
      <c r="F33" s="66">
        <v>0</v>
      </c>
      <c r="G33" s="146" t="s">
        <v>329</v>
      </c>
      <c r="H33" s="73">
        <v>100</v>
      </c>
      <c r="I33" s="146" t="s">
        <v>329</v>
      </c>
      <c r="J33" s="73">
        <v>100</v>
      </c>
      <c r="K33" s="67">
        <v>170</v>
      </c>
      <c r="L33" s="68">
        <v>0.149341</v>
      </c>
      <c r="M33" s="68">
        <v>0.149341</v>
      </c>
      <c r="N33" s="146" t="s">
        <v>329</v>
      </c>
      <c r="O33" s="82">
        <v>1535103669.3199999</v>
      </c>
      <c r="P33" s="66">
        <f t="shared" si="17"/>
        <v>2.5820912615472639E-4</v>
      </c>
      <c r="Q33" s="146" t="s">
        <v>329</v>
      </c>
      <c r="R33" s="73">
        <v>100</v>
      </c>
      <c r="S33" s="146" t="s">
        <v>329</v>
      </c>
      <c r="T33" s="73">
        <v>100</v>
      </c>
      <c r="U33" s="67">
        <v>170</v>
      </c>
      <c r="V33" s="68">
        <v>0.15959799999999999</v>
      </c>
      <c r="W33" s="68">
        <v>0.15959799999999999</v>
      </c>
      <c r="X33" s="162">
        <f t="shared" ref="X33" si="28">((O33-E33)/E33)</f>
        <v>9.4529622314756562E-2</v>
      </c>
      <c r="Y33" s="162">
        <f t="shared" ref="Y33" si="29">((T33-J33)/J33)</f>
        <v>0</v>
      </c>
      <c r="Z33" s="162">
        <f t="shared" ref="Z33" si="30">((U33-K33)/K33)</f>
        <v>0</v>
      </c>
      <c r="AA33" s="160">
        <f t="shared" ref="AA33" si="31">V33-L33</f>
        <v>1.0256999999999988E-2</v>
      </c>
      <c r="AB33" s="161">
        <f t="shared" ref="AB33" si="32">W33-M33</f>
        <v>1.0256999999999988E-2</v>
      </c>
    </row>
    <row r="34" spans="1:28">
      <c r="A34" s="178">
        <v>26</v>
      </c>
      <c r="B34" s="59" t="s">
        <v>58</v>
      </c>
      <c r="C34" s="60" t="s">
        <v>23</v>
      </c>
      <c r="D34" s="146" t="s">
        <v>329</v>
      </c>
      <c r="E34" s="82">
        <v>411508900958.45001</v>
      </c>
      <c r="F34" s="66">
        <f>(E34/$O$76)</f>
        <v>6.921705409540245E-2</v>
      </c>
      <c r="G34" s="146" t="s">
        <v>329</v>
      </c>
      <c r="H34" s="73">
        <v>1</v>
      </c>
      <c r="I34" s="146" t="s">
        <v>329</v>
      </c>
      <c r="J34" s="73">
        <v>1</v>
      </c>
      <c r="K34" s="67">
        <v>85688</v>
      </c>
      <c r="L34" s="68">
        <v>0.17169999999999999</v>
      </c>
      <c r="M34" s="68">
        <v>0.17169999999999999</v>
      </c>
      <c r="N34" s="146" t="s">
        <v>329</v>
      </c>
      <c r="O34" s="82">
        <v>414386285300.98999</v>
      </c>
      <c r="P34" s="66">
        <f t="shared" si="17"/>
        <v>6.970103893078991E-2</v>
      </c>
      <c r="Q34" s="146" t="s">
        <v>329</v>
      </c>
      <c r="R34" s="73">
        <v>1</v>
      </c>
      <c r="S34" s="146" t="s">
        <v>329</v>
      </c>
      <c r="T34" s="73">
        <v>1</v>
      </c>
      <c r="U34" s="67">
        <v>85927</v>
      </c>
      <c r="V34" s="68">
        <v>0.17169999999999999</v>
      </c>
      <c r="W34" s="68">
        <v>0.17169999999999999</v>
      </c>
      <c r="X34" s="162">
        <f t="shared" si="18"/>
        <v>6.992277289356876E-3</v>
      </c>
      <c r="Y34" s="162">
        <f t="shared" si="19"/>
        <v>0</v>
      </c>
      <c r="Z34" s="162">
        <f t="shared" si="20"/>
        <v>2.7891886845299225E-3</v>
      </c>
      <c r="AA34" s="160">
        <f t="shared" si="21"/>
        <v>0</v>
      </c>
      <c r="AB34" s="161">
        <f t="shared" si="22"/>
        <v>0</v>
      </c>
    </row>
    <row r="35" spans="1:28">
      <c r="A35" s="178">
        <v>27</v>
      </c>
      <c r="B35" s="59" t="s">
        <v>59</v>
      </c>
      <c r="C35" s="60" t="s">
        <v>60</v>
      </c>
      <c r="D35" s="146" t="s">
        <v>329</v>
      </c>
      <c r="E35" s="82">
        <v>2258413105.77</v>
      </c>
      <c r="F35" s="66">
        <f>(E35/$O$76)</f>
        <v>3.7987198271473505E-4</v>
      </c>
      <c r="G35" s="146" t="s">
        <v>329</v>
      </c>
      <c r="H35" s="73">
        <v>1</v>
      </c>
      <c r="I35" s="146" t="s">
        <v>329</v>
      </c>
      <c r="J35" s="73">
        <v>1</v>
      </c>
      <c r="K35" s="67">
        <v>597</v>
      </c>
      <c r="L35" s="68">
        <v>0.17</v>
      </c>
      <c r="M35" s="68">
        <v>0.17</v>
      </c>
      <c r="N35" s="146" t="s">
        <v>329</v>
      </c>
      <c r="O35" s="82">
        <v>2346092738.6900001</v>
      </c>
      <c r="P35" s="66">
        <f t="shared" si="17"/>
        <v>3.9461996478937174E-4</v>
      </c>
      <c r="Q35" s="146" t="s">
        <v>329</v>
      </c>
      <c r="R35" s="73">
        <v>1</v>
      </c>
      <c r="S35" s="146" t="s">
        <v>329</v>
      </c>
      <c r="T35" s="73">
        <v>1</v>
      </c>
      <c r="U35" s="67">
        <v>597</v>
      </c>
      <c r="V35" s="68">
        <v>0.17199999999999999</v>
      </c>
      <c r="W35" s="68">
        <v>0.17199999999999999</v>
      </c>
      <c r="X35" s="162">
        <f t="shared" si="18"/>
        <v>3.8823558318886897E-2</v>
      </c>
      <c r="Y35" s="162">
        <f t="shared" si="19"/>
        <v>0</v>
      </c>
      <c r="Z35" s="162">
        <f t="shared" si="20"/>
        <v>0</v>
      </c>
      <c r="AA35" s="160">
        <f t="shared" si="21"/>
        <v>1.999999999999974E-3</v>
      </c>
      <c r="AB35" s="161">
        <f t="shared" si="22"/>
        <v>1.999999999999974E-3</v>
      </c>
    </row>
    <row r="36" spans="1:28">
      <c r="A36" s="178">
        <v>28</v>
      </c>
      <c r="B36" s="59" t="s">
        <v>61</v>
      </c>
      <c r="C36" s="60" t="s">
        <v>25</v>
      </c>
      <c r="D36" s="146" t="s">
        <v>329</v>
      </c>
      <c r="E36" s="82">
        <v>173540603325.53</v>
      </c>
      <c r="F36" s="66">
        <f>(E36/$O$76)</f>
        <v>2.9190059559233771E-2</v>
      </c>
      <c r="G36" s="146" t="s">
        <v>329</v>
      </c>
      <c r="H36" s="73">
        <v>1</v>
      </c>
      <c r="I36" s="146" t="s">
        <v>329</v>
      </c>
      <c r="J36" s="73">
        <v>1</v>
      </c>
      <c r="K36" s="67">
        <v>40473</v>
      </c>
      <c r="L36" s="68">
        <v>0.1552</v>
      </c>
      <c r="M36" s="68">
        <v>0.1552</v>
      </c>
      <c r="N36" s="146" t="s">
        <v>329</v>
      </c>
      <c r="O36" s="82">
        <v>173808569326.17999</v>
      </c>
      <c r="P36" s="66">
        <f t="shared" si="17"/>
        <v>2.9235132259045414E-2</v>
      </c>
      <c r="Q36" s="146" t="s">
        <v>329</v>
      </c>
      <c r="R36" s="73">
        <v>1</v>
      </c>
      <c r="S36" s="146" t="s">
        <v>329</v>
      </c>
      <c r="T36" s="73">
        <v>1</v>
      </c>
      <c r="U36" s="67">
        <v>40572</v>
      </c>
      <c r="V36" s="68">
        <v>0.15790000000000001</v>
      </c>
      <c r="W36" s="68">
        <v>0.15790000000000001</v>
      </c>
      <c r="X36" s="162">
        <f t="shared" si="18"/>
        <v>1.5441112656923253E-3</v>
      </c>
      <c r="Y36" s="162">
        <f t="shared" si="19"/>
        <v>0</v>
      </c>
      <c r="Z36" s="162">
        <f t="shared" si="20"/>
        <v>2.4460751612185904E-3</v>
      </c>
      <c r="AA36" s="160">
        <f t="shared" si="21"/>
        <v>2.7000000000000079E-3</v>
      </c>
      <c r="AB36" s="161">
        <f t="shared" si="22"/>
        <v>2.7000000000000079E-3</v>
      </c>
    </row>
    <row r="37" spans="1:28">
      <c r="A37" s="178">
        <v>29</v>
      </c>
      <c r="B37" s="59" t="s">
        <v>62</v>
      </c>
      <c r="C37" s="60" t="s">
        <v>27</v>
      </c>
      <c r="D37" s="146" t="s">
        <v>329</v>
      </c>
      <c r="E37" s="65">
        <v>29825024687.360001</v>
      </c>
      <c r="F37" s="66">
        <f t="shared" ref="F37" si="33">(E37/$E$26)</f>
        <v>0.11420013627395137</v>
      </c>
      <c r="G37" s="146" t="s">
        <v>329</v>
      </c>
      <c r="H37" s="65">
        <v>1</v>
      </c>
      <c r="I37" s="146" t="s">
        <v>329</v>
      </c>
      <c r="J37" s="65">
        <v>1</v>
      </c>
      <c r="K37" s="67">
        <v>1984</v>
      </c>
      <c r="L37" s="68">
        <v>0.1734</v>
      </c>
      <c r="M37" s="68">
        <v>0.1734</v>
      </c>
      <c r="N37" s="146" t="s">
        <v>329</v>
      </c>
      <c r="O37" s="65">
        <v>30370437833.27</v>
      </c>
      <c r="P37" s="66">
        <f t="shared" ref="P37" si="34">(O37/$O$26)</f>
        <v>0.11828107573882121</v>
      </c>
      <c r="Q37" s="146" t="s">
        <v>329</v>
      </c>
      <c r="R37" s="65">
        <v>1</v>
      </c>
      <c r="S37" s="146" t="s">
        <v>329</v>
      </c>
      <c r="T37" s="65">
        <v>1</v>
      </c>
      <c r="U37" s="67">
        <v>2013</v>
      </c>
      <c r="V37" s="68">
        <v>0.16669999999999999</v>
      </c>
      <c r="W37" s="68">
        <v>0.16669999999999999</v>
      </c>
      <c r="X37" s="162">
        <f t="shared" si="18"/>
        <v>1.8287097885996008E-2</v>
      </c>
      <c r="Y37" s="162">
        <f t="shared" si="19"/>
        <v>0</v>
      </c>
      <c r="Z37" s="162">
        <f t="shared" si="20"/>
        <v>1.4616935483870967E-2</v>
      </c>
      <c r="AA37" s="160">
        <f t="shared" si="21"/>
        <v>-6.7000000000000115E-3</v>
      </c>
      <c r="AB37" s="161">
        <f t="shared" si="22"/>
        <v>-6.7000000000000115E-3</v>
      </c>
    </row>
    <row r="38" spans="1:28" ht="15" customHeight="1">
      <c r="A38" s="178">
        <v>30</v>
      </c>
      <c r="B38" s="59" t="s">
        <v>63</v>
      </c>
      <c r="C38" s="60" t="s">
        <v>44</v>
      </c>
      <c r="D38" s="146" t="s">
        <v>329</v>
      </c>
      <c r="E38" s="82">
        <v>40710400827</v>
      </c>
      <c r="F38" s="66">
        <f>(E38/$O$76)</f>
        <v>6.847613769045773E-3</v>
      </c>
      <c r="G38" s="146" t="s">
        <v>329</v>
      </c>
      <c r="H38" s="73">
        <v>100</v>
      </c>
      <c r="I38" s="146" t="s">
        <v>329</v>
      </c>
      <c r="J38" s="73">
        <v>100</v>
      </c>
      <c r="K38" s="67">
        <v>10728</v>
      </c>
      <c r="L38" s="68">
        <v>0.17530000000000001</v>
      </c>
      <c r="M38" s="68">
        <v>0.17530000000000001</v>
      </c>
      <c r="N38" s="146" t="s">
        <v>329</v>
      </c>
      <c r="O38" s="82">
        <v>40872807321.209999</v>
      </c>
      <c r="P38" s="66">
        <f t="shared" ref="P38:P53" si="35">(O38/$O$76)</f>
        <v>6.8749310374426314E-3</v>
      </c>
      <c r="Q38" s="146" t="s">
        <v>329</v>
      </c>
      <c r="R38" s="73">
        <v>100</v>
      </c>
      <c r="S38" s="146" t="s">
        <v>329</v>
      </c>
      <c r="T38" s="73">
        <v>100</v>
      </c>
      <c r="U38" s="67">
        <v>10728</v>
      </c>
      <c r="V38" s="68">
        <v>0.17530000000000001</v>
      </c>
      <c r="W38" s="68">
        <v>0.17530000000000001</v>
      </c>
      <c r="X38" s="162">
        <f t="shared" si="18"/>
        <v>3.9893120900516329E-3</v>
      </c>
      <c r="Y38" s="162">
        <f t="shared" si="19"/>
        <v>0</v>
      </c>
      <c r="Z38" s="162">
        <f t="shared" si="20"/>
        <v>0</v>
      </c>
      <c r="AA38" s="160">
        <f t="shared" si="21"/>
        <v>0</v>
      </c>
      <c r="AB38" s="161">
        <f t="shared" si="22"/>
        <v>0</v>
      </c>
    </row>
    <row r="39" spans="1:28" ht="15" customHeight="1">
      <c r="A39" s="181">
        <v>31</v>
      </c>
      <c r="B39" s="59" t="s">
        <v>64</v>
      </c>
      <c r="C39" s="60" t="s">
        <v>65</v>
      </c>
      <c r="D39" s="146" t="s">
        <v>329</v>
      </c>
      <c r="E39" s="82">
        <v>3628844155.8200002</v>
      </c>
      <c r="F39" s="66">
        <f>(E39/$O$76)</f>
        <v>6.1038267131563061E-4</v>
      </c>
      <c r="G39" s="146" t="s">
        <v>329</v>
      </c>
      <c r="H39" s="73">
        <v>1</v>
      </c>
      <c r="I39" s="146" t="s">
        <v>329</v>
      </c>
      <c r="J39" s="73">
        <v>1</v>
      </c>
      <c r="K39" s="67">
        <v>783</v>
      </c>
      <c r="L39" s="68">
        <v>0.15329999999999999</v>
      </c>
      <c r="M39" s="68">
        <v>0.15329999999999999</v>
      </c>
      <c r="N39" s="146" t="s">
        <v>329</v>
      </c>
      <c r="O39" s="82">
        <v>3686170547.0500002</v>
      </c>
      <c r="P39" s="66">
        <f t="shared" si="35"/>
        <v>6.2002514542401383E-4</v>
      </c>
      <c r="Q39" s="146" t="s">
        <v>329</v>
      </c>
      <c r="R39" s="73">
        <v>1</v>
      </c>
      <c r="S39" s="146" t="s">
        <v>329</v>
      </c>
      <c r="T39" s="73">
        <v>1</v>
      </c>
      <c r="U39" s="67">
        <v>787</v>
      </c>
      <c r="V39" s="68">
        <v>0.15329999999999999</v>
      </c>
      <c r="W39" s="68">
        <v>0.15329999999999999</v>
      </c>
      <c r="X39" s="162">
        <f t="shared" si="18"/>
        <v>1.5797424405250088E-2</v>
      </c>
      <c r="Y39" s="162">
        <f t="shared" si="19"/>
        <v>0</v>
      </c>
      <c r="Z39" s="162">
        <f t="shared" si="20"/>
        <v>5.108556832694764E-3</v>
      </c>
      <c r="AA39" s="160">
        <f t="shared" si="21"/>
        <v>0</v>
      </c>
      <c r="AB39" s="161">
        <f t="shared" si="22"/>
        <v>0</v>
      </c>
    </row>
    <row r="40" spans="1:28">
      <c r="A40" s="178">
        <v>32</v>
      </c>
      <c r="B40" s="59" t="s">
        <v>66</v>
      </c>
      <c r="C40" s="60" t="s">
        <v>67</v>
      </c>
      <c r="D40" s="146" t="s">
        <v>329</v>
      </c>
      <c r="E40" s="82">
        <v>102990828831.63</v>
      </c>
      <c r="F40" s="66">
        <f>(E40/$O$76)</f>
        <v>1.7323371995030198E-2</v>
      </c>
      <c r="G40" s="146" t="s">
        <v>329</v>
      </c>
      <c r="H40" s="73">
        <v>100</v>
      </c>
      <c r="I40" s="146" t="s">
        <v>329</v>
      </c>
      <c r="J40" s="73">
        <v>100</v>
      </c>
      <c r="K40" s="67">
        <v>6296</v>
      </c>
      <c r="L40" s="68">
        <v>0.17810000000000001</v>
      </c>
      <c r="M40" s="68">
        <v>0.17810000000000001</v>
      </c>
      <c r="N40" s="146" t="s">
        <v>329</v>
      </c>
      <c r="O40" s="82">
        <v>103699141092.71001</v>
      </c>
      <c r="P40" s="66">
        <f t="shared" si="35"/>
        <v>1.7442512280884091E-2</v>
      </c>
      <c r="Q40" s="146" t="s">
        <v>329</v>
      </c>
      <c r="R40" s="73">
        <v>100</v>
      </c>
      <c r="S40" s="146" t="s">
        <v>329</v>
      </c>
      <c r="T40" s="73">
        <v>100</v>
      </c>
      <c r="U40" s="67">
        <v>6315</v>
      </c>
      <c r="V40" s="68">
        <v>0.1787</v>
      </c>
      <c r="W40" s="68">
        <v>0.1787</v>
      </c>
      <c r="X40" s="162">
        <f t="shared" si="18"/>
        <v>6.8774304383738358E-3</v>
      </c>
      <c r="Y40" s="162">
        <f t="shared" si="19"/>
        <v>0</v>
      </c>
      <c r="Z40" s="162">
        <f t="shared" si="20"/>
        <v>3.0177890724269376E-3</v>
      </c>
      <c r="AA40" s="160">
        <f t="shared" si="21"/>
        <v>5.9999999999998943E-4</v>
      </c>
      <c r="AB40" s="161">
        <f t="shared" si="22"/>
        <v>5.9999999999998943E-4</v>
      </c>
    </row>
    <row r="41" spans="1:28">
      <c r="A41" s="178">
        <v>33</v>
      </c>
      <c r="B41" s="59" t="s">
        <v>68</v>
      </c>
      <c r="C41" s="60" t="s">
        <v>69</v>
      </c>
      <c r="D41" s="146" t="s">
        <v>329</v>
      </c>
      <c r="E41" s="82">
        <v>45696974162.459999</v>
      </c>
      <c r="F41" s="66">
        <f>(E41/$O$76)</f>
        <v>7.686370635561466E-3</v>
      </c>
      <c r="G41" s="146" t="s">
        <v>329</v>
      </c>
      <c r="H41" s="73">
        <v>100</v>
      </c>
      <c r="I41" s="146" t="s">
        <v>329</v>
      </c>
      <c r="J41" s="73">
        <v>100</v>
      </c>
      <c r="K41" s="67">
        <v>5964</v>
      </c>
      <c r="L41" s="68">
        <v>0.161</v>
      </c>
      <c r="M41" s="68">
        <v>0.161</v>
      </c>
      <c r="N41" s="146" t="s">
        <v>329</v>
      </c>
      <c r="O41" s="82">
        <v>44798905667.010002</v>
      </c>
      <c r="P41" s="66">
        <f t="shared" si="35"/>
        <v>7.5353127714760043E-3</v>
      </c>
      <c r="Q41" s="146" t="s">
        <v>329</v>
      </c>
      <c r="R41" s="73">
        <v>100</v>
      </c>
      <c r="S41" s="146" t="s">
        <v>329</v>
      </c>
      <c r="T41" s="73">
        <v>100</v>
      </c>
      <c r="U41" s="67">
        <v>5957</v>
      </c>
      <c r="V41" s="68">
        <v>0.16420000000000001</v>
      </c>
      <c r="W41" s="68">
        <v>0.16420000000000001</v>
      </c>
      <c r="X41" s="162">
        <f t="shared" si="18"/>
        <v>-1.9652690619234893E-2</v>
      </c>
      <c r="Y41" s="162">
        <f t="shared" si="19"/>
        <v>0</v>
      </c>
      <c r="Z41" s="162">
        <f t="shared" si="20"/>
        <v>-1.1737089201877935E-3</v>
      </c>
      <c r="AA41" s="160">
        <f t="shared" si="21"/>
        <v>3.2000000000000084E-3</v>
      </c>
      <c r="AB41" s="161">
        <f t="shared" si="22"/>
        <v>3.2000000000000084E-3</v>
      </c>
    </row>
    <row r="42" spans="1:28">
      <c r="A42" s="178">
        <v>34</v>
      </c>
      <c r="B42" s="59" t="s">
        <v>70</v>
      </c>
      <c r="C42" s="60" t="s">
        <v>71</v>
      </c>
      <c r="D42" s="146" t="s">
        <v>329</v>
      </c>
      <c r="E42" s="82">
        <v>75334941940.820007</v>
      </c>
      <c r="F42" s="66">
        <f>(E42/$O$76)</f>
        <v>1.2671567345072432E-2</v>
      </c>
      <c r="G42" s="146" t="s">
        <v>329</v>
      </c>
      <c r="H42" s="73">
        <v>1</v>
      </c>
      <c r="I42" s="146" t="s">
        <v>329</v>
      </c>
      <c r="J42" s="73">
        <v>1</v>
      </c>
      <c r="K42" s="67">
        <v>18227</v>
      </c>
      <c r="L42" s="68">
        <v>0.20300000000000001</v>
      </c>
      <c r="M42" s="68">
        <v>0.20300000000000001</v>
      </c>
      <c r="N42" s="146" t="s">
        <v>329</v>
      </c>
      <c r="O42" s="82">
        <v>75540961514.350006</v>
      </c>
      <c r="P42" s="66">
        <f t="shared" si="35"/>
        <v>1.2706220466627092E-2</v>
      </c>
      <c r="Q42" s="146" t="s">
        <v>329</v>
      </c>
      <c r="R42" s="73">
        <v>1</v>
      </c>
      <c r="S42" s="146" t="s">
        <v>329</v>
      </c>
      <c r="T42" s="73">
        <v>1</v>
      </c>
      <c r="U42" s="67">
        <v>18429</v>
      </c>
      <c r="V42" s="68">
        <v>0.20599999999999999</v>
      </c>
      <c r="W42" s="68">
        <v>0.20599999999999999</v>
      </c>
      <c r="X42" s="162">
        <f t="shared" si="18"/>
        <v>2.7347147050546501E-3</v>
      </c>
      <c r="Y42" s="162">
        <f t="shared" si="19"/>
        <v>0</v>
      </c>
      <c r="Z42" s="162">
        <f t="shared" si="20"/>
        <v>1.1082460086684589E-2</v>
      </c>
      <c r="AA42" s="160">
        <f t="shared" si="21"/>
        <v>2.9999999999999749E-3</v>
      </c>
      <c r="AB42" s="161">
        <f t="shared" si="22"/>
        <v>2.9999999999999749E-3</v>
      </c>
    </row>
    <row r="43" spans="1:28">
      <c r="A43" s="178">
        <v>35</v>
      </c>
      <c r="B43" s="59" t="s">
        <v>72</v>
      </c>
      <c r="C43" s="60" t="s">
        <v>73</v>
      </c>
      <c r="D43" s="146" t="s">
        <v>329</v>
      </c>
      <c r="E43" s="82">
        <v>1765515926.8399999</v>
      </c>
      <c r="F43" s="66">
        <v>0</v>
      </c>
      <c r="G43" s="146" t="s">
        <v>329</v>
      </c>
      <c r="H43" s="73">
        <v>1000</v>
      </c>
      <c r="I43" s="146" t="s">
        <v>329</v>
      </c>
      <c r="J43" s="73">
        <v>1000</v>
      </c>
      <c r="K43" s="67">
        <v>144</v>
      </c>
      <c r="L43" s="68">
        <v>0.19900000000000001</v>
      </c>
      <c r="M43" s="68">
        <v>0.19900000000000001</v>
      </c>
      <c r="N43" s="146" t="s">
        <v>329</v>
      </c>
      <c r="O43" s="82">
        <v>1800826245.3800001</v>
      </c>
      <c r="P43" s="66">
        <f t="shared" si="35"/>
        <v>3.0290447509779048E-4</v>
      </c>
      <c r="Q43" s="146" t="s">
        <v>329</v>
      </c>
      <c r="R43" s="73">
        <v>1000</v>
      </c>
      <c r="S43" s="146" t="s">
        <v>329</v>
      </c>
      <c r="T43" s="73">
        <v>1000</v>
      </c>
      <c r="U43" s="67">
        <v>149</v>
      </c>
      <c r="V43" s="68">
        <v>0.2001</v>
      </c>
      <c r="W43" s="68">
        <v>0.2001</v>
      </c>
      <c r="X43" s="162">
        <f t="shared" si="18"/>
        <v>2.0000000001812616E-2</v>
      </c>
      <c r="Y43" s="162">
        <f t="shared" si="19"/>
        <v>0</v>
      </c>
      <c r="Z43" s="162">
        <f t="shared" si="20"/>
        <v>3.4722222222222224E-2</v>
      </c>
      <c r="AA43" s="160">
        <f t="shared" si="21"/>
        <v>1.0999999999999899E-3</v>
      </c>
      <c r="AB43" s="161">
        <f t="shared" si="22"/>
        <v>1.0999999999999899E-3</v>
      </c>
    </row>
    <row r="44" spans="1:28">
      <c r="A44" s="178">
        <v>36</v>
      </c>
      <c r="B44" s="59" t="s">
        <v>74</v>
      </c>
      <c r="C44" s="60" t="s">
        <v>75</v>
      </c>
      <c r="D44" s="146" t="s">
        <v>329</v>
      </c>
      <c r="E44" s="82">
        <v>90204263101.410004</v>
      </c>
      <c r="F44" s="66">
        <f t="shared" ref="F44:F53" si="36">(E44/$O$76)</f>
        <v>1.5172632582634304E-2</v>
      </c>
      <c r="G44" s="146" t="s">
        <v>329</v>
      </c>
      <c r="H44" s="83">
        <v>100</v>
      </c>
      <c r="I44" s="146" t="s">
        <v>329</v>
      </c>
      <c r="J44" s="83">
        <v>100</v>
      </c>
      <c r="K44" s="67">
        <v>4953</v>
      </c>
      <c r="L44" s="68">
        <v>0.153</v>
      </c>
      <c r="M44" s="68">
        <v>0.153</v>
      </c>
      <c r="N44" s="146" t="s">
        <v>329</v>
      </c>
      <c r="O44" s="82">
        <v>90599679691.410004</v>
      </c>
      <c r="P44" s="66">
        <f t="shared" si="35"/>
        <v>1.523914286087252E-2</v>
      </c>
      <c r="Q44" s="146" t="s">
        <v>329</v>
      </c>
      <c r="R44" s="83">
        <v>100</v>
      </c>
      <c r="S44" s="146" t="s">
        <v>329</v>
      </c>
      <c r="T44" s="83">
        <v>100</v>
      </c>
      <c r="U44" s="67">
        <v>4953</v>
      </c>
      <c r="V44" s="68">
        <v>0.15240000000000001</v>
      </c>
      <c r="W44" s="68">
        <v>0.15240000000000001</v>
      </c>
      <c r="X44" s="162">
        <f t="shared" si="18"/>
        <v>4.3835687627696964E-3</v>
      </c>
      <c r="Y44" s="162">
        <f t="shared" si="19"/>
        <v>0</v>
      </c>
      <c r="Z44" s="162">
        <f t="shared" si="20"/>
        <v>0</v>
      </c>
      <c r="AA44" s="160">
        <f t="shared" si="21"/>
        <v>-5.9999999999998943E-4</v>
      </c>
      <c r="AB44" s="161">
        <f t="shared" si="22"/>
        <v>-5.9999999999998943E-4</v>
      </c>
    </row>
    <row r="45" spans="1:28">
      <c r="A45" s="178">
        <v>37</v>
      </c>
      <c r="B45" s="59" t="s">
        <v>76</v>
      </c>
      <c r="C45" s="60" t="s">
        <v>75</v>
      </c>
      <c r="D45" s="146" t="s">
        <v>329</v>
      </c>
      <c r="E45" s="82">
        <v>10397726978.66</v>
      </c>
      <c r="F45" s="66">
        <f t="shared" si="36"/>
        <v>1.7489294376740654E-3</v>
      </c>
      <c r="G45" s="146" t="s">
        <v>329</v>
      </c>
      <c r="H45" s="83">
        <v>1000000</v>
      </c>
      <c r="I45" s="146" t="s">
        <v>329</v>
      </c>
      <c r="J45" s="83">
        <v>1000000</v>
      </c>
      <c r="K45" s="67">
        <v>50</v>
      </c>
      <c r="L45" s="68">
        <v>0.1547</v>
      </c>
      <c r="M45" s="68">
        <v>0.1547</v>
      </c>
      <c r="N45" s="146" t="s">
        <v>329</v>
      </c>
      <c r="O45" s="82">
        <v>9557091336.6200008</v>
      </c>
      <c r="P45" s="66">
        <f t="shared" si="35"/>
        <v>1.6075319549608516E-3</v>
      </c>
      <c r="Q45" s="146" t="s">
        <v>329</v>
      </c>
      <c r="R45" s="83">
        <v>1000000</v>
      </c>
      <c r="S45" s="146" t="s">
        <v>329</v>
      </c>
      <c r="T45" s="83">
        <v>1000000</v>
      </c>
      <c r="U45" s="67">
        <v>50</v>
      </c>
      <c r="V45" s="68">
        <v>0.1545</v>
      </c>
      <c r="W45" s="68">
        <v>0.1545</v>
      </c>
      <c r="X45" s="162">
        <f t="shared" si="18"/>
        <v>-8.084802031879619E-2</v>
      </c>
      <c r="Y45" s="162">
        <f t="shared" si="19"/>
        <v>0</v>
      </c>
      <c r="Z45" s="162">
        <f t="shared" si="20"/>
        <v>0</v>
      </c>
      <c r="AA45" s="160">
        <f t="shared" si="21"/>
        <v>-2.0000000000000573E-4</v>
      </c>
      <c r="AB45" s="161">
        <f t="shared" si="22"/>
        <v>-2.0000000000000573E-4</v>
      </c>
    </row>
    <row r="46" spans="1:28">
      <c r="A46" s="178">
        <v>38</v>
      </c>
      <c r="B46" s="59" t="s">
        <v>77</v>
      </c>
      <c r="C46" s="60" t="s">
        <v>78</v>
      </c>
      <c r="D46" s="146" t="s">
        <v>329</v>
      </c>
      <c r="E46" s="82">
        <v>8431606629</v>
      </c>
      <c r="F46" s="66">
        <f t="shared" si="36"/>
        <v>1.4182219893454358E-3</v>
      </c>
      <c r="G46" s="146" t="s">
        <v>329</v>
      </c>
      <c r="H46" s="73">
        <v>1</v>
      </c>
      <c r="I46" s="146" t="s">
        <v>329</v>
      </c>
      <c r="J46" s="73">
        <v>1</v>
      </c>
      <c r="K46" s="67">
        <v>1262</v>
      </c>
      <c r="L46" s="68">
        <v>0.16689999999999999</v>
      </c>
      <c r="M46" s="68">
        <v>0.16689999999999999</v>
      </c>
      <c r="N46" s="146" t="s">
        <v>329</v>
      </c>
      <c r="O46" s="82">
        <v>8510723485.25</v>
      </c>
      <c r="P46" s="66">
        <f t="shared" si="35"/>
        <v>1.4315296862291718E-3</v>
      </c>
      <c r="Q46" s="146" t="s">
        <v>329</v>
      </c>
      <c r="R46" s="73">
        <v>1</v>
      </c>
      <c r="S46" s="146" t="s">
        <v>329</v>
      </c>
      <c r="T46" s="73">
        <v>1</v>
      </c>
      <c r="U46" s="67">
        <v>1267</v>
      </c>
      <c r="V46" s="68">
        <v>0.1764</v>
      </c>
      <c r="W46" s="68">
        <v>0.1764</v>
      </c>
      <c r="X46" s="162">
        <f t="shared" si="18"/>
        <v>9.3833666264602957E-3</v>
      </c>
      <c r="Y46" s="162">
        <f t="shared" si="19"/>
        <v>0</v>
      </c>
      <c r="Z46" s="162">
        <f t="shared" si="20"/>
        <v>3.9619651347068147E-3</v>
      </c>
      <c r="AA46" s="160">
        <f t="shared" si="21"/>
        <v>9.5000000000000084E-3</v>
      </c>
      <c r="AB46" s="161">
        <f t="shared" si="22"/>
        <v>9.5000000000000084E-3</v>
      </c>
    </row>
    <row r="47" spans="1:28">
      <c r="A47" s="178">
        <v>48</v>
      </c>
      <c r="B47" s="59" t="s">
        <v>317</v>
      </c>
      <c r="C47" s="60" t="s">
        <v>38</v>
      </c>
      <c r="D47" s="146" t="s">
        <v>329</v>
      </c>
      <c r="E47" s="82">
        <v>66103540320.870003</v>
      </c>
      <c r="F47" s="66">
        <f t="shared" si="36"/>
        <v>1.1118817395274915E-2</v>
      </c>
      <c r="G47" s="146" t="s">
        <v>329</v>
      </c>
      <c r="H47" s="73">
        <v>1</v>
      </c>
      <c r="I47" s="146" t="s">
        <v>329</v>
      </c>
      <c r="J47" s="73">
        <v>1</v>
      </c>
      <c r="K47" s="67">
        <v>3895</v>
      </c>
      <c r="L47" s="68">
        <v>0.15920000000000001</v>
      </c>
      <c r="M47" s="68">
        <v>0.15920000000000001</v>
      </c>
      <c r="N47" s="146" t="s">
        <v>329</v>
      </c>
      <c r="O47" s="82">
        <v>66156518577.699997</v>
      </c>
      <c r="P47" s="66">
        <f t="shared" si="35"/>
        <v>1.1127728499895836E-2</v>
      </c>
      <c r="Q47" s="146" t="s">
        <v>329</v>
      </c>
      <c r="R47" s="73">
        <v>1</v>
      </c>
      <c r="S47" s="146" t="s">
        <v>329</v>
      </c>
      <c r="T47" s="73">
        <v>1</v>
      </c>
      <c r="U47" s="67">
        <v>3927</v>
      </c>
      <c r="V47" s="68">
        <v>0.15909999999999999</v>
      </c>
      <c r="W47" s="68">
        <v>0.15909999999999999</v>
      </c>
      <c r="X47" s="162">
        <f>((O47-E47)/E47)</f>
        <v>8.0144356221822617E-4</v>
      </c>
      <c r="Y47" s="162">
        <f>((T47-J47)/J47)</f>
        <v>0</v>
      </c>
      <c r="Z47" s="162">
        <f>((U47-K47)/K47)</f>
        <v>8.2156611039794613E-3</v>
      </c>
      <c r="AA47" s="160">
        <f>V47-L47</f>
        <v>-1.0000000000001674E-4</v>
      </c>
      <c r="AB47" s="161">
        <f>W47-M47</f>
        <v>-1.0000000000001674E-4</v>
      </c>
    </row>
    <row r="48" spans="1:28">
      <c r="A48" s="178">
        <v>39</v>
      </c>
      <c r="B48" s="59" t="s">
        <v>321</v>
      </c>
      <c r="C48" s="60" t="s">
        <v>79</v>
      </c>
      <c r="D48" s="146" t="s">
        <v>329</v>
      </c>
      <c r="E48" s="82">
        <v>732505509838.31995</v>
      </c>
      <c r="F48" s="66">
        <f t="shared" si="36"/>
        <v>0.12320966419333589</v>
      </c>
      <c r="G48" s="146" t="s">
        <v>329</v>
      </c>
      <c r="H48" s="73">
        <v>100</v>
      </c>
      <c r="I48" s="146" t="s">
        <v>329</v>
      </c>
      <c r="J48" s="73">
        <v>100</v>
      </c>
      <c r="K48" s="67">
        <v>42086</v>
      </c>
      <c r="L48" s="68">
        <v>0.1595</v>
      </c>
      <c r="M48" s="68">
        <v>0.1595</v>
      </c>
      <c r="N48" s="146" t="s">
        <v>329</v>
      </c>
      <c r="O48" s="82">
        <v>730203519054.09998</v>
      </c>
      <c r="P48" s="66">
        <f t="shared" si="35"/>
        <v>0.12282246231199781</v>
      </c>
      <c r="Q48" s="146" t="s">
        <v>329</v>
      </c>
      <c r="R48" s="73">
        <v>100</v>
      </c>
      <c r="S48" s="146" t="s">
        <v>329</v>
      </c>
      <c r="T48" s="73">
        <v>100</v>
      </c>
      <c r="U48" s="67">
        <v>42223</v>
      </c>
      <c r="V48" s="68">
        <v>0.157</v>
      </c>
      <c r="W48" s="68">
        <v>0.157</v>
      </c>
      <c r="X48" s="162">
        <f t="shared" si="18"/>
        <v>-3.1426258960537655E-3</v>
      </c>
      <c r="Y48" s="162">
        <f t="shared" si="19"/>
        <v>0</v>
      </c>
      <c r="Z48" s="162">
        <f t="shared" si="20"/>
        <v>3.2552392719669247E-3</v>
      </c>
      <c r="AA48" s="160">
        <f t="shared" si="21"/>
        <v>-2.5000000000000022E-3</v>
      </c>
      <c r="AB48" s="161">
        <f t="shared" si="22"/>
        <v>-2.5000000000000022E-3</v>
      </c>
    </row>
    <row r="49" spans="1:28">
      <c r="A49" s="178">
        <v>40</v>
      </c>
      <c r="B49" s="59" t="s">
        <v>80</v>
      </c>
      <c r="C49" s="60" t="s">
        <v>81</v>
      </c>
      <c r="D49" s="146" t="s">
        <v>329</v>
      </c>
      <c r="E49" s="84">
        <v>7600643218.1999998</v>
      </c>
      <c r="F49" s="66">
        <f t="shared" si="36"/>
        <v>1.2784514054706262E-3</v>
      </c>
      <c r="G49" s="146" t="s">
        <v>329</v>
      </c>
      <c r="H49" s="73">
        <v>1</v>
      </c>
      <c r="I49" s="146" t="s">
        <v>329</v>
      </c>
      <c r="J49" s="73">
        <v>1</v>
      </c>
      <c r="K49" s="85">
        <v>2431</v>
      </c>
      <c r="L49" s="86">
        <v>0.18290000000000001</v>
      </c>
      <c r="M49" s="86">
        <v>0.18290000000000001</v>
      </c>
      <c r="N49" s="146" t="s">
        <v>329</v>
      </c>
      <c r="O49" s="84">
        <v>7958015385.7700005</v>
      </c>
      <c r="P49" s="66">
        <f t="shared" si="35"/>
        <v>1.338562495649406E-3</v>
      </c>
      <c r="Q49" s="146" t="s">
        <v>329</v>
      </c>
      <c r="R49" s="73">
        <v>1</v>
      </c>
      <c r="S49" s="146" t="s">
        <v>329</v>
      </c>
      <c r="T49" s="73">
        <v>1</v>
      </c>
      <c r="U49" s="85">
        <v>2453</v>
      </c>
      <c r="V49" s="86">
        <v>0.1802</v>
      </c>
      <c r="W49" s="86">
        <v>0.1802</v>
      </c>
      <c r="X49" s="162">
        <f t="shared" si="18"/>
        <v>4.7018674250392488E-2</v>
      </c>
      <c r="Y49" s="162">
        <f t="shared" si="19"/>
        <v>0</v>
      </c>
      <c r="Z49" s="162">
        <f t="shared" si="20"/>
        <v>9.0497737556561094E-3</v>
      </c>
      <c r="AA49" s="160">
        <f t="shared" si="21"/>
        <v>-2.7000000000000079E-3</v>
      </c>
      <c r="AB49" s="161">
        <f t="shared" si="22"/>
        <v>-2.7000000000000079E-3</v>
      </c>
    </row>
    <row r="50" spans="1:28">
      <c r="A50" s="178">
        <v>41</v>
      </c>
      <c r="B50" s="59" t="s">
        <v>82</v>
      </c>
      <c r="C50" s="60" t="s">
        <v>83</v>
      </c>
      <c r="D50" s="146" t="s">
        <v>329</v>
      </c>
      <c r="E50" s="82">
        <v>5435925239.4499998</v>
      </c>
      <c r="F50" s="66">
        <f t="shared" si="36"/>
        <v>9.1433922931247831E-4</v>
      </c>
      <c r="G50" s="146" t="s">
        <v>329</v>
      </c>
      <c r="H50" s="73">
        <v>1</v>
      </c>
      <c r="I50" s="146" t="s">
        <v>329</v>
      </c>
      <c r="J50" s="73">
        <v>1</v>
      </c>
      <c r="K50" s="85">
        <v>907</v>
      </c>
      <c r="L50" s="86">
        <v>0.16</v>
      </c>
      <c r="M50" s="86">
        <v>0.16</v>
      </c>
      <c r="N50" s="146" t="s">
        <v>329</v>
      </c>
      <c r="O50" s="82">
        <v>5481302875.5</v>
      </c>
      <c r="P50" s="66">
        <f t="shared" si="35"/>
        <v>9.2197188630210555E-4</v>
      </c>
      <c r="Q50" s="146" t="s">
        <v>329</v>
      </c>
      <c r="R50" s="73">
        <v>1</v>
      </c>
      <c r="S50" s="146" t="s">
        <v>329</v>
      </c>
      <c r="T50" s="73">
        <v>1</v>
      </c>
      <c r="U50" s="85">
        <v>923</v>
      </c>
      <c r="V50" s="86">
        <v>0.16</v>
      </c>
      <c r="W50" s="86">
        <v>0.16</v>
      </c>
      <c r="X50" s="162">
        <f t="shared" si="18"/>
        <v>8.3477299725688361E-3</v>
      </c>
      <c r="Y50" s="162">
        <f t="shared" si="19"/>
        <v>0</v>
      </c>
      <c r="Z50" s="162">
        <f t="shared" si="20"/>
        <v>1.7640573318632856E-2</v>
      </c>
      <c r="AA50" s="160">
        <f t="shared" si="21"/>
        <v>0</v>
      </c>
      <c r="AB50" s="161">
        <f t="shared" si="22"/>
        <v>0</v>
      </c>
    </row>
    <row r="51" spans="1:28">
      <c r="A51" s="178">
        <v>42</v>
      </c>
      <c r="B51" s="59" t="s">
        <v>84</v>
      </c>
      <c r="C51" s="60" t="s">
        <v>85</v>
      </c>
      <c r="D51" s="146" t="s">
        <v>329</v>
      </c>
      <c r="E51" s="82">
        <v>62221341.810000002</v>
      </c>
      <c r="F51" s="66">
        <f t="shared" si="36"/>
        <v>1.0465819747568841E-5</v>
      </c>
      <c r="G51" s="146" t="s">
        <v>329</v>
      </c>
      <c r="H51" s="73">
        <v>1</v>
      </c>
      <c r="I51" s="146" t="s">
        <v>329</v>
      </c>
      <c r="J51" s="73">
        <v>1</v>
      </c>
      <c r="K51" s="85">
        <v>29</v>
      </c>
      <c r="L51" s="86">
        <v>0.105</v>
      </c>
      <c r="M51" s="86">
        <v>0.105</v>
      </c>
      <c r="N51" s="146" t="s">
        <v>329</v>
      </c>
      <c r="O51" s="82">
        <v>62460686.420000002</v>
      </c>
      <c r="P51" s="66">
        <f t="shared" si="35"/>
        <v>1.0506078242049098E-5</v>
      </c>
      <c r="Q51" s="146" t="s">
        <v>329</v>
      </c>
      <c r="R51" s="73">
        <v>1</v>
      </c>
      <c r="S51" s="146" t="s">
        <v>329</v>
      </c>
      <c r="T51" s="73">
        <v>1</v>
      </c>
      <c r="U51" s="85">
        <v>30</v>
      </c>
      <c r="V51" s="86">
        <v>0.105</v>
      </c>
      <c r="W51" s="86">
        <v>0.105</v>
      </c>
      <c r="X51" s="162">
        <f t="shared" si="18"/>
        <v>3.8466642318782775E-3</v>
      </c>
      <c r="Y51" s="162">
        <f t="shared" si="19"/>
        <v>0</v>
      </c>
      <c r="Z51" s="162">
        <f t="shared" si="20"/>
        <v>3.4482758620689655E-2</v>
      </c>
      <c r="AA51" s="160">
        <f t="shared" si="21"/>
        <v>0</v>
      </c>
      <c r="AB51" s="161">
        <f t="shared" si="22"/>
        <v>0</v>
      </c>
    </row>
    <row r="52" spans="1:28">
      <c r="A52" s="178">
        <v>43</v>
      </c>
      <c r="B52" s="59" t="s">
        <v>86</v>
      </c>
      <c r="C52" s="60" t="s">
        <v>87</v>
      </c>
      <c r="D52" s="146" t="s">
        <v>329</v>
      </c>
      <c r="E52" s="82">
        <v>2143100016.6600001</v>
      </c>
      <c r="F52" s="66">
        <f t="shared" si="36"/>
        <v>3.6047596890253141E-4</v>
      </c>
      <c r="G52" s="146" t="s">
        <v>329</v>
      </c>
      <c r="H52" s="73">
        <v>10</v>
      </c>
      <c r="I52" s="146" t="s">
        <v>329</v>
      </c>
      <c r="J52" s="73">
        <v>10</v>
      </c>
      <c r="K52" s="67">
        <v>567</v>
      </c>
      <c r="L52" s="68">
        <v>0.1648</v>
      </c>
      <c r="M52" s="68">
        <v>0.1648</v>
      </c>
      <c r="N52" s="146" t="s">
        <v>329</v>
      </c>
      <c r="O52" s="82">
        <v>2146554936.78</v>
      </c>
      <c r="P52" s="66">
        <f t="shared" si="35"/>
        <v>3.6105709701977104E-4</v>
      </c>
      <c r="Q52" s="146" t="s">
        <v>329</v>
      </c>
      <c r="R52" s="73">
        <v>10</v>
      </c>
      <c r="S52" s="146" t="s">
        <v>329</v>
      </c>
      <c r="T52" s="73">
        <v>10</v>
      </c>
      <c r="U52" s="67">
        <v>571</v>
      </c>
      <c r="V52" s="68">
        <v>0.1671</v>
      </c>
      <c r="W52" s="68">
        <v>0.1671</v>
      </c>
      <c r="X52" s="162">
        <f t="shared" si="18"/>
        <v>1.6121133372880767E-3</v>
      </c>
      <c r="Y52" s="162">
        <f t="shared" si="19"/>
        <v>0</v>
      </c>
      <c r="Z52" s="162">
        <f t="shared" si="20"/>
        <v>7.0546737213403876E-3</v>
      </c>
      <c r="AA52" s="160">
        <f t="shared" si="21"/>
        <v>2.2999999999999965E-3</v>
      </c>
      <c r="AB52" s="161">
        <f t="shared" si="22"/>
        <v>2.2999999999999965E-3</v>
      </c>
    </row>
    <row r="53" spans="1:28">
      <c r="A53" s="178">
        <v>44</v>
      </c>
      <c r="B53" s="59" t="s">
        <v>88</v>
      </c>
      <c r="C53" s="60" t="s">
        <v>89</v>
      </c>
      <c r="D53" s="146" t="s">
        <v>329</v>
      </c>
      <c r="E53" s="82">
        <v>13312074615.43</v>
      </c>
      <c r="F53" s="66">
        <f t="shared" si="36"/>
        <v>2.239131612055429E-3</v>
      </c>
      <c r="G53" s="146" t="s">
        <v>329</v>
      </c>
      <c r="H53" s="73">
        <v>100</v>
      </c>
      <c r="I53" s="146" t="s">
        <v>329</v>
      </c>
      <c r="J53" s="73">
        <v>100</v>
      </c>
      <c r="K53" s="67">
        <v>1099</v>
      </c>
      <c r="L53" s="68">
        <v>0.1842</v>
      </c>
      <c r="M53" s="68">
        <v>0.1842</v>
      </c>
      <c r="N53" s="146" t="s">
        <v>329</v>
      </c>
      <c r="O53" s="82">
        <v>13431890404.540001</v>
      </c>
      <c r="P53" s="66">
        <f t="shared" si="35"/>
        <v>2.2592849937611327E-3</v>
      </c>
      <c r="Q53" s="146" t="s">
        <v>329</v>
      </c>
      <c r="R53" s="73">
        <v>100</v>
      </c>
      <c r="S53" s="146" t="s">
        <v>329</v>
      </c>
      <c r="T53" s="73">
        <v>100</v>
      </c>
      <c r="U53" s="67">
        <v>1105</v>
      </c>
      <c r="V53" s="68">
        <v>0.18579999999999999</v>
      </c>
      <c r="W53" s="68">
        <v>0.18579999999999999</v>
      </c>
      <c r="X53" s="162">
        <f t="shared" si="18"/>
        <v>9.0005346703152002E-3</v>
      </c>
      <c r="Y53" s="162">
        <f t="shared" si="19"/>
        <v>0</v>
      </c>
      <c r="Z53" s="162">
        <f t="shared" si="20"/>
        <v>5.4595086442220204E-3</v>
      </c>
      <c r="AA53" s="160">
        <f t="shared" si="21"/>
        <v>1.5999999999999903E-3</v>
      </c>
      <c r="AB53" s="161">
        <f t="shared" si="22"/>
        <v>1.5999999999999903E-3</v>
      </c>
    </row>
    <row r="54" spans="1:28">
      <c r="A54" s="178">
        <v>45</v>
      </c>
      <c r="B54" s="59" t="s">
        <v>90</v>
      </c>
      <c r="C54" s="59" t="s">
        <v>91</v>
      </c>
      <c r="D54" s="146" t="s">
        <v>329</v>
      </c>
      <c r="E54" s="87">
        <v>147920716.59</v>
      </c>
      <c r="F54" s="66">
        <v>0</v>
      </c>
      <c r="G54" s="146" t="s">
        <v>329</v>
      </c>
      <c r="H54" s="65">
        <v>1</v>
      </c>
      <c r="I54" s="146" t="s">
        <v>329</v>
      </c>
      <c r="J54" s="65">
        <v>1</v>
      </c>
      <c r="K54" s="67">
        <v>173</v>
      </c>
      <c r="L54" s="68">
        <v>0.16600000000000001</v>
      </c>
      <c r="M54" s="68">
        <v>0.16600000000000001</v>
      </c>
      <c r="N54" s="146" t="s">
        <v>329</v>
      </c>
      <c r="O54" s="87">
        <v>147846922.06999999</v>
      </c>
      <c r="P54" s="88">
        <f>(O54/$O$203)</f>
        <v>9.3785757889181345E-4</v>
      </c>
      <c r="Q54" s="146" t="s">
        <v>329</v>
      </c>
      <c r="R54" s="65">
        <v>1</v>
      </c>
      <c r="S54" s="146" t="s">
        <v>329</v>
      </c>
      <c r="T54" s="65">
        <v>1</v>
      </c>
      <c r="U54" s="67">
        <v>172</v>
      </c>
      <c r="V54" s="68">
        <v>0.1678</v>
      </c>
      <c r="W54" s="68">
        <v>0.1678</v>
      </c>
      <c r="X54" s="160">
        <f t="shared" si="18"/>
        <v>-4.9887887039211051E-4</v>
      </c>
      <c r="Y54" s="160">
        <f t="shared" si="19"/>
        <v>0</v>
      </c>
      <c r="Z54" s="160">
        <f t="shared" si="20"/>
        <v>-5.7803468208092483E-3</v>
      </c>
      <c r="AA54" s="160">
        <f t="shared" si="21"/>
        <v>1.799999999999996E-3</v>
      </c>
      <c r="AB54" s="161">
        <f t="shared" si="22"/>
        <v>1.799999999999996E-3</v>
      </c>
    </row>
    <row r="55" spans="1:28">
      <c r="A55" s="178">
        <v>46</v>
      </c>
      <c r="B55" s="59" t="s">
        <v>92</v>
      </c>
      <c r="C55" s="60" t="s">
        <v>35</v>
      </c>
      <c r="D55" s="146" t="s">
        <v>329</v>
      </c>
      <c r="E55" s="82">
        <v>3195902165.1100001</v>
      </c>
      <c r="F55" s="66">
        <f t="shared" ref="F55:F75" si="37">(E55/$O$76)</f>
        <v>5.3756050605663157E-4</v>
      </c>
      <c r="G55" s="146" t="s">
        <v>329</v>
      </c>
      <c r="H55" s="73">
        <v>100</v>
      </c>
      <c r="I55" s="146" t="s">
        <v>329</v>
      </c>
      <c r="J55" s="73">
        <v>100</v>
      </c>
      <c r="K55" s="67">
        <v>13929</v>
      </c>
      <c r="L55" s="68">
        <v>0.14510000000000001</v>
      </c>
      <c r="M55" s="68">
        <v>0.14510000000000001</v>
      </c>
      <c r="N55" s="146" t="s">
        <v>329</v>
      </c>
      <c r="O55" s="82">
        <v>4317894228.6899996</v>
      </c>
      <c r="P55" s="66">
        <f t="shared" ref="P55:P68" si="38">(O55/$O$76)</f>
        <v>7.2628299827623595E-4</v>
      </c>
      <c r="Q55" s="146" t="s">
        <v>329</v>
      </c>
      <c r="R55" s="73">
        <v>100</v>
      </c>
      <c r="S55" s="146" t="s">
        <v>329</v>
      </c>
      <c r="T55" s="73">
        <v>100</v>
      </c>
      <c r="U55" s="67">
        <v>15849</v>
      </c>
      <c r="V55" s="68">
        <v>0.15090000000000001</v>
      </c>
      <c r="W55" s="68">
        <v>0.15090000000000001</v>
      </c>
      <c r="X55" s="162">
        <f t="shared" ref="X55" si="39">((O55-E55)/E55)</f>
        <v>0.3510720934542067</v>
      </c>
      <c r="Y55" s="162">
        <f t="shared" ref="Y55" si="40">((T55-J55)/J55)</f>
        <v>0</v>
      </c>
      <c r="Z55" s="162">
        <f t="shared" ref="Z55" si="41">((U55-K55)/K55)</f>
        <v>0.13784191255653672</v>
      </c>
      <c r="AA55" s="160">
        <f t="shared" ref="AA55" si="42">V55-L55</f>
        <v>5.7999999999999996E-3</v>
      </c>
      <c r="AB55" s="161">
        <f t="shared" ref="AB55" si="43">W55-M55</f>
        <v>5.7999999999999996E-3</v>
      </c>
    </row>
    <row r="56" spans="1:28">
      <c r="A56" s="178">
        <v>47</v>
      </c>
      <c r="B56" s="59" t="s">
        <v>93</v>
      </c>
      <c r="C56" s="60" t="s">
        <v>35</v>
      </c>
      <c r="D56" s="146" t="s">
        <v>329</v>
      </c>
      <c r="E56" s="82">
        <v>518091511782.33002</v>
      </c>
      <c r="F56" s="66">
        <f t="shared" si="37"/>
        <v>8.7144574792629395E-2</v>
      </c>
      <c r="G56" s="146" t="s">
        <v>329</v>
      </c>
      <c r="H56" s="73">
        <v>100</v>
      </c>
      <c r="I56" s="146" t="s">
        <v>329</v>
      </c>
      <c r="J56" s="73">
        <v>100</v>
      </c>
      <c r="K56" s="67">
        <v>48139</v>
      </c>
      <c r="L56" s="68">
        <v>0.1729</v>
      </c>
      <c r="M56" s="68">
        <v>0.1729</v>
      </c>
      <c r="N56" s="146" t="s">
        <v>329</v>
      </c>
      <c r="O56" s="82">
        <v>518091511782.33002</v>
      </c>
      <c r="P56" s="66">
        <f t="shared" si="38"/>
        <v>8.7144574792629395E-2</v>
      </c>
      <c r="Q56" s="146" t="s">
        <v>329</v>
      </c>
      <c r="R56" s="73">
        <v>100</v>
      </c>
      <c r="S56" s="146" t="s">
        <v>329</v>
      </c>
      <c r="T56" s="73">
        <v>100</v>
      </c>
      <c r="U56" s="67">
        <v>48924</v>
      </c>
      <c r="V56" s="68">
        <v>0.17369999999999999</v>
      </c>
      <c r="W56" s="68">
        <v>0.17369999999999999</v>
      </c>
      <c r="X56" s="162">
        <f t="shared" si="18"/>
        <v>0</v>
      </c>
      <c r="Y56" s="162">
        <f t="shared" si="19"/>
        <v>0</v>
      </c>
      <c r="Z56" s="162">
        <f t="shared" si="20"/>
        <v>1.630694447329608E-2</v>
      </c>
      <c r="AA56" s="160">
        <f t="shared" si="21"/>
        <v>7.9999999999999516E-4</v>
      </c>
      <c r="AB56" s="161">
        <f t="shared" si="22"/>
        <v>7.9999999999999516E-4</v>
      </c>
    </row>
    <row r="57" spans="1:28">
      <c r="A57" s="178">
        <v>49</v>
      </c>
      <c r="B57" s="59" t="s">
        <v>94</v>
      </c>
      <c r="C57" s="60" t="s">
        <v>95</v>
      </c>
      <c r="D57" s="146" t="s">
        <v>329</v>
      </c>
      <c r="E57" s="82">
        <v>6272491958.8599997</v>
      </c>
      <c r="F57" s="66">
        <f t="shared" si="37"/>
        <v>1.0550523068107993E-3</v>
      </c>
      <c r="G57" s="146" t="s">
        <v>329</v>
      </c>
      <c r="H57" s="73">
        <v>100</v>
      </c>
      <c r="I57" s="146" t="s">
        <v>329</v>
      </c>
      <c r="J57" s="73">
        <v>100</v>
      </c>
      <c r="K57" s="67">
        <v>1024</v>
      </c>
      <c r="L57" s="68">
        <v>0.16619999999999999</v>
      </c>
      <c r="M57" s="68">
        <v>0.16619999999999999</v>
      </c>
      <c r="N57" s="146" t="s">
        <v>329</v>
      </c>
      <c r="O57" s="82">
        <v>6327976038.8400002</v>
      </c>
      <c r="P57" s="66">
        <f t="shared" si="38"/>
        <v>1.0643848985395919E-3</v>
      </c>
      <c r="Q57" s="146" t="s">
        <v>329</v>
      </c>
      <c r="R57" s="73">
        <v>100</v>
      </c>
      <c r="S57" s="146" t="s">
        <v>329</v>
      </c>
      <c r="T57" s="73">
        <v>100</v>
      </c>
      <c r="U57" s="67">
        <v>1021</v>
      </c>
      <c r="V57" s="68">
        <v>0.16830000000000001</v>
      </c>
      <c r="W57" s="68">
        <v>0.16830000000000001</v>
      </c>
      <c r="X57" s="162">
        <f t="shared" si="18"/>
        <v>8.845619945614806E-3</v>
      </c>
      <c r="Y57" s="162">
        <f t="shared" si="19"/>
        <v>0</v>
      </c>
      <c r="Z57" s="162">
        <f t="shared" si="20"/>
        <v>-2.9296875E-3</v>
      </c>
      <c r="AA57" s="160">
        <f t="shared" si="21"/>
        <v>2.1000000000000185E-3</v>
      </c>
      <c r="AB57" s="161">
        <f t="shared" si="22"/>
        <v>2.1000000000000185E-3</v>
      </c>
    </row>
    <row r="58" spans="1:28">
      <c r="A58" s="178">
        <v>50</v>
      </c>
      <c r="B58" s="59" t="s">
        <v>96</v>
      </c>
      <c r="C58" s="60" t="s">
        <v>40</v>
      </c>
      <c r="D58" s="146" t="s">
        <v>329</v>
      </c>
      <c r="E58" s="84">
        <v>118460822543.45</v>
      </c>
      <c r="F58" s="66">
        <f t="shared" si="37"/>
        <v>1.9925472190463631E-2</v>
      </c>
      <c r="G58" s="146" t="s">
        <v>329</v>
      </c>
      <c r="H58" s="73">
        <v>10</v>
      </c>
      <c r="I58" s="146" t="s">
        <v>329</v>
      </c>
      <c r="J58" s="73">
        <v>10</v>
      </c>
      <c r="K58" s="67">
        <v>11387</v>
      </c>
      <c r="L58" s="68">
        <v>0.1807</v>
      </c>
      <c r="M58" s="68">
        <v>0.1807</v>
      </c>
      <c r="N58" s="146" t="s">
        <v>329</v>
      </c>
      <c r="O58" s="84">
        <v>121161919398.21001</v>
      </c>
      <c r="P58" s="66">
        <f t="shared" si="38"/>
        <v>2.0379804931936269E-2</v>
      </c>
      <c r="Q58" s="146" t="s">
        <v>329</v>
      </c>
      <c r="R58" s="73">
        <v>10</v>
      </c>
      <c r="S58" s="146" t="s">
        <v>329</v>
      </c>
      <c r="T58" s="73">
        <v>10</v>
      </c>
      <c r="U58" s="67">
        <v>11394</v>
      </c>
      <c r="V58" s="68">
        <v>0.17979999999999999</v>
      </c>
      <c r="W58" s="68">
        <v>0.17979999999999999</v>
      </c>
      <c r="X58" s="162">
        <f t="shared" si="18"/>
        <v>2.2801604756452539E-2</v>
      </c>
      <c r="Y58" s="162">
        <f t="shared" si="19"/>
        <v>0</v>
      </c>
      <c r="Z58" s="162">
        <f t="shared" si="20"/>
        <v>6.1473610257310968E-4</v>
      </c>
      <c r="AA58" s="160">
        <f t="shared" si="21"/>
        <v>-9.000000000000119E-4</v>
      </c>
      <c r="AB58" s="161">
        <f t="shared" si="22"/>
        <v>-9.000000000000119E-4</v>
      </c>
    </row>
    <row r="59" spans="1:28">
      <c r="A59" s="178">
        <v>51</v>
      </c>
      <c r="B59" s="59" t="s">
        <v>338</v>
      </c>
      <c r="C59" s="60" t="s">
        <v>312</v>
      </c>
      <c r="D59" s="146" t="s">
        <v>329</v>
      </c>
      <c r="E59" s="84">
        <v>479895645.30000001</v>
      </c>
      <c r="F59" s="66">
        <f t="shared" si="37"/>
        <v>8.0719913381003817E-5</v>
      </c>
      <c r="G59" s="146" t="s">
        <v>329</v>
      </c>
      <c r="H59" s="73">
        <v>1</v>
      </c>
      <c r="I59" s="146" t="s">
        <v>329</v>
      </c>
      <c r="J59" s="73">
        <v>1</v>
      </c>
      <c r="K59" s="67">
        <v>312</v>
      </c>
      <c r="L59" s="68">
        <v>0.19250500000000001</v>
      </c>
      <c r="M59" s="68">
        <v>0.19250500000000001</v>
      </c>
      <c r="N59" s="146" t="s">
        <v>329</v>
      </c>
      <c r="O59" s="84">
        <v>441180093.45999998</v>
      </c>
      <c r="P59" s="66">
        <f t="shared" si="38"/>
        <v>7.4207839304838902E-5</v>
      </c>
      <c r="Q59" s="146" t="s">
        <v>329</v>
      </c>
      <c r="R59" s="73">
        <v>1</v>
      </c>
      <c r="S59" s="146" t="s">
        <v>329</v>
      </c>
      <c r="T59" s="73">
        <v>1</v>
      </c>
      <c r="U59" s="67">
        <v>312</v>
      </c>
      <c r="V59" s="68">
        <v>0.18457899999999999</v>
      </c>
      <c r="W59" s="68">
        <v>0.18457899999999999</v>
      </c>
      <c r="X59" s="162">
        <f t="shared" ref="X59" si="44">((O59-E59)/E59)</f>
        <v>-8.0674938852169725E-2</v>
      </c>
      <c r="Y59" s="162">
        <f t="shared" ref="Y59" si="45">((T59-J59)/J59)</f>
        <v>0</v>
      </c>
      <c r="Z59" s="162">
        <f t="shared" ref="Z59" si="46">((U59-K59)/K59)</f>
        <v>0</v>
      </c>
      <c r="AA59" s="160">
        <f t="shared" ref="AA59" si="47">V59-L59</f>
        <v>-7.9260000000000164E-3</v>
      </c>
      <c r="AB59" s="161">
        <f t="shared" ref="AB59" si="48">W59-M59</f>
        <v>-7.9260000000000164E-3</v>
      </c>
    </row>
    <row r="60" spans="1:28">
      <c r="A60" s="178">
        <v>52</v>
      </c>
      <c r="B60" s="59" t="s">
        <v>97</v>
      </c>
      <c r="C60" s="60" t="s">
        <v>98</v>
      </c>
      <c r="D60" s="146" t="s">
        <v>329</v>
      </c>
      <c r="E60" s="82">
        <v>46054854219</v>
      </c>
      <c r="F60" s="66">
        <f t="shared" si="37"/>
        <v>7.7465671542163465E-3</v>
      </c>
      <c r="G60" s="146" t="s">
        <v>329</v>
      </c>
      <c r="H60" s="73">
        <v>100</v>
      </c>
      <c r="I60" s="146" t="s">
        <v>329</v>
      </c>
      <c r="J60" s="73">
        <v>100</v>
      </c>
      <c r="K60" s="67">
        <v>6606</v>
      </c>
      <c r="L60" s="68">
        <v>0.1779</v>
      </c>
      <c r="M60" s="68">
        <v>0.1779</v>
      </c>
      <c r="N60" s="146" t="s">
        <v>329</v>
      </c>
      <c r="O60" s="82">
        <v>46133705420</v>
      </c>
      <c r="P60" s="66">
        <f t="shared" si="38"/>
        <v>7.7598301670755883E-3</v>
      </c>
      <c r="Q60" s="146" t="s">
        <v>329</v>
      </c>
      <c r="R60" s="73">
        <v>100</v>
      </c>
      <c r="S60" s="146" t="s">
        <v>329</v>
      </c>
      <c r="T60" s="73">
        <v>100</v>
      </c>
      <c r="U60" s="67">
        <v>6643</v>
      </c>
      <c r="V60" s="68">
        <v>0.17760000000000001</v>
      </c>
      <c r="W60" s="68">
        <v>0.17760000000000001</v>
      </c>
      <c r="X60" s="162">
        <f t="shared" si="18"/>
        <v>1.712114875557891E-3</v>
      </c>
      <c r="Y60" s="162">
        <f t="shared" si="19"/>
        <v>0</v>
      </c>
      <c r="Z60" s="162">
        <f t="shared" si="20"/>
        <v>5.6009688162276718E-3</v>
      </c>
      <c r="AA60" s="160">
        <f t="shared" si="21"/>
        <v>-2.9999999999999472E-4</v>
      </c>
      <c r="AB60" s="161">
        <f t="shared" si="22"/>
        <v>-2.9999999999999472E-4</v>
      </c>
    </row>
    <row r="61" spans="1:28">
      <c r="A61" s="178">
        <v>53</v>
      </c>
      <c r="B61" s="59" t="s">
        <v>99</v>
      </c>
      <c r="C61" s="60" t="s">
        <v>100</v>
      </c>
      <c r="D61" s="146" t="s">
        <v>329</v>
      </c>
      <c r="E61" s="82">
        <v>191208961.63999999</v>
      </c>
      <c r="F61" s="66">
        <f t="shared" si="37"/>
        <v>3.2161931395738969E-5</v>
      </c>
      <c r="G61" s="146" t="s">
        <v>329</v>
      </c>
      <c r="H61" s="73">
        <v>1.01</v>
      </c>
      <c r="I61" s="146" t="s">
        <v>329</v>
      </c>
      <c r="J61" s="73">
        <v>1.01</v>
      </c>
      <c r="K61" s="67">
        <v>120</v>
      </c>
      <c r="L61" s="68">
        <v>0.15329999999999999</v>
      </c>
      <c r="M61" s="68">
        <v>0.15329999999999999</v>
      </c>
      <c r="N61" s="146" t="s">
        <v>329</v>
      </c>
      <c r="O61" s="82">
        <v>192429589.63</v>
      </c>
      <c r="P61" s="66">
        <f t="shared" si="38"/>
        <v>3.2367244752065915E-5</v>
      </c>
      <c r="Q61" s="146" t="s">
        <v>329</v>
      </c>
      <c r="R61" s="73">
        <v>1.01</v>
      </c>
      <c r="S61" s="146" t="s">
        <v>329</v>
      </c>
      <c r="T61" s="73">
        <v>1.01</v>
      </c>
      <c r="U61" s="67">
        <v>121</v>
      </c>
      <c r="V61" s="68">
        <v>0.154</v>
      </c>
      <c r="W61" s="68">
        <v>0.154</v>
      </c>
      <c r="X61" s="162">
        <f t="shared" si="18"/>
        <v>6.3837383955787355E-3</v>
      </c>
      <c r="Y61" s="162">
        <f t="shared" si="19"/>
        <v>0</v>
      </c>
      <c r="Z61" s="162">
        <f t="shared" si="20"/>
        <v>8.3333333333333332E-3</v>
      </c>
      <c r="AA61" s="160">
        <f t="shared" si="21"/>
        <v>7.0000000000000617E-4</v>
      </c>
      <c r="AB61" s="161">
        <f t="shared" si="22"/>
        <v>7.0000000000000617E-4</v>
      </c>
    </row>
    <row r="62" spans="1:28">
      <c r="A62" s="178">
        <v>54</v>
      </c>
      <c r="B62" s="59" t="s">
        <v>101</v>
      </c>
      <c r="C62" s="60" t="s">
        <v>42</v>
      </c>
      <c r="D62" s="146" t="s">
        <v>329</v>
      </c>
      <c r="E62" s="84">
        <v>2855423640.71</v>
      </c>
      <c r="F62" s="66">
        <f t="shared" si="37"/>
        <v>4.8029097826068933E-4</v>
      </c>
      <c r="G62" s="146" t="s">
        <v>329</v>
      </c>
      <c r="H62" s="73">
        <v>10</v>
      </c>
      <c r="I62" s="146" t="s">
        <v>329</v>
      </c>
      <c r="J62" s="73">
        <v>10</v>
      </c>
      <c r="K62" s="67">
        <v>1015</v>
      </c>
      <c r="L62" s="68">
        <v>0.1643</v>
      </c>
      <c r="M62" s="68">
        <v>0.1643</v>
      </c>
      <c r="N62" s="146" t="s">
        <v>329</v>
      </c>
      <c r="O62" s="84">
        <v>2840297543.6300001</v>
      </c>
      <c r="P62" s="66">
        <f t="shared" si="38"/>
        <v>4.777467225291605E-4</v>
      </c>
      <c r="Q62" s="146" t="s">
        <v>329</v>
      </c>
      <c r="R62" s="73">
        <v>10</v>
      </c>
      <c r="S62" s="146" t="s">
        <v>329</v>
      </c>
      <c r="T62" s="73">
        <v>10</v>
      </c>
      <c r="U62" s="67">
        <v>1016</v>
      </c>
      <c r="V62" s="68">
        <v>0.1714</v>
      </c>
      <c r="W62" s="68">
        <v>0.1714</v>
      </c>
      <c r="X62" s="162">
        <f t="shared" si="18"/>
        <v>-5.297321512768181E-3</v>
      </c>
      <c r="Y62" s="162">
        <f t="shared" si="19"/>
        <v>0</v>
      </c>
      <c r="Z62" s="162">
        <f t="shared" si="20"/>
        <v>9.8522167487684722E-4</v>
      </c>
      <c r="AA62" s="160">
        <f t="shared" si="21"/>
        <v>7.0999999999999952E-3</v>
      </c>
      <c r="AB62" s="161">
        <f t="shared" si="22"/>
        <v>7.0999999999999952E-3</v>
      </c>
    </row>
    <row r="63" spans="1:28" ht="15.6" customHeight="1">
      <c r="A63" s="178">
        <v>55</v>
      </c>
      <c r="B63" s="59" t="s">
        <v>102</v>
      </c>
      <c r="C63" s="60" t="s">
        <v>103</v>
      </c>
      <c r="D63" s="146" t="s">
        <v>329</v>
      </c>
      <c r="E63" s="84">
        <v>2056831387</v>
      </c>
      <c r="F63" s="66">
        <f t="shared" si="37"/>
        <v>3.4596532188613705E-4</v>
      </c>
      <c r="G63" s="146" t="s">
        <v>329</v>
      </c>
      <c r="H63" s="73">
        <v>1</v>
      </c>
      <c r="I63" s="146" t="s">
        <v>329</v>
      </c>
      <c r="J63" s="73">
        <v>1</v>
      </c>
      <c r="K63" s="67">
        <v>280</v>
      </c>
      <c r="L63" s="68">
        <v>0.18490000000000001</v>
      </c>
      <c r="M63" s="68">
        <v>0.18490000000000001</v>
      </c>
      <c r="N63" s="146" t="s">
        <v>329</v>
      </c>
      <c r="O63" s="84">
        <v>2040128352</v>
      </c>
      <c r="P63" s="66">
        <f t="shared" si="38"/>
        <v>3.4315582037970638E-4</v>
      </c>
      <c r="Q63" s="146" t="s">
        <v>329</v>
      </c>
      <c r="R63" s="73">
        <v>1</v>
      </c>
      <c r="S63" s="146" t="s">
        <v>329</v>
      </c>
      <c r="T63" s="73">
        <v>1</v>
      </c>
      <c r="U63" s="67">
        <v>284</v>
      </c>
      <c r="V63" s="68">
        <v>0.20019999999999999</v>
      </c>
      <c r="W63" s="68">
        <v>0.20019999999999999</v>
      </c>
      <c r="X63" s="162">
        <f t="shared" si="18"/>
        <v>-8.1207604597877524E-3</v>
      </c>
      <c r="Y63" s="162">
        <f t="shared" si="19"/>
        <v>0</v>
      </c>
      <c r="Z63" s="162">
        <f t="shared" si="20"/>
        <v>1.4285714285714285E-2</v>
      </c>
      <c r="AA63" s="160">
        <f t="shared" si="21"/>
        <v>1.529999999999998E-2</v>
      </c>
      <c r="AB63" s="161">
        <f t="shared" si="22"/>
        <v>1.529999999999998E-2</v>
      </c>
    </row>
    <row r="64" spans="1:28">
      <c r="A64" s="178">
        <v>56</v>
      </c>
      <c r="B64" s="59" t="s">
        <v>104</v>
      </c>
      <c r="C64" s="60" t="s">
        <v>105</v>
      </c>
      <c r="D64" s="146" t="s">
        <v>329</v>
      </c>
      <c r="E64" s="84">
        <v>2265178313.6100001</v>
      </c>
      <c r="F64" s="66">
        <f t="shared" si="37"/>
        <v>3.8100991133775458E-4</v>
      </c>
      <c r="G64" s="146" t="s">
        <v>329</v>
      </c>
      <c r="H64" s="73">
        <v>1</v>
      </c>
      <c r="I64" s="146" t="s">
        <v>329</v>
      </c>
      <c r="J64" s="73">
        <v>1</v>
      </c>
      <c r="K64" s="67">
        <v>3172</v>
      </c>
      <c r="L64" s="68">
        <v>0.1676</v>
      </c>
      <c r="M64" s="68">
        <v>0.1676</v>
      </c>
      <c r="N64" s="146" t="s">
        <v>329</v>
      </c>
      <c r="O64" s="84">
        <v>2311101738.0100002</v>
      </c>
      <c r="P64" s="66">
        <f t="shared" si="38"/>
        <v>3.8873437159496265E-4</v>
      </c>
      <c r="Q64" s="146" t="s">
        <v>329</v>
      </c>
      <c r="R64" s="73">
        <v>1</v>
      </c>
      <c r="S64" s="146" t="s">
        <v>329</v>
      </c>
      <c r="T64" s="73">
        <v>1</v>
      </c>
      <c r="U64" s="67">
        <v>3213</v>
      </c>
      <c r="V64" s="68">
        <v>0.1671</v>
      </c>
      <c r="W64" s="68">
        <v>0.1671</v>
      </c>
      <c r="X64" s="162">
        <f t="shared" si="18"/>
        <v>2.0273646504593377E-2</v>
      </c>
      <c r="Y64" s="162">
        <f t="shared" si="19"/>
        <v>0</v>
      </c>
      <c r="Z64" s="162">
        <f t="shared" si="20"/>
        <v>1.2925598991172762E-2</v>
      </c>
      <c r="AA64" s="160">
        <f t="shared" si="21"/>
        <v>-5.0000000000000044E-4</v>
      </c>
      <c r="AB64" s="161">
        <f t="shared" si="22"/>
        <v>-5.0000000000000044E-4</v>
      </c>
    </row>
    <row r="65" spans="1:28">
      <c r="A65" s="181">
        <v>57</v>
      </c>
      <c r="B65" s="59" t="s">
        <v>106</v>
      </c>
      <c r="C65" s="60" t="s">
        <v>107</v>
      </c>
      <c r="D65" s="146" t="s">
        <v>329</v>
      </c>
      <c r="E65" s="84">
        <v>22894747902.040001</v>
      </c>
      <c r="F65" s="66">
        <f t="shared" si="37"/>
        <v>3.8509665291446807E-3</v>
      </c>
      <c r="G65" s="146" t="s">
        <v>329</v>
      </c>
      <c r="H65" s="73">
        <v>100</v>
      </c>
      <c r="I65" s="146" t="s">
        <v>329</v>
      </c>
      <c r="J65" s="73">
        <v>100</v>
      </c>
      <c r="K65" s="67">
        <v>162</v>
      </c>
      <c r="L65" s="68">
        <v>0.1593</v>
      </c>
      <c r="M65" s="68">
        <v>0.1593</v>
      </c>
      <c r="N65" s="146" t="s">
        <v>329</v>
      </c>
      <c r="O65" s="84">
        <v>22523014588.860001</v>
      </c>
      <c r="P65" s="66">
        <f t="shared" si="38"/>
        <v>3.7884398504081707E-3</v>
      </c>
      <c r="Q65" s="146" t="s">
        <v>329</v>
      </c>
      <c r="R65" s="73">
        <v>100</v>
      </c>
      <c r="S65" s="146" t="s">
        <v>329</v>
      </c>
      <c r="T65" s="73">
        <v>100</v>
      </c>
      <c r="U65" s="67">
        <v>162</v>
      </c>
      <c r="V65" s="68">
        <v>0.16159999999999999</v>
      </c>
      <c r="W65" s="68">
        <v>0.16159999999999999</v>
      </c>
      <c r="X65" s="162">
        <f t="shared" si="18"/>
        <v>-1.6236619628682506E-2</v>
      </c>
      <c r="Y65" s="162">
        <f t="shared" si="19"/>
        <v>0</v>
      </c>
      <c r="Z65" s="162">
        <f t="shared" si="20"/>
        <v>0</v>
      </c>
      <c r="AA65" s="160">
        <f t="shared" si="21"/>
        <v>2.2999999999999965E-3</v>
      </c>
      <c r="AB65" s="161">
        <f t="shared" si="22"/>
        <v>2.2999999999999965E-3</v>
      </c>
    </row>
    <row r="66" spans="1:28">
      <c r="A66" s="178">
        <v>58</v>
      </c>
      <c r="B66" s="59" t="s">
        <v>304</v>
      </c>
      <c r="C66" s="60" t="s">
        <v>73</v>
      </c>
      <c r="D66" s="146" t="s">
        <v>329</v>
      </c>
      <c r="E66" s="84">
        <v>352026384.83999997</v>
      </c>
      <c r="F66" s="66">
        <f t="shared" si="37"/>
        <v>5.9211913194897067E-5</v>
      </c>
      <c r="G66" s="146" t="s">
        <v>329</v>
      </c>
      <c r="H66" s="73">
        <v>1000</v>
      </c>
      <c r="I66" s="146" t="s">
        <v>329</v>
      </c>
      <c r="J66" s="73">
        <v>1000</v>
      </c>
      <c r="K66" s="67">
        <v>32</v>
      </c>
      <c r="L66" s="68">
        <v>0.20669999999999999</v>
      </c>
      <c r="M66" s="68">
        <v>0.20669999999999999</v>
      </c>
      <c r="N66" s="146" t="s">
        <v>329</v>
      </c>
      <c r="O66" s="84">
        <v>451634300.29000002</v>
      </c>
      <c r="P66" s="66">
        <f t="shared" si="38"/>
        <v>7.5966268826026107E-5</v>
      </c>
      <c r="Q66" s="146" t="s">
        <v>329</v>
      </c>
      <c r="R66" s="73">
        <v>1000</v>
      </c>
      <c r="S66" s="146" t="s">
        <v>329</v>
      </c>
      <c r="T66" s="73">
        <v>1000</v>
      </c>
      <c r="U66" s="67">
        <v>33</v>
      </c>
      <c r="V66" s="68">
        <v>0.19439999999999999</v>
      </c>
      <c r="W66" s="68">
        <v>0.19439999999999999</v>
      </c>
      <c r="X66" s="162">
        <f t="shared" si="18"/>
        <v>0.28295582302807498</v>
      </c>
      <c r="Y66" s="162">
        <f t="shared" si="19"/>
        <v>0</v>
      </c>
      <c r="Z66" s="162">
        <f t="shared" si="20"/>
        <v>3.125E-2</v>
      </c>
      <c r="AA66" s="160">
        <f t="shared" si="21"/>
        <v>-1.2300000000000005E-2</v>
      </c>
      <c r="AB66" s="161">
        <f t="shared" si="22"/>
        <v>-1.2300000000000005E-2</v>
      </c>
    </row>
    <row r="67" spans="1:28">
      <c r="A67" s="178">
        <v>59</v>
      </c>
      <c r="B67" s="59" t="s">
        <v>306</v>
      </c>
      <c r="C67" s="60" t="s">
        <v>31</v>
      </c>
      <c r="D67" s="146" t="s">
        <v>329</v>
      </c>
      <c r="E67" s="71">
        <v>2373880103.73</v>
      </c>
      <c r="F67" s="66">
        <f t="shared" si="37"/>
        <v>3.9929388446562335E-4</v>
      </c>
      <c r="G67" s="146" t="s">
        <v>329</v>
      </c>
      <c r="H67" s="65">
        <v>1</v>
      </c>
      <c r="I67" s="146" t="s">
        <v>329</v>
      </c>
      <c r="J67" s="65">
        <v>1</v>
      </c>
      <c r="K67" s="67">
        <v>470</v>
      </c>
      <c r="L67" s="68">
        <v>0.16550000000000001</v>
      </c>
      <c r="M67" s="68">
        <v>0.16550000000000001</v>
      </c>
      <c r="N67" s="146" t="s">
        <v>329</v>
      </c>
      <c r="O67" s="71">
        <v>2393588652.4899998</v>
      </c>
      <c r="P67" s="66">
        <f t="shared" si="38"/>
        <v>4.0260892256682962E-4</v>
      </c>
      <c r="Q67" s="146" t="s">
        <v>329</v>
      </c>
      <c r="R67" s="65">
        <v>1</v>
      </c>
      <c r="S67" s="146" t="s">
        <v>329</v>
      </c>
      <c r="T67" s="65">
        <v>1</v>
      </c>
      <c r="U67" s="67">
        <v>470</v>
      </c>
      <c r="V67" s="68">
        <v>0.1656</v>
      </c>
      <c r="W67" s="68">
        <v>0.1656</v>
      </c>
      <c r="X67" s="162">
        <f t="shared" si="18"/>
        <v>8.3022511242384807E-3</v>
      </c>
      <c r="Y67" s="162">
        <f t="shared" si="19"/>
        <v>0</v>
      </c>
      <c r="Z67" s="162">
        <f t="shared" si="20"/>
        <v>0</v>
      </c>
      <c r="AA67" s="160">
        <f t="shared" si="21"/>
        <v>9.9999999999988987E-5</v>
      </c>
      <c r="AB67" s="161">
        <f t="shared" si="22"/>
        <v>9.9999999999988987E-5</v>
      </c>
    </row>
    <row r="68" spans="1:28">
      <c r="A68" s="178">
        <v>60</v>
      </c>
      <c r="B68" s="59" t="s">
        <v>108</v>
      </c>
      <c r="C68" s="60" t="s">
        <v>46</v>
      </c>
      <c r="D68" s="146" t="s">
        <v>329</v>
      </c>
      <c r="E68" s="82">
        <v>2848905041314.3999</v>
      </c>
      <c r="F68" s="66">
        <f t="shared" si="37"/>
        <v>0.47919452993128353</v>
      </c>
      <c r="G68" s="146" t="s">
        <v>329</v>
      </c>
      <c r="H68" s="73">
        <v>100</v>
      </c>
      <c r="I68" s="146" t="s">
        <v>329</v>
      </c>
      <c r="J68" s="73">
        <v>100</v>
      </c>
      <c r="K68" s="67">
        <v>337509</v>
      </c>
      <c r="L68" s="68">
        <v>0.154</v>
      </c>
      <c r="M68" s="68">
        <v>0.154</v>
      </c>
      <c r="N68" s="146" t="s">
        <v>329</v>
      </c>
      <c r="O68" s="82">
        <v>2861069644743.6699</v>
      </c>
      <c r="P68" s="66">
        <f t="shared" si="38"/>
        <v>0.48124065338487537</v>
      </c>
      <c r="Q68" s="146" t="s">
        <v>329</v>
      </c>
      <c r="R68" s="73">
        <v>100</v>
      </c>
      <c r="S68" s="146" t="s">
        <v>329</v>
      </c>
      <c r="T68" s="73">
        <v>100</v>
      </c>
      <c r="U68" s="67">
        <v>340612</v>
      </c>
      <c r="V68" s="68">
        <v>0.15390000000000001</v>
      </c>
      <c r="W68" s="68">
        <v>0.15390000000000001</v>
      </c>
      <c r="X68" s="162">
        <f t="shared" si="18"/>
        <v>4.2699223922386806E-3</v>
      </c>
      <c r="Y68" s="162">
        <f t="shared" si="19"/>
        <v>0</v>
      </c>
      <c r="Z68" s="162">
        <f t="shared" si="20"/>
        <v>9.1938289053032658E-3</v>
      </c>
      <c r="AA68" s="160">
        <f t="shared" si="21"/>
        <v>-9.9999999999988987E-5</v>
      </c>
      <c r="AB68" s="161">
        <f t="shared" si="22"/>
        <v>-9.9999999999988987E-5</v>
      </c>
    </row>
    <row r="69" spans="1:28">
      <c r="A69" s="178">
        <v>61</v>
      </c>
      <c r="B69" s="59" t="s">
        <v>109</v>
      </c>
      <c r="C69" s="59" t="s">
        <v>110</v>
      </c>
      <c r="D69" s="146" t="s">
        <v>329</v>
      </c>
      <c r="E69" s="82">
        <v>15858138658.450001</v>
      </c>
      <c r="F69" s="66">
        <f t="shared" si="37"/>
        <v>2.6673873610455791E-3</v>
      </c>
      <c r="G69" s="146" t="s">
        <v>329</v>
      </c>
      <c r="H69" s="73">
        <v>100</v>
      </c>
      <c r="I69" s="146" t="s">
        <v>329</v>
      </c>
      <c r="J69" s="73">
        <v>100</v>
      </c>
      <c r="K69" s="67">
        <v>1703</v>
      </c>
      <c r="L69" s="68">
        <v>0.19539999999999999</v>
      </c>
      <c r="M69" s="68">
        <v>0.19539999999999999</v>
      </c>
      <c r="N69" s="146" t="s">
        <v>329</v>
      </c>
      <c r="O69" s="82">
        <v>16106437745.84</v>
      </c>
      <c r="P69" s="66">
        <f t="shared" ref="P69:P75" si="49">(O69/$O$76)</f>
        <v>2.709152025974292E-3</v>
      </c>
      <c r="Q69" s="146" t="s">
        <v>329</v>
      </c>
      <c r="R69" s="73">
        <v>100</v>
      </c>
      <c r="S69" s="146" t="s">
        <v>329</v>
      </c>
      <c r="T69" s="73">
        <v>100</v>
      </c>
      <c r="U69" s="67">
        <v>1730</v>
      </c>
      <c r="V69" s="68">
        <v>0.19489999999999999</v>
      </c>
      <c r="W69" s="68">
        <v>0.19489999999999999</v>
      </c>
      <c r="X69" s="162">
        <f t="shared" si="18"/>
        <v>1.5657517741383437E-2</v>
      </c>
      <c r="Y69" s="162">
        <f t="shared" si="19"/>
        <v>0</v>
      </c>
      <c r="Z69" s="162">
        <f t="shared" si="20"/>
        <v>1.5854374633000587E-2</v>
      </c>
      <c r="AA69" s="160">
        <f t="shared" si="21"/>
        <v>-5.0000000000000044E-4</v>
      </c>
      <c r="AB69" s="161">
        <f t="shared" si="22"/>
        <v>-5.0000000000000044E-4</v>
      </c>
    </row>
    <row r="70" spans="1:28">
      <c r="A70" s="178">
        <v>62</v>
      </c>
      <c r="B70" s="179" t="s">
        <v>111</v>
      </c>
      <c r="C70" s="60" t="s">
        <v>112</v>
      </c>
      <c r="D70" s="146" t="s">
        <v>329</v>
      </c>
      <c r="E70" s="82">
        <v>17600919202.110001</v>
      </c>
      <c r="F70" s="66">
        <f t="shared" si="37"/>
        <v>2.9605283718134338E-3</v>
      </c>
      <c r="G70" s="146" t="s">
        <v>329</v>
      </c>
      <c r="H70" s="73">
        <v>1</v>
      </c>
      <c r="I70" s="146" t="s">
        <v>329</v>
      </c>
      <c r="J70" s="73">
        <v>1</v>
      </c>
      <c r="K70" s="67">
        <v>953</v>
      </c>
      <c r="L70" s="68">
        <v>0.190024</v>
      </c>
      <c r="M70" s="68">
        <v>0.190024</v>
      </c>
      <c r="N70" s="146" t="s">
        <v>329</v>
      </c>
      <c r="O70" s="82">
        <v>17559813730.540001</v>
      </c>
      <c r="P70" s="66">
        <f t="shared" si="49"/>
        <v>2.9536143059386718E-3</v>
      </c>
      <c r="Q70" s="146" t="s">
        <v>329</v>
      </c>
      <c r="R70" s="73">
        <v>1</v>
      </c>
      <c r="S70" s="146" t="s">
        <v>329</v>
      </c>
      <c r="T70" s="73">
        <v>1</v>
      </c>
      <c r="U70" s="67">
        <v>964</v>
      </c>
      <c r="V70" s="68">
        <v>0.19166800000000001</v>
      </c>
      <c r="W70" s="68">
        <v>0.19166800000000001</v>
      </c>
      <c r="X70" s="162">
        <f t="shared" si="18"/>
        <v>-2.3354161846883522E-3</v>
      </c>
      <c r="Y70" s="162">
        <f t="shared" si="19"/>
        <v>0</v>
      </c>
      <c r="Z70" s="162">
        <f t="shared" si="20"/>
        <v>1.1542497376705142E-2</v>
      </c>
      <c r="AA70" s="160">
        <f t="shared" si="21"/>
        <v>1.6440000000000066E-3</v>
      </c>
      <c r="AB70" s="161">
        <f t="shared" si="22"/>
        <v>1.6440000000000066E-3</v>
      </c>
    </row>
    <row r="71" spans="1:28">
      <c r="A71" s="178">
        <v>63</v>
      </c>
      <c r="B71" s="59" t="s">
        <v>113</v>
      </c>
      <c r="C71" s="60" t="s">
        <v>49</v>
      </c>
      <c r="D71" s="146" t="s">
        <v>329</v>
      </c>
      <c r="E71" s="82">
        <v>226451106844.01999</v>
      </c>
      <c r="F71" s="66">
        <f t="shared" si="37"/>
        <v>3.8089767866209337E-2</v>
      </c>
      <c r="G71" s="146" t="s">
        <v>329</v>
      </c>
      <c r="H71" s="73">
        <v>1</v>
      </c>
      <c r="I71" s="146" t="s">
        <v>329</v>
      </c>
      <c r="J71" s="73">
        <v>1</v>
      </c>
      <c r="K71" s="67">
        <v>90526</v>
      </c>
      <c r="L71" s="68">
        <v>0.15129999999999999</v>
      </c>
      <c r="M71" s="68">
        <v>0.15129999999999999</v>
      </c>
      <c r="N71" s="146" t="s">
        <v>329</v>
      </c>
      <c r="O71" s="82">
        <v>249557165069.07999</v>
      </c>
      <c r="P71" s="66">
        <f t="shared" si="49"/>
        <v>4.1976277437133495E-2</v>
      </c>
      <c r="Q71" s="146" t="s">
        <v>329</v>
      </c>
      <c r="R71" s="73">
        <v>1</v>
      </c>
      <c r="S71" s="146" t="s">
        <v>329</v>
      </c>
      <c r="T71" s="73">
        <v>1</v>
      </c>
      <c r="U71" s="67">
        <v>92306</v>
      </c>
      <c r="V71" s="68">
        <v>0.15290000000000001</v>
      </c>
      <c r="W71" s="68">
        <v>0.15290000000000001</v>
      </c>
      <c r="X71" s="162">
        <f t="shared" si="18"/>
        <v>0.10203552787655615</v>
      </c>
      <c r="Y71" s="162">
        <f t="shared" si="19"/>
        <v>0</v>
      </c>
      <c r="Z71" s="162">
        <f t="shared" si="20"/>
        <v>1.9662859289044033E-2</v>
      </c>
      <c r="AA71" s="160">
        <f t="shared" si="21"/>
        <v>1.6000000000000181E-3</v>
      </c>
      <c r="AB71" s="161">
        <f t="shared" si="22"/>
        <v>1.6000000000000181E-3</v>
      </c>
    </row>
    <row r="72" spans="1:28">
      <c r="A72" s="178">
        <v>64</v>
      </c>
      <c r="B72" s="59" t="s">
        <v>114</v>
      </c>
      <c r="C72" s="60" t="s">
        <v>115</v>
      </c>
      <c r="D72" s="146" t="s">
        <v>329</v>
      </c>
      <c r="E72" s="84">
        <v>3277226684.7399998</v>
      </c>
      <c r="F72" s="66">
        <f t="shared" si="37"/>
        <v>5.5123953866419281E-4</v>
      </c>
      <c r="G72" s="146" t="s">
        <v>329</v>
      </c>
      <c r="H72" s="73">
        <v>1</v>
      </c>
      <c r="I72" s="146" t="s">
        <v>329</v>
      </c>
      <c r="J72" s="73">
        <v>1</v>
      </c>
      <c r="K72" s="67">
        <v>169</v>
      </c>
      <c r="L72" s="68">
        <v>0.1489</v>
      </c>
      <c r="M72" s="68">
        <v>0.1489</v>
      </c>
      <c r="N72" s="146" t="s">
        <v>329</v>
      </c>
      <c r="O72" s="84">
        <v>3272546978.9899998</v>
      </c>
      <c r="P72" s="66">
        <f t="shared" si="49"/>
        <v>5.504523978628787E-4</v>
      </c>
      <c r="Q72" s="146" t="s">
        <v>329</v>
      </c>
      <c r="R72" s="73">
        <v>1</v>
      </c>
      <c r="S72" s="146" t="s">
        <v>329</v>
      </c>
      <c r="T72" s="73">
        <v>1</v>
      </c>
      <c r="U72" s="67">
        <v>169</v>
      </c>
      <c r="V72" s="68">
        <v>0.14549999999999999</v>
      </c>
      <c r="W72" s="68">
        <v>0.14549999999999999</v>
      </c>
      <c r="X72" s="162">
        <f t="shared" si="18"/>
        <v>-1.4279469198119465E-3</v>
      </c>
      <c r="Y72" s="162">
        <f t="shared" si="19"/>
        <v>0</v>
      </c>
      <c r="Z72" s="162">
        <f t="shared" si="20"/>
        <v>0</v>
      </c>
      <c r="AA72" s="160">
        <f t="shared" si="21"/>
        <v>-3.4000000000000141E-3</v>
      </c>
      <c r="AB72" s="161">
        <f t="shared" si="22"/>
        <v>-3.4000000000000141E-3</v>
      </c>
    </row>
    <row r="73" spans="1:28">
      <c r="A73" s="178">
        <v>65</v>
      </c>
      <c r="B73" s="59" t="s">
        <v>116</v>
      </c>
      <c r="C73" s="60" t="s">
        <v>117</v>
      </c>
      <c r="D73" s="146" t="s">
        <v>329</v>
      </c>
      <c r="E73" s="82">
        <v>11651764032.610001</v>
      </c>
      <c r="F73" s="66">
        <f t="shared" si="37"/>
        <v>1.9598623006054083E-3</v>
      </c>
      <c r="G73" s="146" t="s">
        <v>329</v>
      </c>
      <c r="H73" s="73">
        <v>1</v>
      </c>
      <c r="I73" s="146" t="s">
        <v>329</v>
      </c>
      <c r="J73" s="73">
        <v>1</v>
      </c>
      <c r="K73" s="67">
        <v>693</v>
      </c>
      <c r="L73" s="68">
        <v>0.16539999999999999</v>
      </c>
      <c r="M73" s="68">
        <v>0.16539999999999999</v>
      </c>
      <c r="N73" s="146" t="s">
        <v>329</v>
      </c>
      <c r="O73" s="82">
        <v>11802554324.92</v>
      </c>
      <c r="P73" s="66">
        <f>(O73/$O$76)</f>
        <v>1.9852256883609908E-3</v>
      </c>
      <c r="Q73" s="146" t="s">
        <v>329</v>
      </c>
      <c r="R73" s="73">
        <v>1</v>
      </c>
      <c r="S73" s="146" t="s">
        <v>329</v>
      </c>
      <c r="T73" s="73">
        <v>1</v>
      </c>
      <c r="U73" s="67">
        <v>697</v>
      </c>
      <c r="V73" s="68">
        <v>0.156</v>
      </c>
      <c r="W73" s="68">
        <v>0.156</v>
      </c>
      <c r="X73" s="162">
        <f t="shared" si="18"/>
        <v>1.2941413153234134E-2</v>
      </c>
      <c r="Y73" s="162">
        <f t="shared" si="19"/>
        <v>0</v>
      </c>
      <c r="Z73" s="162">
        <f t="shared" si="20"/>
        <v>5.772005772005772E-3</v>
      </c>
      <c r="AA73" s="160">
        <f t="shared" si="21"/>
        <v>-9.3999999999999917E-3</v>
      </c>
      <c r="AB73" s="161">
        <f t="shared" si="22"/>
        <v>-9.3999999999999917E-3</v>
      </c>
    </row>
    <row r="74" spans="1:28">
      <c r="A74" s="178">
        <v>66</v>
      </c>
      <c r="B74" s="59" t="s">
        <v>118</v>
      </c>
      <c r="C74" s="60" t="s">
        <v>119</v>
      </c>
      <c r="D74" s="146" t="s">
        <v>329</v>
      </c>
      <c r="E74" s="82">
        <v>18443415427.880001</v>
      </c>
      <c r="F74" s="66">
        <f t="shared" si="37"/>
        <v>3.1022388103931877E-3</v>
      </c>
      <c r="G74" s="146" t="s">
        <v>329</v>
      </c>
      <c r="H74" s="73">
        <v>1</v>
      </c>
      <c r="I74" s="146" t="s">
        <v>329</v>
      </c>
      <c r="J74" s="73">
        <v>1</v>
      </c>
      <c r="K74" s="67">
        <v>8091</v>
      </c>
      <c r="L74" s="68">
        <v>0.17710000000000001</v>
      </c>
      <c r="M74" s="68">
        <v>0.17710000000000001</v>
      </c>
      <c r="N74" s="146" t="s">
        <v>329</v>
      </c>
      <c r="O74" s="82">
        <v>18777006693.700001</v>
      </c>
      <c r="P74" s="66">
        <f t="shared" si="49"/>
        <v>3.1583498802588384E-3</v>
      </c>
      <c r="Q74" s="146" t="s">
        <v>329</v>
      </c>
      <c r="R74" s="73">
        <v>1</v>
      </c>
      <c r="S74" s="146" t="s">
        <v>329</v>
      </c>
      <c r="T74" s="73">
        <v>1</v>
      </c>
      <c r="U74" s="67">
        <v>8216</v>
      </c>
      <c r="V74" s="68">
        <v>0.18010000000000001</v>
      </c>
      <c r="W74" s="68">
        <v>0.18010000000000001</v>
      </c>
      <c r="X74" s="162">
        <f t="shared" si="18"/>
        <v>1.8087282538554451E-2</v>
      </c>
      <c r="Y74" s="162">
        <f t="shared" si="19"/>
        <v>0</v>
      </c>
      <c r="Z74" s="162">
        <f t="shared" si="20"/>
        <v>1.5449264615004326E-2</v>
      </c>
      <c r="AA74" s="160">
        <f t="shared" si="21"/>
        <v>3.0000000000000027E-3</v>
      </c>
      <c r="AB74" s="161">
        <f t="shared" si="22"/>
        <v>3.0000000000000027E-3</v>
      </c>
    </row>
    <row r="75" spans="1:28">
      <c r="A75" s="178">
        <v>67</v>
      </c>
      <c r="B75" s="59" t="s">
        <v>120</v>
      </c>
      <c r="C75" s="60" t="s">
        <v>121</v>
      </c>
      <c r="D75" s="146" t="s">
        <v>329</v>
      </c>
      <c r="E75" s="82">
        <v>156794839441.63</v>
      </c>
      <c r="F75" s="66">
        <f t="shared" si="37"/>
        <v>2.6373370924015708E-2</v>
      </c>
      <c r="G75" s="146" t="s">
        <v>329</v>
      </c>
      <c r="H75" s="73">
        <v>1</v>
      </c>
      <c r="I75" s="146" t="s">
        <v>329</v>
      </c>
      <c r="J75" s="73">
        <v>1</v>
      </c>
      <c r="K75" s="67">
        <v>8655</v>
      </c>
      <c r="L75" s="68">
        <v>0.1565</v>
      </c>
      <c r="M75" s="68">
        <v>0.1565</v>
      </c>
      <c r="N75" s="146" t="s">
        <v>329</v>
      </c>
      <c r="O75" s="82">
        <v>157926367303.88</v>
      </c>
      <c r="P75" s="66">
        <f t="shared" si="49"/>
        <v>2.656369736669871E-2</v>
      </c>
      <c r="Q75" s="146" t="s">
        <v>329</v>
      </c>
      <c r="R75" s="73">
        <v>1</v>
      </c>
      <c r="S75" s="146" t="s">
        <v>329</v>
      </c>
      <c r="T75" s="73">
        <v>1</v>
      </c>
      <c r="U75" s="67">
        <v>8698</v>
      </c>
      <c r="V75" s="68">
        <v>0.15809999999999999</v>
      </c>
      <c r="W75" s="68">
        <v>0.15809999999999999</v>
      </c>
      <c r="X75" s="162">
        <f t="shared" si="18"/>
        <v>7.2166141837291383E-3</v>
      </c>
      <c r="Y75" s="162">
        <f t="shared" si="19"/>
        <v>0</v>
      </c>
      <c r="Z75" s="162">
        <f t="shared" si="20"/>
        <v>4.9682264586943959E-3</v>
      </c>
      <c r="AA75" s="160">
        <f t="shared" si="21"/>
        <v>1.5999999999999903E-3</v>
      </c>
      <c r="AB75" s="161">
        <f t="shared" si="22"/>
        <v>1.5999999999999903E-3</v>
      </c>
    </row>
    <row r="76" spans="1:28">
      <c r="B76" s="74"/>
      <c r="C76" s="75" t="s">
        <v>52</v>
      </c>
      <c r="D76" s="120" t="s">
        <v>329</v>
      </c>
      <c r="E76" s="89">
        <f>SUM(E29:E75)</f>
        <v>5902329950916.0596</v>
      </c>
      <c r="F76" s="77">
        <f>(E76/$E$238)</f>
        <v>0.65105323221017641</v>
      </c>
      <c r="G76" s="146" t="s">
        <v>329</v>
      </c>
      <c r="H76" s="78"/>
      <c r="I76" s="146"/>
      <c r="J76" s="83"/>
      <c r="K76" s="80">
        <f>SUM(K29:K75)</f>
        <v>772196</v>
      </c>
      <c r="L76" s="90"/>
      <c r="M76" s="90"/>
      <c r="N76" s="146"/>
      <c r="O76" s="89">
        <f>SUM(O29:O75)</f>
        <v>5945195246120.4697</v>
      </c>
      <c r="P76" s="77">
        <f>(O76/$O$238)</f>
        <v>0.65318220386732895</v>
      </c>
      <c r="Q76" s="146"/>
      <c r="R76" s="78"/>
      <c r="S76" s="78"/>
      <c r="T76" s="83"/>
      <c r="U76" s="80">
        <f>SUM(U29:U75)</f>
        <v>781006</v>
      </c>
      <c r="V76" s="90"/>
      <c r="W76" s="90"/>
      <c r="X76" s="162">
        <f t="shared" si="18"/>
        <v>7.2624362854803353E-3</v>
      </c>
      <c r="Y76" s="162" t="e">
        <f t="shared" si="19"/>
        <v>#DIV/0!</v>
      </c>
      <c r="Z76" s="162">
        <f t="shared" si="20"/>
        <v>1.1409020507746738E-2</v>
      </c>
      <c r="AA76" s="160">
        <f t="shared" si="21"/>
        <v>0</v>
      </c>
      <c r="AB76" s="161">
        <f t="shared" si="22"/>
        <v>0</v>
      </c>
    </row>
    <row r="77" spans="1:28" ht="3" customHeight="1">
      <c r="B77" s="215"/>
      <c r="C77" s="215"/>
      <c r="D77" s="215"/>
      <c r="E77" s="215"/>
      <c r="F77" s="215"/>
      <c r="G77" s="215"/>
      <c r="H77" s="215"/>
      <c r="I77" s="215"/>
      <c r="J77" s="215"/>
      <c r="K77" s="215"/>
      <c r="L77" s="215"/>
      <c r="M77" s="215"/>
      <c r="N77" s="215"/>
      <c r="O77" s="215"/>
      <c r="P77" s="215"/>
      <c r="Q77" s="215"/>
      <c r="R77" s="215"/>
      <c r="S77" s="215"/>
      <c r="T77" s="215"/>
      <c r="U77" s="215"/>
      <c r="V77" s="215"/>
      <c r="W77" s="215"/>
      <c r="X77" s="215"/>
      <c r="Y77" s="215"/>
      <c r="Z77" s="215"/>
      <c r="AA77" s="215"/>
      <c r="AB77" s="215"/>
    </row>
    <row r="78" spans="1:28" ht="15" customHeight="1">
      <c r="A78" s="166"/>
      <c r="B78" s="219"/>
      <c r="C78" s="219"/>
      <c r="D78" s="219"/>
      <c r="E78" s="219"/>
      <c r="F78" s="219"/>
      <c r="G78" s="219"/>
      <c r="H78" s="219"/>
      <c r="I78" s="219"/>
      <c r="J78" s="219"/>
      <c r="K78" s="219"/>
      <c r="L78" s="219"/>
      <c r="M78" s="219"/>
      <c r="N78" s="219"/>
      <c r="O78" s="219"/>
      <c r="P78" s="219"/>
      <c r="Q78" s="219"/>
      <c r="R78" s="219"/>
      <c r="S78" s="219"/>
      <c r="T78" s="219"/>
      <c r="U78" s="219"/>
      <c r="V78" s="219"/>
      <c r="W78" s="219"/>
      <c r="X78" s="219"/>
      <c r="Y78" s="219"/>
      <c r="Z78" s="219"/>
      <c r="AA78" s="219"/>
      <c r="AB78" s="219"/>
    </row>
    <row r="79" spans="1:28" ht="17.399999999999999" customHeight="1">
      <c r="A79" s="178">
        <v>68</v>
      </c>
      <c r="B79" s="59" t="s">
        <v>122</v>
      </c>
      <c r="C79" s="60" t="s">
        <v>21</v>
      </c>
      <c r="D79" s="146" t="s">
        <v>329</v>
      </c>
      <c r="E79" s="71">
        <v>1141302038.6500001</v>
      </c>
      <c r="F79" s="66">
        <f>(E79/$E$117)</f>
        <v>4.8327593592862161E-3</v>
      </c>
      <c r="G79" s="146" t="s">
        <v>329</v>
      </c>
      <c r="H79" s="91">
        <v>1.7816000000000001</v>
      </c>
      <c r="I79" s="146" t="s">
        <v>329</v>
      </c>
      <c r="J79" s="91">
        <v>1.7765</v>
      </c>
      <c r="K79" s="67">
        <v>563</v>
      </c>
      <c r="L79" s="68">
        <v>3.9300000000000001E-4</v>
      </c>
      <c r="M79" s="68">
        <v>6.7299999999999999E-2</v>
      </c>
      <c r="N79" s="146" t="s">
        <v>329</v>
      </c>
      <c r="O79" s="71">
        <v>1141302038.6500001</v>
      </c>
      <c r="P79" s="66">
        <f t="shared" ref="P79:P116" si="50">(O79/$O$117)</f>
        <v>4.8173158955182567E-3</v>
      </c>
      <c r="Q79" s="146" t="s">
        <v>329</v>
      </c>
      <c r="R79" s="91">
        <v>1.7739</v>
      </c>
      <c r="S79" s="146" t="s">
        <v>329</v>
      </c>
      <c r="T79" s="91">
        <v>1.7739</v>
      </c>
      <c r="U79" s="67">
        <v>564</v>
      </c>
      <c r="V79" s="68">
        <v>3.9300000000000001E-4</v>
      </c>
      <c r="W79" s="68">
        <v>6.2700000000000006E-2</v>
      </c>
      <c r="X79" s="162">
        <f>((O79-E79)/E79)</f>
        <v>0</v>
      </c>
      <c r="Y79" s="162">
        <f>((T79-J79)/J79)</f>
        <v>-1.4635519279481766E-3</v>
      </c>
      <c r="Z79" s="162">
        <f>((U79-K79)/K79)</f>
        <v>1.7761989342806395E-3</v>
      </c>
      <c r="AA79" s="160">
        <f>V79-L79</f>
        <v>0</v>
      </c>
      <c r="AB79" s="161">
        <f>W79-M79</f>
        <v>-4.599999999999993E-3</v>
      </c>
    </row>
    <row r="80" spans="1:28" ht="15" customHeight="1">
      <c r="A80" s="178">
        <v>69</v>
      </c>
      <c r="B80" s="59" t="s">
        <v>123</v>
      </c>
      <c r="C80" s="60" t="s">
        <v>23</v>
      </c>
      <c r="D80" s="146" t="s">
        <v>329</v>
      </c>
      <c r="E80" s="71">
        <v>1304904328.46</v>
      </c>
      <c r="F80" s="66">
        <f>(E80/$E$117)</f>
        <v>5.525521196648008E-3</v>
      </c>
      <c r="G80" s="146" t="s">
        <v>329</v>
      </c>
      <c r="H80" s="91">
        <v>1.3958999999999999</v>
      </c>
      <c r="I80" s="146" t="s">
        <v>329</v>
      </c>
      <c r="J80" s="91">
        <v>1.3958999999999999</v>
      </c>
      <c r="K80" s="67">
        <v>1573</v>
      </c>
      <c r="L80" s="68">
        <v>0.13109999999999999</v>
      </c>
      <c r="M80" s="68">
        <v>0.1174</v>
      </c>
      <c r="N80" s="146" t="s">
        <v>329</v>
      </c>
      <c r="O80" s="71">
        <v>1333241012.0999999</v>
      </c>
      <c r="P80" s="66">
        <f t="shared" si="50"/>
        <v>5.6274701197793903E-3</v>
      </c>
      <c r="Q80" s="146" t="s">
        <v>329</v>
      </c>
      <c r="R80" s="91">
        <v>1.395</v>
      </c>
      <c r="S80" s="146" t="s">
        <v>329</v>
      </c>
      <c r="T80" s="91">
        <v>1.395</v>
      </c>
      <c r="U80" s="67">
        <v>1573</v>
      </c>
      <c r="V80" s="68">
        <v>-3.3599999999999998E-2</v>
      </c>
      <c r="W80" s="68">
        <v>0.1109</v>
      </c>
      <c r="X80" s="162">
        <f t="shared" ref="X80:X117" si="51">((O80-E80)/E80)</f>
        <v>2.1715525822066799E-2</v>
      </c>
      <c r="Y80" s="162">
        <f t="shared" ref="Y80:Y117" si="52">((T80-J80)/J80)</f>
        <v>-6.4474532559631841E-4</v>
      </c>
      <c r="Z80" s="162">
        <f t="shared" ref="Z80:Z117" si="53">((U80-K80)/K80)</f>
        <v>0</v>
      </c>
      <c r="AA80" s="160">
        <f t="shared" ref="AA80:AA117" si="54">V80-L80</f>
        <v>-0.16469999999999999</v>
      </c>
      <c r="AB80" s="161">
        <f t="shared" ref="AB80:AB117" si="55">W80-M80</f>
        <v>-6.5000000000000058E-3</v>
      </c>
    </row>
    <row r="81" spans="1:28" ht="15.6" customHeight="1">
      <c r="A81" s="178">
        <v>70</v>
      </c>
      <c r="B81" s="59" t="s">
        <v>124</v>
      </c>
      <c r="C81" s="60" t="s">
        <v>23</v>
      </c>
      <c r="D81" s="146" t="s">
        <v>329</v>
      </c>
      <c r="E81" s="71">
        <v>680965904.24000001</v>
      </c>
      <c r="F81" s="66">
        <f>(E81/$E$117)</f>
        <v>2.8834999286984414E-3</v>
      </c>
      <c r="G81" s="146" t="s">
        <v>329</v>
      </c>
      <c r="H81" s="91">
        <v>1.252</v>
      </c>
      <c r="I81" s="146" t="s">
        <v>329</v>
      </c>
      <c r="J81" s="91">
        <v>1.252</v>
      </c>
      <c r="K81" s="67">
        <v>854</v>
      </c>
      <c r="L81" s="68">
        <v>0.1169</v>
      </c>
      <c r="M81" s="68">
        <v>0.1384</v>
      </c>
      <c r="N81" s="146" t="s">
        <v>329</v>
      </c>
      <c r="O81" s="71">
        <v>685106320.50999999</v>
      </c>
      <c r="P81" s="66">
        <f t="shared" si="50"/>
        <v>2.8917617389142025E-3</v>
      </c>
      <c r="Q81" s="146" t="s">
        <v>329</v>
      </c>
      <c r="R81" s="91">
        <v>1.2539</v>
      </c>
      <c r="S81" s="146" t="s">
        <v>329</v>
      </c>
      <c r="T81" s="91">
        <v>1.2539</v>
      </c>
      <c r="U81" s="67">
        <v>868</v>
      </c>
      <c r="V81" s="68">
        <v>0.13600000000000001</v>
      </c>
      <c r="W81" s="68">
        <v>7.9100000000000004E-2</v>
      </c>
      <c r="X81" s="162">
        <f t="shared" si="51"/>
        <v>6.0802108361371499E-3</v>
      </c>
      <c r="Y81" s="162">
        <f t="shared" si="52"/>
        <v>1.5175718849840358E-3</v>
      </c>
      <c r="Z81" s="162">
        <f t="shared" si="53"/>
        <v>1.6393442622950821E-2</v>
      </c>
      <c r="AA81" s="160">
        <f t="shared" si="54"/>
        <v>1.9100000000000006E-2</v>
      </c>
      <c r="AB81" s="161">
        <f t="shared" si="55"/>
        <v>-5.9299999999999992E-2</v>
      </c>
    </row>
    <row r="82" spans="1:28" ht="16.2" customHeight="1">
      <c r="A82" s="178">
        <v>71</v>
      </c>
      <c r="B82" s="59" t="s">
        <v>125</v>
      </c>
      <c r="C82" s="60" t="s">
        <v>60</v>
      </c>
      <c r="D82" s="146" t="s">
        <v>329</v>
      </c>
      <c r="E82" s="71">
        <v>331696098.89999998</v>
      </c>
      <c r="F82" s="66">
        <f>(E82/$E$117)</f>
        <v>1.4045426820527139E-3</v>
      </c>
      <c r="G82" s="146" t="s">
        <v>329</v>
      </c>
      <c r="H82" s="70">
        <v>1265.79</v>
      </c>
      <c r="I82" s="146" t="s">
        <v>329</v>
      </c>
      <c r="J82" s="70">
        <v>1265.79</v>
      </c>
      <c r="K82" s="67">
        <v>287</v>
      </c>
      <c r="L82" s="68">
        <v>1.6000000000000001E-3</v>
      </c>
      <c r="M82" s="68">
        <v>5.5300000000000002E-2</v>
      </c>
      <c r="N82" s="146" t="s">
        <v>329</v>
      </c>
      <c r="O82" s="71">
        <v>331291863.83999997</v>
      </c>
      <c r="P82" s="66">
        <f t="shared" si="50"/>
        <v>1.3983481214316167E-3</v>
      </c>
      <c r="Q82" s="146" t="s">
        <v>329</v>
      </c>
      <c r="R82" s="70">
        <v>1264.25</v>
      </c>
      <c r="S82" s="146" t="s">
        <v>329</v>
      </c>
      <c r="T82" s="70">
        <v>1264.25</v>
      </c>
      <c r="U82" s="67">
        <v>287</v>
      </c>
      <c r="V82" s="68">
        <v>1.6000000000000001E-3</v>
      </c>
      <c r="W82" s="68">
        <v>6.9099999999999995E-2</v>
      </c>
      <c r="X82" s="162">
        <f t="shared" si="51"/>
        <v>-1.2186910287475873E-3</v>
      </c>
      <c r="Y82" s="162">
        <f t="shared" si="52"/>
        <v>-1.2166315107560999E-3</v>
      </c>
      <c r="Z82" s="162">
        <f t="shared" si="53"/>
        <v>0</v>
      </c>
      <c r="AA82" s="160">
        <f t="shared" si="54"/>
        <v>0</v>
      </c>
      <c r="AB82" s="161">
        <f t="shared" si="55"/>
        <v>1.3799999999999993E-2</v>
      </c>
    </row>
    <row r="83" spans="1:28" ht="15" customHeight="1">
      <c r="A83" s="178">
        <v>72</v>
      </c>
      <c r="B83" s="59" t="s">
        <v>126</v>
      </c>
      <c r="C83" s="60" t="s">
        <v>27</v>
      </c>
      <c r="D83" s="146" t="s">
        <v>329</v>
      </c>
      <c r="E83" s="71">
        <v>1824545163.3499999</v>
      </c>
      <c r="F83" s="66">
        <f>(E83/$O$117)</f>
        <v>7.7012132808362867E-3</v>
      </c>
      <c r="G83" s="146" t="s">
        <v>329</v>
      </c>
      <c r="H83" s="70">
        <v>1.1704000000000001</v>
      </c>
      <c r="I83" s="146" t="s">
        <v>329</v>
      </c>
      <c r="J83" s="70">
        <v>1.1704000000000001</v>
      </c>
      <c r="K83" s="67">
        <v>1081</v>
      </c>
      <c r="L83" s="68">
        <v>3.5000000000000001E-3</v>
      </c>
      <c r="M83" s="68">
        <v>7.8399999999999997E-2</v>
      </c>
      <c r="N83" s="146" t="s">
        <v>329</v>
      </c>
      <c r="O83" s="71">
        <v>1824545163.3499999</v>
      </c>
      <c r="P83" s="66">
        <f t="shared" si="50"/>
        <v>7.7012132808362867E-3</v>
      </c>
      <c r="Q83" s="146" t="s">
        <v>329</v>
      </c>
      <c r="R83" s="70">
        <v>1.1704000000000001</v>
      </c>
      <c r="S83" s="146" t="s">
        <v>329</v>
      </c>
      <c r="T83" s="70">
        <v>1.1704000000000001</v>
      </c>
      <c r="U83" s="67">
        <v>1081</v>
      </c>
      <c r="V83" s="68">
        <v>7.1000000000000004E-3</v>
      </c>
      <c r="W83" s="68">
        <v>7.8399999999999997E-2</v>
      </c>
      <c r="X83" s="162">
        <f t="shared" si="51"/>
        <v>0</v>
      </c>
      <c r="Y83" s="162">
        <f t="shared" si="52"/>
        <v>0</v>
      </c>
      <c r="Z83" s="162">
        <f t="shared" si="53"/>
        <v>0</v>
      </c>
      <c r="AA83" s="160">
        <f t="shared" si="54"/>
        <v>3.6000000000000003E-3</v>
      </c>
      <c r="AB83" s="161">
        <f t="shared" si="55"/>
        <v>0</v>
      </c>
    </row>
    <row r="84" spans="1:28" ht="15.6" customHeight="1">
      <c r="A84" s="178">
        <v>73</v>
      </c>
      <c r="B84" s="59" t="s">
        <v>127</v>
      </c>
      <c r="C84" s="60" t="s">
        <v>128</v>
      </c>
      <c r="D84" s="146" t="s">
        <v>329</v>
      </c>
      <c r="E84" s="71">
        <v>507907777.86000001</v>
      </c>
      <c r="F84" s="66">
        <f t="shared" ref="F84:F102" si="56">(E84/$E$117)</f>
        <v>2.15069804835416E-3</v>
      </c>
      <c r="G84" s="146" t="s">
        <v>329</v>
      </c>
      <c r="H84" s="70">
        <v>2.8925999999999998</v>
      </c>
      <c r="I84" s="146" t="s">
        <v>329</v>
      </c>
      <c r="J84" s="70">
        <v>2.8925999999999998</v>
      </c>
      <c r="K84" s="67">
        <v>1390</v>
      </c>
      <c r="L84" s="68">
        <v>0.13930000000000001</v>
      </c>
      <c r="M84" s="68">
        <v>0.1411</v>
      </c>
      <c r="N84" s="146" t="s">
        <v>329</v>
      </c>
      <c r="O84" s="71">
        <v>510034063.38</v>
      </c>
      <c r="P84" s="66">
        <f t="shared" si="50"/>
        <v>2.1528001506792367E-3</v>
      </c>
      <c r="Q84" s="146" t="s">
        <v>329</v>
      </c>
      <c r="R84" s="70">
        <v>2.9047000000000001</v>
      </c>
      <c r="S84" s="146" t="s">
        <v>329</v>
      </c>
      <c r="T84" s="70">
        <v>2.9047000000000001</v>
      </c>
      <c r="U84" s="67">
        <v>1390</v>
      </c>
      <c r="V84" s="68">
        <v>0.10440000000000001</v>
      </c>
      <c r="W84" s="68">
        <v>0.13539999999999999</v>
      </c>
      <c r="X84" s="162">
        <f t="shared" si="51"/>
        <v>4.1863614078894293E-3</v>
      </c>
      <c r="Y84" s="162">
        <f t="shared" si="52"/>
        <v>4.183087879416519E-3</v>
      </c>
      <c r="Z84" s="162">
        <f t="shared" si="53"/>
        <v>0</v>
      </c>
      <c r="AA84" s="160">
        <f t="shared" si="54"/>
        <v>-3.49E-2</v>
      </c>
      <c r="AB84" s="161">
        <f t="shared" si="55"/>
        <v>-5.7000000000000106E-3</v>
      </c>
    </row>
    <row r="85" spans="1:28" ht="15" customHeight="1">
      <c r="A85" s="178">
        <v>74</v>
      </c>
      <c r="B85" s="60" t="s">
        <v>129</v>
      </c>
      <c r="C85" s="60" t="s">
        <v>130</v>
      </c>
      <c r="D85" s="146" t="s">
        <v>329</v>
      </c>
      <c r="E85" s="71">
        <v>4245771027.5900002</v>
      </c>
      <c r="F85" s="66">
        <f t="shared" si="56"/>
        <v>1.7978404467972976E-2</v>
      </c>
      <c r="G85" s="146" t="s">
        <v>329</v>
      </c>
      <c r="H85" s="70">
        <v>1221.29</v>
      </c>
      <c r="I85" s="146" t="s">
        <v>329</v>
      </c>
      <c r="J85" s="70">
        <v>1221.29</v>
      </c>
      <c r="K85" s="67">
        <v>333</v>
      </c>
      <c r="L85" s="68">
        <v>1.92E-3</v>
      </c>
      <c r="M85" s="68">
        <v>9.1399999999999995E-2</v>
      </c>
      <c r="N85" s="146" t="s">
        <v>329</v>
      </c>
      <c r="O85" s="71">
        <v>4300015290.4700003</v>
      </c>
      <c r="P85" s="66">
        <f t="shared" si="50"/>
        <v>1.8149912388008234E-2</v>
      </c>
      <c r="Q85" s="146" t="s">
        <v>329</v>
      </c>
      <c r="R85" s="70">
        <v>1224.1300000000001</v>
      </c>
      <c r="S85" s="146" t="s">
        <v>329</v>
      </c>
      <c r="T85" s="70">
        <v>1224.1300000000001</v>
      </c>
      <c r="U85" s="67">
        <v>335</v>
      </c>
      <c r="V85" s="68">
        <v>1.5E-3</v>
      </c>
      <c r="W85" s="68">
        <v>9.393E-2</v>
      </c>
      <c r="X85" s="162">
        <f t="shared" ref="X85" si="57">((O85-E85)/E85)</f>
        <v>1.277606882884366E-2</v>
      </c>
      <c r="Y85" s="162">
        <f t="shared" si="52"/>
        <v>2.3254100172769329E-3</v>
      </c>
      <c r="Z85" s="162">
        <f t="shared" ref="Z85" si="58">((U85-K85)/K85)</f>
        <v>6.006006006006006E-3</v>
      </c>
      <c r="AA85" s="160">
        <f t="shared" si="54"/>
        <v>-4.2000000000000002E-4</v>
      </c>
      <c r="AB85" s="161">
        <f t="shared" si="55"/>
        <v>2.5300000000000045E-3</v>
      </c>
    </row>
    <row r="86" spans="1:28" ht="16.2" customHeight="1">
      <c r="A86" s="181">
        <v>75</v>
      </c>
      <c r="B86" s="59" t="s">
        <v>131</v>
      </c>
      <c r="C86" s="60" t="s">
        <v>65</v>
      </c>
      <c r="D86" s="146" t="s">
        <v>329</v>
      </c>
      <c r="E86" s="71">
        <v>198518582.99000001</v>
      </c>
      <c r="F86" s="66">
        <f t="shared" si="56"/>
        <v>8.4061230721359833E-4</v>
      </c>
      <c r="G86" s="146" t="s">
        <v>329</v>
      </c>
      <c r="H86" s="70">
        <v>12.105</v>
      </c>
      <c r="I86" s="146" t="s">
        <v>329</v>
      </c>
      <c r="J86" s="70">
        <v>12.159000000000001</v>
      </c>
      <c r="K86" s="67">
        <v>47</v>
      </c>
      <c r="L86" s="68">
        <v>-2.0600000000000002E-3</v>
      </c>
      <c r="M86" s="68">
        <v>0.1232</v>
      </c>
      <c r="N86" s="146" t="s">
        <v>329</v>
      </c>
      <c r="O86" s="71">
        <v>198551390.08000001</v>
      </c>
      <c r="P86" s="66">
        <f t="shared" si="50"/>
        <v>8.3806453955082483E-4</v>
      </c>
      <c r="Q86" s="146" t="s">
        <v>329</v>
      </c>
      <c r="R86" s="70">
        <v>12.106999999999999</v>
      </c>
      <c r="S86" s="146" t="s">
        <v>329</v>
      </c>
      <c r="T86" s="70">
        <v>12.154999999999999</v>
      </c>
      <c r="U86" s="67">
        <v>47</v>
      </c>
      <c r="V86" s="68">
        <v>-6.8999999999999997E-4</v>
      </c>
      <c r="W86" s="68">
        <v>0.11799999999999999</v>
      </c>
      <c r="X86" s="162">
        <f t="shared" si="51"/>
        <v>1.6525954147907741E-4</v>
      </c>
      <c r="Y86" s="162">
        <f t="shared" si="52"/>
        <v>-3.2897442223878078E-4</v>
      </c>
      <c r="Z86" s="162">
        <f t="shared" si="53"/>
        <v>0</v>
      </c>
      <c r="AA86" s="160">
        <f t="shared" si="54"/>
        <v>1.3700000000000001E-3</v>
      </c>
      <c r="AB86" s="161">
        <f t="shared" si="55"/>
        <v>-5.2000000000000102E-3</v>
      </c>
    </row>
    <row r="87" spans="1:28" ht="16.2" customHeight="1">
      <c r="A87" s="178">
        <v>76</v>
      </c>
      <c r="B87" s="59" t="s">
        <v>132</v>
      </c>
      <c r="C87" s="60" t="s">
        <v>67</v>
      </c>
      <c r="D87" s="146" t="s">
        <v>329</v>
      </c>
      <c r="E87" s="71">
        <v>2170228984.7600002</v>
      </c>
      <c r="F87" s="66">
        <f t="shared" si="56"/>
        <v>9.1896746721833369E-3</v>
      </c>
      <c r="G87" s="146" t="s">
        <v>329</v>
      </c>
      <c r="H87" s="71">
        <v>5015.08</v>
      </c>
      <c r="I87" s="146" t="s">
        <v>329</v>
      </c>
      <c r="J87" s="71">
        <v>5015.08</v>
      </c>
      <c r="K87" s="67">
        <v>1229</v>
      </c>
      <c r="L87" s="68">
        <v>0.1153</v>
      </c>
      <c r="M87" s="68">
        <v>0.12920000000000001</v>
      </c>
      <c r="N87" s="146" t="s">
        <v>329</v>
      </c>
      <c r="O87" s="71">
        <v>2179295042.73</v>
      </c>
      <c r="P87" s="66">
        <f t="shared" si="50"/>
        <v>9.19857521921668E-3</v>
      </c>
      <c r="Q87" s="146" t="s">
        <v>329</v>
      </c>
      <c r="R87" s="71">
        <v>5029.2700000000004</v>
      </c>
      <c r="S87" s="146" t="s">
        <v>329</v>
      </c>
      <c r="T87" s="71">
        <v>5029.2700000000004</v>
      </c>
      <c r="U87" s="67">
        <v>1224</v>
      </c>
      <c r="V87" s="68">
        <v>0.14749999999999999</v>
      </c>
      <c r="W87" s="68">
        <v>0.1303</v>
      </c>
      <c r="X87" s="162">
        <f t="shared" si="51"/>
        <v>4.1774660801530035E-3</v>
      </c>
      <c r="Y87" s="162">
        <f t="shared" si="52"/>
        <v>2.8294663295501785E-3</v>
      </c>
      <c r="Z87" s="162">
        <f t="shared" si="53"/>
        <v>-4.0683482506102524E-3</v>
      </c>
      <c r="AA87" s="160">
        <f t="shared" si="54"/>
        <v>3.2199999999999993E-2</v>
      </c>
      <c r="AB87" s="161">
        <f t="shared" si="55"/>
        <v>1.0999999999999899E-3</v>
      </c>
    </row>
    <row r="88" spans="1:28" ht="15.6" customHeight="1">
      <c r="A88" s="178">
        <v>77</v>
      </c>
      <c r="B88" s="59" t="s">
        <v>133</v>
      </c>
      <c r="C88" s="60" t="s">
        <v>69</v>
      </c>
      <c r="D88" s="146" t="s">
        <v>329</v>
      </c>
      <c r="E88" s="71">
        <v>364915887.88999999</v>
      </c>
      <c r="F88" s="66">
        <f t="shared" si="56"/>
        <v>1.5452094299583216E-3</v>
      </c>
      <c r="G88" s="146" t="s">
        <v>329</v>
      </c>
      <c r="H88" s="91">
        <v>113.36</v>
      </c>
      <c r="I88" s="146" t="s">
        <v>329</v>
      </c>
      <c r="J88" s="91">
        <v>113.36</v>
      </c>
      <c r="K88" s="67">
        <v>97</v>
      </c>
      <c r="L88" s="68">
        <v>2.3E-3</v>
      </c>
      <c r="M88" s="68">
        <v>0.1288</v>
      </c>
      <c r="N88" s="146" t="s">
        <v>329</v>
      </c>
      <c r="O88" s="71">
        <v>365704253.88999999</v>
      </c>
      <c r="P88" s="66">
        <f t="shared" si="50"/>
        <v>1.5435992013181719E-3</v>
      </c>
      <c r="Q88" s="146" t="s">
        <v>329</v>
      </c>
      <c r="R88" s="91">
        <v>113.58</v>
      </c>
      <c r="S88" s="146" t="s">
        <v>329</v>
      </c>
      <c r="T88" s="91">
        <v>113.58</v>
      </c>
      <c r="U88" s="67">
        <v>97</v>
      </c>
      <c r="V88" s="68">
        <v>1.9E-3</v>
      </c>
      <c r="W88" s="68">
        <v>0.1288</v>
      </c>
      <c r="X88" s="162">
        <f t="shared" si="51"/>
        <v>2.160404701912142E-3</v>
      </c>
      <c r="Y88" s="162">
        <f t="shared" si="52"/>
        <v>1.9407198306280774E-3</v>
      </c>
      <c r="Z88" s="162">
        <f t="shared" si="53"/>
        <v>0</v>
      </c>
      <c r="AA88" s="160">
        <f t="shared" si="54"/>
        <v>-3.9999999999999996E-4</v>
      </c>
      <c r="AB88" s="161">
        <f t="shared" si="55"/>
        <v>0</v>
      </c>
    </row>
    <row r="89" spans="1:28" ht="13.5" customHeight="1">
      <c r="A89" s="178">
        <v>78</v>
      </c>
      <c r="B89" s="59" t="s">
        <v>134</v>
      </c>
      <c r="C89" s="60" t="s">
        <v>71</v>
      </c>
      <c r="D89" s="146" t="s">
        <v>329</v>
      </c>
      <c r="E89" s="71">
        <v>1071955047.11</v>
      </c>
      <c r="F89" s="66">
        <f t="shared" si="56"/>
        <v>4.5391146350555493E-3</v>
      </c>
      <c r="G89" s="146" t="s">
        <v>329</v>
      </c>
      <c r="H89" s="91">
        <v>1.5829</v>
      </c>
      <c r="I89" s="146" t="s">
        <v>329</v>
      </c>
      <c r="J89" s="91">
        <v>1.5829</v>
      </c>
      <c r="K89" s="67">
        <v>2938</v>
      </c>
      <c r="L89" s="68">
        <v>5.8999999999999999E-3</v>
      </c>
      <c r="M89" s="68">
        <v>8.6599999999999996E-2</v>
      </c>
      <c r="N89" s="146" t="s">
        <v>329</v>
      </c>
      <c r="O89" s="71">
        <v>1066989796.74</v>
      </c>
      <c r="P89" s="66">
        <f t="shared" si="50"/>
        <v>4.5036517364599868E-3</v>
      </c>
      <c r="Q89" s="146" t="s">
        <v>329</v>
      </c>
      <c r="R89" s="91">
        <v>1.5738000000000001</v>
      </c>
      <c r="S89" s="146" t="s">
        <v>329</v>
      </c>
      <c r="T89" s="91">
        <v>1.5738000000000001</v>
      </c>
      <c r="U89" s="67">
        <v>2957</v>
      </c>
      <c r="V89" s="68">
        <v>-5.7000000000000002E-3</v>
      </c>
      <c r="W89" s="68">
        <v>8.0500000000000002E-2</v>
      </c>
      <c r="X89" s="162">
        <f t="shared" si="51"/>
        <v>-4.631957639815552E-3</v>
      </c>
      <c r="Y89" s="162">
        <f t="shared" si="52"/>
        <v>-5.7489418156547387E-3</v>
      </c>
      <c r="Z89" s="162">
        <f t="shared" si="53"/>
        <v>6.466984343090538E-3</v>
      </c>
      <c r="AA89" s="160">
        <f t="shared" si="54"/>
        <v>-1.1599999999999999E-2</v>
      </c>
      <c r="AB89" s="161">
        <f t="shared" si="55"/>
        <v>-6.0999999999999943E-3</v>
      </c>
    </row>
    <row r="90" spans="1:28" ht="15" customHeight="1">
      <c r="A90" s="178">
        <v>79</v>
      </c>
      <c r="B90" s="59" t="s">
        <v>135</v>
      </c>
      <c r="C90" s="60" t="s">
        <v>71</v>
      </c>
      <c r="D90" s="146" t="s">
        <v>329</v>
      </c>
      <c r="E90" s="71">
        <v>175246063.81999999</v>
      </c>
      <c r="F90" s="66">
        <f t="shared" si="56"/>
        <v>7.4206654016491919E-4</v>
      </c>
      <c r="G90" s="146" t="s">
        <v>329</v>
      </c>
      <c r="H90" s="91">
        <v>1.0555000000000001</v>
      </c>
      <c r="I90" s="146" t="s">
        <v>329</v>
      </c>
      <c r="J90" s="91">
        <v>1.0555000000000001</v>
      </c>
      <c r="K90" s="67">
        <v>101</v>
      </c>
      <c r="L90" s="68">
        <v>2.0000000000000001E-4</v>
      </c>
      <c r="M90" s="68">
        <v>0.13950000000000001</v>
      </c>
      <c r="N90" s="146" t="s">
        <v>329</v>
      </c>
      <c r="O90" s="71">
        <v>175491927.55000001</v>
      </c>
      <c r="P90" s="66">
        <f t="shared" si="50"/>
        <v>7.4073297294881106E-4</v>
      </c>
      <c r="Q90" s="146" t="s">
        <v>329</v>
      </c>
      <c r="R90" s="91">
        <v>1.0509999999999999</v>
      </c>
      <c r="S90" s="146" t="s">
        <v>329</v>
      </c>
      <c r="T90" s="91">
        <v>1.0509999999999999</v>
      </c>
      <c r="U90" s="67">
        <v>102</v>
      </c>
      <c r="V90" s="68">
        <v>-4.3E-3</v>
      </c>
      <c r="W90" s="68">
        <v>0.13500000000000001</v>
      </c>
      <c r="X90" s="162">
        <f t="shared" ref="X90" si="59">((O90-E90)/E90)</f>
        <v>1.4029629233359125E-3</v>
      </c>
      <c r="Y90" s="162">
        <f t="shared" ref="Y90" si="60">((T90-J90)/J90)</f>
        <v>-4.2633822832782286E-3</v>
      </c>
      <c r="Z90" s="162">
        <f t="shared" ref="Z90" si="61">((U90-K90)/K90)</f>
        <v>9.9009900990099011E-3</v>
      </c>
      <c r="AA90" s="160">
        <f t="shared" ref="AA90" si="62">V90-L90</f>
        <v>-4.4999999999999997E-3</v>
      </c>
      <c r="AB90" s="161">
        <f t="shared" ref="AB90" si="63">W90-M90</f>
        <v>-4.500000000000004E-3</v>
      </c>
    </row>
    <row r="91" spans="1:28" ht="15.6" customHeight="1">
      <c r="A91" s="178">
        <v>80</v>
      </c>
      <c r="B91" s="59" t="s">
        <v>136</v>
      </c>
      <c r="C91" s="60" t="s">
        <v>29</v>
      </c>
      <c r="D91" s="146" t="s">
        <v>329</v>
      </c>
      <c r="E91" s="71">
        <v>257392763.19999999</v>
      </c>
      <c r="F91" s="66">
        <f t="shared" si="56"/>
        <v>1.0899106837999868E-3</v>
      </c>
      <c r="G91" s="146" t="s">
        <v>329</v>
      </c>
      <c r="H91" s="91">
        <v>149.1095</v>
      </c>
      <c r="I91" s="146" t="s">
        <v>329</v>
      </c>
      <c r="J91" s="91">
        <v>149.1095</v>
      </c>
      <c r="K91" s="67">
        <v>487</v>
      </c>
      <c r="L91" s="68">
        <v>4.15E-4</v>
      </c>
      <c r="M91" s="68">
        <v>0.1099</v>
      </c>
      <c r="N91" s="146" t="s">
        <v>329</v>
      </c>
      <c r="O91" s="71">
        <v>261702045.89199999</v>
      </c>
      <c r="P91" s="66">
        <f t="shared" si="50"/>
        <v>1.1046168173469773E-3</v>
      </c>
      <c r="Q91" s="146" t="s">
        <v>329</v>
      </c>
      <c r="R91" s="91">
        <v>149.47839999999999</v>
      </c>
      <c r="S91" s="146" t="s">
        <v>329</v>
      </c>
      <c r="T91" s="91">
        <v>149.47839999999999</v>
      </c>
      <c r="U91" s="67">
        <v>490</v>
      </c>
      <c r="V91" s="68">
        <v>4.08E-4</v>
      </c>
      <c r="W91" s="68">
        <v>0.1075</v>
      </c>
      <c r="X91" s="162">
        <f t="shared" si="51"/>
        <v>1.674205070269047E-2</v>
      </c>
      <c r="Y91" s="162">
        <f t="shared" si="52"/>
        <v>2.4740207699710378E-3</v>
      </c>
      <c r="Z91" s="162">
        <f t="shared" si="53"/>
        <v>6.1601642710472282E-3</v>
      </c>
      <c r="AA91" s="160">
        <f t="shared" si="54"/>
        <v>-7.0000000000000075E-6</v>
      </c>
      <c r="AB91" s="161">
        <f t="shared" si="55"/>
        <v>-2.3999999999999994E-3</v>
      </c>
    </row>
    <row r="92" spans="1:28" ht="15" customHeight="1">
      <c r="A92" s="178">
        <v>81</v>
      </c>
      <c r="B92" s="59" t="s">
        <v>137</v>
      </c>
      <c r="C92" s="60" t="s">
        <v>73</v>
      </c>
      <c r="D92" s="146" t="s">
        <v>329</v>
      </c>
      <c r="E92" s="71">
        <v>3028168032.4699998</v>
      </c>
      <c r="F92" s="66">
        <f t="shared" si="56"/>
        <v>1.28225543325246E-2</v>
      </c>
      <c r="G92" s="146" t="s">
        <v>329</v>
      </c>
      <c r="H92" s="70">
        <v>1388.69</v>
      </c>
      <c r="I92" s="146" t="s">
        <v>329</v>
      </c>
      <c r="J92" s="70">
        <v>1388.69</v>
      </c>
      <c r="K92" s="67">
        <v>328</v>
      </c>
      <c r="L92" s="68">
        <v>5.5999999999999999E-3</v>
      </c>
      <c r="M92" s="68">
        <v>0.21229999999999999</v>
      </c>
      <c r="N92" s="146" t="s">
        <v>329</v>
      </c>
      <c r="O92" s="71">
        <v>3058449712.79</v>
      </c>
      <c r="P92" s="66">
        <f t="shared" si="50"/>
        <v>1.2909394637106051E-2</v>
      </c>
      <c r="Q92" s="146" t="s">
        <v>329</v>
      </c>
      <c r="R92" s="70">
        <v>1398.76</v>
      </c>
      <c r="S92" s="146" t="s">
        <v>329</v>
      </c>
      <c r="T92" s="70">
        <v>1398.76</v>
      </c>
      <c r="U92" s="67">
        <v>330</v>
      </c>
      <c r="V92" s="68">
        <v>3.3E-3</v>
      </c>
      <c r="W92" s="68">
        <v>0.17469999999999999</v>
      </c>
      <c r="X92" s="162">
        <f t="shared" si="51"/>
        <v>9.9999999984479639E-3</v>
      </c>
      <c r="Y92" s="162">
        <f t="shared" si="52"/>
        <v>7.2514384059796898E-3</v>
      </c>
      <c r="Z92" s="162">
        <f t="shared" si="53"/>
        <v>6.0975609756097563E-3</v>
      </c>
      <c r="AA92" s="160">
        <f t="shared" si="54"/>
        <v>-2.3E-3</v>
      </c>
      <c r="AB92" s="161">
        <f t="shared" si="55"/>
        <v>-3.7599999999999995E-2</v>
      </c>
    </row>
    <row r="93" spans="1:28" ht="14.4" customHeight="1">
      <c r="A93" s="178">
        <v>82</v>
      </c>
      <c r="B93" s="59" t="s">
        <v>138</v>
      </c>
      <c r="C93" s="60" t="s">
        <v>75</v>
      </c>
      <c r="D93" s="146" t="s">
        <v>329</v>
      </c>
      <c r="E93" s="71">
        <v>149715975.18000001</v>
      </c>
      <c r="F93" s="66">
        <f t="shared" si="56"/>
        <v>6.3396126159702252E-4</v>
      </c>
      <c r="G93" s="146" t="s">
        <v>329</v>
      </c>
      <c r="H93" s="70">
        <v>1023.02</v>
      </c>
      <c r="I93" s="146" t="s">
        <v>329</v>
      </c>
      <c r="J93" s="70">
        <v>1037.8800000000001</v>
      </c>
      <c r="K93" s="67">
        <v>72</v>
      </c>
      <c r="L93" s="68">
        <v>2.2000000000000001E-3</v>
      </c>
      <c r="M93" s="68">
        <v>5.1999999999999998E-2</v>
      </c>
      <c r="N93" s="146" t="s">
        <v>329</v>
      </c>
      <c r="O93" s="71">
        <v>149935437.34</v>
      </c>
      <c r="P93" s="66">
        <f t="shared" si="50"/>
        <v>6.3286171507572777E-4</v>
      </c>
      <c r="Q93" s="146" t="s">
        <v>329</v>
      </c>
      <c r="R93" s="70">
        <v>1024.77</v>
      </c>
      <c r="S93" s="146" t="s">
        <v>329</v>
      </c>
      <c r="T93" s="70">
        <v>1040.48</v>
      </c>
      <c r="U93" s="67">
        <v>72</v>
      </c>
      <c r="V93" s="68">
        <v>2.2000000000000001E-3</v>
      </c>
      <c r="W93" s="68">
        <v>5.4199999999999998E-2</v>
      </c>
      <c r="X93" s="162">
        <f t="shared" si="51"/>
        <v>1.4658566645018489E-3</v>
      </c>
      <c r="Y93" s="162">
        <f t="shared" si="52"/>
        <v>2.5051065633791081E-3</v>
      </c>
      <c r="Z93" s="162">
        <f t="shared" si="53"/>
        <v>0</v>
      </c>
      <c r="AA93" s="160">
        <f t="shared" si="54"/>
        <v>0</v>
      </c>
      <c r="AB93" s="161">
        <f t="shared" si="55"/>
        <v>2.2000000000000006E-3</v>
      </c>
    </row>
    <row r="94" spans="1:28" ht="15" customHeight="1">
      <c r="A94" s="178">
        <v>83</v>
      </c>
      <c r="B94" s="59" t="s">
        <v>139</v>
      </c>
      <c r="C94" s="60" t="s">
        <v>78</v>
      </c>
      <c r="D94" s="146" t="s">
        <v>329</v>
      </c>
      <c r="E94" s="71">
        <v>763413907.13999999</v>
      </c>
      <c r="F94" s="66">
        <f t="shared" si="56"/>
        <v>3.2326199198803936E-3</v>
      </c>
      <c r="G94" s="146" t="s">
        <v>329</v>
      </c>
      <c r="H94" s="92">
        <v>1.26</v>
      </c>
      <c r="I94" s="146" t="s">
        <v>329</v>
      </c>
      <c r="J94" s="92">
        <v>1.26</v>
      </c>
      <c r="K94" s="67">
        <v>66</v>
      </c>
      <c r="L94" s="68">
        <v>1E-3</v>
      </c>
      <c r="M94" s="68">
        <v>0.14030000000000001</v>
      </c>
      <c r="N94" s="146" t="s">
        <v>329</v>
      </c>
      <c r="O94" s="71">
        <v>766881619.91999996</v>
      </c>
      <c r="P94" s="66">
        <f t="shared" si="50"/>
        <v>3.2369266789282676E-3</v>
      </c>
      <c r="Q94" s="146" t="s">
        <v>329</v>
      </c>
      <c r="R94" s="92">
        <v>1.2</v>
      </c>
      <c r="S94" s="146" t="s">
        <v>329</v>
      </c>
      <c r="T94" s="92">
        <v>1.2</v>
      </c>
      <c r="U94" s="67">
        <v>67</v>
      </c>
      <c r="V94" s="68">
        <v>1E-3</v>
      </c>
      <c r="W94" s="68">
        <v>0.1401</v>
      </c>
      <c r="X94" s="162">
        <f t="shared" si="51"/>
        <v>4.5423756989064635E-3</v>
      </c>
      <c r="Y94" s="162">
        <f t="shared" si="52"/>
        <v>-4.7619047619047658E-2</v>
      </c>
      <c r="Z94" s="162">
        <f t="shared" si="53"/>
        <v>1.5151515151515152E-2</v>
      </c>
      <c r="AA94" s="160">
        <f t="shared" si="54"/>
        <v>0</v>
      </c>
      <c r="AB94" s="161">
        <f t="shared" si="55"/>
        <v>-2.0000000000000573E-4</v>
      </c>
    </row>
    <row r="95" spans="1:28" ht="15" customHeight="1">
      <c r="A95" s="178">
        <v>84</v>
      </c>
      <c r="B95" s="59" t="s">
        <v>316</v>
      </c>
      <c r="C95" s="60" t="s">
        <v>38</v>
      </c>
      <c r="D95" s="146" t="s">
        <v>329</v>
      </c>
      <c r="E95" s="71">
        <v>1177458352.9000001</v>
      </c>
      <c r="F95" s="66">
        <f t="shared" si="56"/>
        <v>4.9858606069591522E-3</v>
      </c>
      <c r="G95" s="146" t="s">
        <v>329</v>
      </c>
      <c r="H95" s="91">
        <v>3.87</v>
      </c>
      <c r="I95" s="146" t="s">
        <v>329</v>
      </c>
      <c r="J95" s="91">
        <v>3.9</v>
      </c>
      <c r="K95" s="85">
        <v>812</v>
      </c>
      <c r="L95" s="86">
        <v>8.6999999999999994E-3</v>
      </c>
      <c r="M95" s="86">
        <v>0.16830000000000001</v>
      </c>
      <c r="N95" s="146" t="s">
        <v>329</v>
      </c>
      <c r="O95" s="71">
        <v>1180393367.53</v>
      </c>
      <c r="P95" s="66">
        <f t="shared" si="50"/>
        <v>4.9823162842087968E-3</v>
      </c>
      <c r="Q95" s="146" t="s">
        <v>329</v>
      </c>
      <c r="R95" s="91">
        <v>3.88</v>
      </c>
      <c r="S95" s="146" t="s">
        <v>329</v>
      </c>
      <c r="T95" s="91">
        <v>3.91</v>
      </c>
      <c r="U95" s="85">
        <v>813</v>
      </c>
      <c r="V95" s="86">
        <v>1.1599999999999999E-2</v>
      </c>
      <c r="W95" s="86">
        <v>0.16789999999999999</v>
      </c>
      <c r="X95" s="162">
        <f>((O95-E95)/E95)</f>
        <v>2.4926695901992067E-3</v>
      </c>
      <c r="Y95" s="162">
        <f>((T95-J95)/J95)</f>
        <v>2.5641025641026235E-3</v>
      </c>
      <c r="Z95" s="162">
        <f>((U95-K95)/K95)</f>
        <v>1.2315270935960591E-3</v>
      </c>
      <c r="AA95" s="160">
        <f>V95-L95</f>
        <v>2.8999999999999998E-3</v>
      </c>
      <c r="AB95" s="161">
        <f>W95-M95</f>
        <v>-4.0000000000001146E-4</v>
      </c>
    </row>
    <row r="96" spans="1:28" ht="14.4" customHeight="1">
      <c r="A96" s="178">
        <v>85</v>
      </c>
      <c r="B96" s="59" t="s">
        <v>322</v>
      </c>
      <c r="C96" s="60" t="s">
        <v>79</v>
      </c>
      <c r="D96" s="146" t="s">
        <v>329</v>
      </c>
      <c r="E96" s="92">
        <v>11631448769.82</v>
      </c>
      <c r="F96" s="66">
        <f t="shared" si="56"/>
        <v>4.9252512482056574E-2</v>
      </c>
      <c r="G96" s="146" t="s">
        <v>329</v>
      </c>
      <c r="H96" s="92">
        <v>1734.12</v>
      </c>
      <c r="I96" s="146" t="s">
        <v>329</v>
      </c>
      <c r="J96" s="92">
        <v>1734.12</v>
      </c>
      <c r="K96" s="67">
        <v>2036</v>
      </c>
      <c r="L96" s="68">
        <v>1.5E-3</v>
      </c>
      <c r="M96" s="68">
        <v>4.07E-2</v>
      </c>
      <c r="N96" s="146" t="s">
        <v>329</v>
      </c>
      <c r="O96" s="92">
        <v>11640689886.66</v>
      </c>
      <c r="P96" s="66">
        <f t="shared" si="50"/>
        <v>4.9134127975568063E-2</v>
      </c>
      <c r="Q96" s="146" t="s">
        <v>329</v>
      </c>
      <c r="R96" s="92">
        <v>1735.92</v>
      </c>
      <c r="S96" s="146" t="s">
        <v>329</v>
      </c>
      <c r="T96" s="92">
        <v>1735.92</v>
      </c>
      <c r="U96" s="67">
        <v>2296</v>
      </c>
      <c r="V96" s="68">
        <v>1E-3</v>
      </c>
      <c r="W96" s="68">
        <v>4.1799999999999997E-2</v>
      </c>
      <c r="X96" s="162">
        <f t="shared" si="51"/>
        <v>7.9449404995687064E-4</v>
      </c>
      <c r="Y96" s="162">
        <f t="shared" si="52"/>
        <v>1.0379904504879604E-3</v>
      </c>
      <c r="Z96" s="162">
        <f t="shared" si="53"/>
        <v>0.12770137524557956</v>
      </c>
      <c r="AA96" s="160">
        <f t="shared" si="54"/>
        <v>-5.0000000000000001E-4</v>
      </c>
      <c r="AB96" s="161">
        <f t="shared" si="55"/>
        <v>1.0999999999999968E-3</v>
      </c>
    </row>
    <row r="97" spans="1:28" ht="13.8" customHeight="1">
      <c r="A97" s="178">
        <v>86</v>
      </c>
      <c r="B97" s="59" t="s">
        <v>140</v>
      </c>
      <c r="C97" s="60" t="s">
        <v>87</v>
      </c>
      <c r="D97" s="146" t="s">
        <v>329</v>
      </c>
      <c r="E97" s="71">
        <v>23853709.530000001</v>
      </c>
      <c r="F97" s="66">
        <f t="shared" si="56"/>
        <v>1.0100677478957407E-4</v>
      </c>
      <c r="G97" s="146" t="s">
        <v>329</v>
      </c>
      <c r="H97" s="91">
        <v>0.72860000000000003</v>
      </c>
      <c r="I97" s="146" t="s">
        <v>329</v>
      </c>
      <c r="J97" s="91">
        <v>0.72860000000000003</v>
      </c>
      <c r="K97" s="67">
        <v>744</v>
      </c>
      <c r="L97" s="68">
        <v>2.210555402044827E-3</v>
      </c>
      <c r="M97" s="68">
        <v>-1.1000000000000001E-3</v>
      </c>
      <c r="N97" s="146" t="s">
        <v>329</v>
      </c>
      <c r="O97" s="71">
        <v>23898971.030000001</v>
      </c>
      <c r="P97" s="66">
        <f t="shared" si="50"/>
        <v>1.0087504370493427E-4</v>
      </c>
      <c r="Q97" s="146" t="s">
        <v>329</v>
      </c>
      <c r="R97" s="91">
        <v>0.72860000000000003</v>
      </c>
      <c r="S97" s="146" t="s">
        <v>329</v>
      </c>
      <c r="T97" s="91">
        <v>0.72860000000000003</v>
      </c>
      <c r="U97" s="67">
        <v>744</v>
      </c>
      <c r="V97" s="68">
        <v>1.9E-3</v>
      </c>
      <c r="W97" s="68">
        <v>8.0000000000000004E-4</v>
      </c>
      <c r="X97" s="162">
        <f t="shared" si="51"/>
        <v>1.8974616901021684E-3</v>
      </c>
      <c r="Y97" s="162">
        <f t="shared" si="52"/>
        <v>0</v>
      </c>
      <c r="Z97" s="162">
        <f t="shared" si="53"/>
        <v>0</v>
      </c>
      <c r="AA97" s="160">
        <f t="shared" si="54"/>
        <v>-3.1055540204482702E-4</v>
      </c>
      <c r="AB97" s="161">
        <f t="shared" si="55"/>
        <v>1.9000000000000002E-3</v>
      </c>
    </row>
    <row r="98" spans="1:28" ht="15.6" customHeight="1">
      <c r="A98" s="178">
        <v>87</v>
      </c>
      <c r="B98" s="59" t="s">
        <v>141</v>
      </c>
      <c r="C98" s="60" t="s">
        <v>35</v>
      </c>
      <c r="D98" s="146" t="s">
        <v>329</v>
      </c>
      <c r="E98" s="71">
        <v>12879930630.99</v>
      </c>
      <c r="F98" s="66">
        <f t="shared" si="56"/>
        <v>5.4539116899766461E-2</v>
      </c>
      <c r="G98" s="146" t="s">
        <v>329</v>
      </c>
      <c r="H98" s="91">
        <v>1</v>
      </c>
      <c r="I98" s="146" t="s">
        <v>329</v>
      </c>
      <c r="J98" s="91">
        <v>1</v>
      </c>
      <c r="K98" s="67">
        <v>6319</v>
      </c>
      <c r="L98" s="68">
        <v>0.06</v>
      </c>
      <c r="M98" s="68">
        <v>0.06</v>
      </c>
      <c r="N98" s="146" t="s">
        <v>329</v>
      </c>
      <c r="O98" s="71">
        <v>12915603637.51</v>
      </c>
      <c r="P98" s="66">
        <f t="shared" si="50"/>
        <v>5.4515404858810325E-2</v>
      </c>
      <c r="Q98" s="146" t="s">
        <v>329</v>
      </c>
      <c r="R98" s="91">
        <v>1</v>
      </c>
      <c r="S98" s="146" t="s">
        <v>329</v>
      </c>
      <c r="T98" s="91">
        <v>1</v>
      </c>
      <c r="U98" s="67">
        <v>6326</v>
      </c>
      <c r="V98" s="68">
        <v>0.06</v>
      </c>
      <c r="W98" s="68">
        <v>0.06</v>
      </c>
      <c r="X98" s="162">
        <f t="shared" si="51"/>
        <v>2.7696582801594247E-3</v>
      </c>
      <c r="Y98" s="162">
        <f t="shared" si="52"/>
        <v>0</v>
      </c>
      <c r="Z98" s="162">
        <f t="shared" si="53"/>
        <v>1.1077702168064568E-3</v>
      </c>
      <c r="AA98" s="160">
        <f t="shared" si="54"/>
        <v>0</v>
      </c>
      <c r="AB98" s="161">
        <f t="shared" si="55"/>
        <v>0</v>
      </c>
    </row>
    <row r="99" spans="1:28" ht="14.4" customHeight="1">
      <c r="A99" s="178">
        <v>88</v>
      </c>
      <c r="B99" s="59" t="s">
        <v>142</v>
      </c>
      <c r="C99" s="60" t="s">
        <v>143</v>
      </c>
      <c r="D99" s="146" t="s">
        <v>329</v>
      </c>
      <c r="E99" s="71">
        <v>1932339753.8900001</v>
      </c>
      <c r="F99" s="66">
        <f t="shared" si="56"/>
        <v>8.182350258463476E-3</v>
      </c>
      <c r="G99" s="146" t="s">
        <v>329</v>
      </c>
      <c r="H99" s="71">
        <v>287.04000000000002</v>
      </c>
      <c r="I99" s="146" t="s">
        <v>329</v>
      </c>
      <c r="J99" s="71">
        <v>287.04000000000002</v>
      </c>
      <c r="K99" s="67">
        <v>562</v>
      </c>
      <c r="L99" s="68">
        <v>3.0000000000000001E-3</v>
      </c>
      <c r="M99" s="68">
        <v>0.16980000000000001</v>
      </c>
      <c r="N99" s="146" t="s">
        <v>329</v>
      </c>
      <c r="O99" s="71">
        <v>1956004879.02</v>
      </c>
      <c r="P99" s="66">
        <f t="shared" si="50"/>
        <v>8.2560909174928254E-3</v>
      </c>
      <c r="Q99" s="146" t="s">
        <v>329</v>
      </c>
      <c r="R99" s="71">
        <v>287.79000000000002</v>
      </c>
      <c r="S99" s="146" t="s">
        <v>329</v>
      </c>
      <c r="T99" s="71">
        <v>287.79000000000002</v>
      </c>
      <c r="U99" s="67">
        <v>562</v>
      </c>
      <c r="V99" s="68">
        <v>3.0000000000000001E-3</v>
      </c>
      <c r="W99" s="68">
        <v>0.16950000000000001</v>
      </c>
      <c r="X99" s="162">
        <f t="shared" si="51"/>
        <v>1.2246875883166782E-2</v>
      </c>
      <c r="Y99" s="162">
        <f t="shared" si="52"/>
        <v>2.612876254180602E-3</v>
      </c>
      <c r="Z99" s="162">
        <f t="shared" si="53"/>
        <v>0</v>
      </c>
      <c r="AA99" s="160">
        <f t="shared" si="54"/>
        <v>0</v>
      </c>
      <c r="AB99" s="161">
        <f t="shared" si="55"/>
        <v>-2.9999999999999472E-4</v>
      </c>
    </row>
    <row r="100" spans="1:28" ht="13.8" customHeight="1">
      <c r="A100" s="178">
        <v>89</v>
      </c>
      <c r="B100" s="59" t="s">
        <v>144</v>
      </c>
      <c r="C100" s="60" t="s">
        <v>40</v>
      </c>
      <c r="D100" s="146" t="s">
        <v>329</v>
      </c>
      <c r="E100" s="71">
        <v>788992577.74000001</v>
      </c>
      <c r="F100" s="66">
        <f t="shared" si="56"/>
        <v>3.340930915177019E-3</v>
      </c>
      <c r="G100" s="146" t="s">
        <v>329</v>
      </c>
      <c r="H100" s="91">
        <v>115.16</v>
      </c>
      <c r="I100" s="146" t="s">
        <v>329</v>
      </c>
      <c r="J100" s="91">
        <v>115.16</v>
      </c>
      <c r="K100" s="85">
        <v>215</v>
      </c>
      <c r="L100" s="86">
        <v>0.14949999999999999</v>
      </c>
      <c r="M100" s="86">
        <v>0.17119999999999999</v>
      </c>
      <c r="N100" s="146" t="s">
        <v>329</v>
      </c>
      <c r="O100" s="71">
        <v>789034440.17999995</v>
      </c>
      <c r="P100" s="66">
        <f t="shared" si="50"/>
        <v>3.3304314038434079E-3</v>
      </c>
      <c r="Q100" s="146" t="s">
        <v>329</v>
      </c>
      <c r="R100" s="91">
        <v>115.19</v>
      </c>
      <c r="S100" s="146" t="s">
        <v>329</v>
      </c>
      <c r="T100" s="91">
        <v>115.19</v>
      </c>
      <c r="U100" s="85">
        <v>215</v>
      </c>
      <c r="V100" s="86">
        <v>0.14940000000000001</v>
      </c>
      <c r="W100" s="86">
        <v>0.17130000000000001</v>
      </c>
      <c r="X100" s="162">
        <f t="shared" si="51"/>
        <v>5.3058091015062897E-5</v>
      </c>
      <c r="Y100" s="162">
        <f t="shared" si="52"/>
        <v>2.60507120527971E-4</v>
      </c>
      <c r="Z100" s="162">
        <f t="shared" si="53"/>
        <v>0</v>
      </c>
      <c r="AA100" s="160">
        <f t="shared" si="54"/>
        <v>-9.9999999999988987E-5</v>
      </c>
      <c r="AB100" s="161">
        <f t="shared" si="55"/>
        <v>1.0000000000001674E-4</v>
      </c>
    </row>
    <row r="101" spans="1:28" ht="15.6" customHeight="1">
      <c r="A101" s="178">
        <v>90</v>
      </c>
      <c r="B101" s="60" t="s">
        <v>145</v>
      </c>
      <c r="C101" s="93" t="s">
        <v>44</v>
      </c>
      <c r="D101" s="146" t="s">
        <v>329</v>
      </c>
      <c r="E101" s="71">
        <v>1230238375</v>
      </c>
      <c r="F101" s="66">
        <f t="shared" si="56"/>
        <v>5.209353720218482E-3</v>
      </c>
      <c r="G101" s="146" t="s">
        <v>329</v>
      </c>
      <c r="H101" s="91">
        <v>116.21</v>
      </c>
      <c r="I101" s="146" t="s">
        <v>329</v>
      </c>
      <c r="J101" s="91">
        <v>116.76</v>
      </c>
      <c r="K101" s="67">
        <v>3687</v>
      </c>
      <c r="L101" s="68">
        <v>8.9999999999999998E-4</v>
      </c>
      <c r="M101" s="68">
        <v>5.1700000000000003E-2</v>
      </c>
      <c r="N101" s="146" t="s">
        <v>329</v>
      </c>
      <c r="O101" s="71">
        <v>1217101077</v>
      </c>
      <c r="P101" s="66">
        <f t="shared" si="50"/>
        <v>5.1372556660108882E-3</v>
      </c>
      <c r="Q101" s="146" t="s">
        <v>329</v>
      </c>
      <c r="R101" s="91">
        <v>114.94</v>
      </c>
      <c r="S101" s="146" t="s">
        <v>329</v>
      </c>
      <c r="T101" s="91">
        <v>115.55</v>
      </c>
      <c r="U101" s="67">
        <v>3772</v>
      </c>
      <c r="V101" s="68">
        <v>8.9999999999999998E-4</v>
      </c>
      <c r="W101" s="68">
        <v>5.1700000000000003E-2</v>
      </c>
      <c r="X101" s="162">
        <f t="shared" si="51"/>
        <v>-1.0678660548204733E-2</v>
      </c>
      <c r="Y101" s="162">
        <f t="shared" si="52"/>
        <v>-1.0363138060979856E-2</v>
      </c>
      <c r="Z101" s="162">
        <f t="shared" si="53"/>
        <v>2.3053973420124763E-2</v>
      </c>
      <c r="AA101" s="160">
        <f t="shared" si="54"/>
        <v>0</v>
      </c>
      <c r="AB101" s="161">
        <f t="shared" si="55"/>
        <v>0</v>
      </c>
    </row>
    <row r="102" spans="1:28" ht="13.2" customHeight="1">
      <c r="A102" s="178">
        <v>91</v>
      </c>
      <c r="B102" s="59" t="s">
        <v>146</v>
      </c>
      <c r="C102" s="60" t="s">
        <v>19</v>
      </c>
      <c r="D102" s="146" t="s">
        <v>329</v>
      </c>
      <c r="E102" s="72">
        <v>1762180833.98</v>
      </c>
      <c r="F102" s="62">
        <f t="shared" si="56"/>
        <v>7.4618248542209714E-3</v>
      </c>
      <c r="G102" s="146" t="s">
        <v>329</v>
      </c>
      <c r="H102" s="94">
        <v>406.73200000000003</v>
      </c>
      <c r="I102" s="146" t="s">
        <v>329</v>
      </c>
      <c r="J102" s="94">
        <v>406.73200000000003</v>
      </c>
      <c r="K102" s="63">
        <v>96</v>
      </c>
      <c r="L102" s="64">
        <v>2.0999999999999999E-3</v>
      </c>
      <c r="M102" s="64">
        <v>5.7700000000000001E-2</v>
      </c>
      <c r="N102" s="146" t="s">
        <v>329</v>
      </c>
      <c r="O102" s="72">
        <v>1764596064.27</v>
      </c>
      <c r="P102" s="62">
        <f t="shared" si="50"/>
        <v>7.4481744373574082E-3</v>
      </c>
      <c r="Q102" s="146" t="s">
        <v>329</v>
      </c>
      <c r="R102" s="94">
        <v>407.1438</v>
      </c>
      <c r="S102" s="146" t="s">
        <v>329</v>
      </c>
      <c r="T102" s="94">
        <v>407.1438</v>
      </c>
      <c r="U102" s="63">
        <v>96</v>
      </c>
      <c r="V102" s="64">
        <v>1E-3</v>
      </c>
      <c r="W102" s="64">
        <v>5.8799999999999998E-2</v>
      </c>
      <c r="X102" s="160">
        <f t="shared" si="51"/>
        <v>1.3705916234175621E-3</v>
      </c>
      <c r="Y102" s="160">
        <f t="shared" si="52"/>
        <v>1.0124602932642896E-3</v>
      </c>
      <c r="Z102" s="160">
        <f t="shared" si="53"/>
        <v>0</v>
      </c>
      <c r="AA102" s="160">
        <f t="shared" si="54"/>
        <v>-1.0999999999999998E-3</v>
      </c>
      <c r="AB102" s="161">
        <f t="shared" si="55"/>
        <v>1.0999999999999968E-3</v>
      </c>
    </row>
    <row r="103" spans="1:28" ht="14.4" customHeight="1">
      <c r="A103" s="178">
        <v>92</v>
      </c>
      <c r="B103" s="59" t="s">
        <v>147</v>
      </c>
      <c r="C103" s="60" t="s">
        <v>98</v>
      </c>
      <c r="D103" s="146" t="s">
        <v>329</v>
      </c>
      <c r="E103" s="82">
        <v>5700946519</v>
      </c>
      <c r="F103" s="66">
        <f>(E103/$O$76)</f>
        <v>9.5891661804044974E-4</v>
      </c>
      <c r="G103" s="146" t="s">
        <v>329</v>
      </c>
      <c r="H103" s="91">
        <v>105.32</v>
      </c>
      <c r="I103" s="167" t="s">
        <v>329</v>
      </c>
      <c r="J103" s="91">
        <v>105.32</v>
      </c>
      <c r="K103" s="67">
        <v>502</v>
      </c>
      <c r="L103" s="68">
        <v>1.1000000000000001E-3</v>
      </c>
      <c r="M103" s="68">
        <v>0.1394</v>
      </c>
      <c r="N103" s="146" t="s">
        <v>329</v>
      </c>
      <c r="O103" s="82">
        <v>5686002430</v>
      </c>
      <c r="P103" s="66">
        <f t="shared" si="50"/>
        <v>2.4000018365335139E-2</v>
      </c>
      <c r="Q103" s="146" t="s">
        <v>329</v>
      </c>
      <c r="R103" s="91">
        <v>104.96</v>
      </c>
      <c r="S103" s="167" t="s">
        <v>329</v>
      </c>
      <c r="T103" s="91">
        <v>104.96</v>
      </c>
      <c r="U103" s="67">
        <v>502</v>
      </c>
      <c r="V103" s="68">
        <v>-3.5000000000000001E-3</v>
      </c>
      <c r="W103" s="68">
        <v>0.12520000000000001</v>
      </c>
      <c r="X103" s="162">
        <f t="shared" si="51"/>
        <v>-2.6213347117350848E-3</v>
      </c>
      <c r="Y103" s="162">
        <f t="shared" si="52"/>
        <v>-3.4181541967337587E-3</v>
      </c>
      <c r="Z103" s="162">
        <f t="shared" si="53"/>
        <v>0</v>
      </c>
      <c r="AA103" s="160">
        <f t="shared" si="54"/>
        <v>-4.5999999999999999E-3</v>
      </c>
      <c r="AB103" s="161">
        <f t="shared" si="55"/>
        <v>-1.419999999999999E-2</v>
      </c>
    </row>
    <row r="104" spans="1:28" ht="14.4" customHeight="1">
      <c r="A104" s="178">
        <v>93</v>
      </c>
      <c r="B104" s="59" t="s">
        <v>148</v>
      </c>
      <c r="C104" s="60" t="s">
        <v>42</v>
      </c>
      <c r="D104" s="146" t="s">
        <v>329</v>
      </c>
      <c r="E104" s="71">
        <v>63066828.640000001</v>
      </c>
      <c r="F104" s="66">
        <f t="shared" ref="F104:F116" si="64">(E104/$E$117)</f>
        <v>2.6705183733044053E-4</v>
      </c>
      <c r="G104" s="146" t="s">
        <v>329</v>
      </c>
      <c r="H104" s="71">
        <v>13.09</v>
      </c>
      <c r="I104" s="146" t="s">
        <v>329</v>
      </c>
      <c r="J104" s="71">
        <v>13.41</v>
      </c>
      <c r="K104" s="67">
        <v>54</v>
      </c>
      <c r="L104" s="68">
        <v>0</v>
      </c>
      <c r="M104" s="68">
        <v>0.12939999999999999</v>
      </c>
      <c r="N104" s="146" t="s">
        <v>329</v>
      </c>
      <c r="O104" s="71">
        <v>62998607.890000001</v>
      </c>
      <c r="P104" s="66">
        <f t="shared" si="50"/>
        <v>2.6591049950545784E-4</v>
      </c>
      <c r="Q104" s="146" t="s">
        <v>329</v>
      </c>
      <c r="R104" s="71">
        <v>13.08</v>
      </c>
      <c r="S104" s="146" t="s">
        <v>329</v>
      </c>
      <c r="T104" s="71">
        <v>13.41</v>
      </c>
      <c r="U104" s="67">
        <v>54</v>
      </c>
      <c r="V104" s="68">
        <v>0</v>
      </c>
      <c r="W104" s="68">
        <v>6.6E-3</v>
      </c>
      <c r="X104" s="162">
        <f t="shared" si="51"/>
        <v>-1.081721587578468E-3</v>
      </c>
      <c r="Y104" s="162">
        <f t="shared" si="52"/>
        <v>0</v>
      </c>
      <c r="Z104" s="162">
        <f t="shared" si="53"/>
        <v>0</v>
      </c>
      <c r="AA104" s="160">
        <f t="shared" si="54"/>
        <v>0</v>
      </c>
      <c r="AB104" s="161">
        <f t="shared" si="55"/>
        <v>-0.12279999999999999</v>
      </c>
    </row>
    <row r="105" spans="1:28" ht="13.8" customHeight="1">
      <c r="A105" s="178">
        <v>94</v>
      </c>
      <c r="B105" s="59" t="s">
        <v>149</v>
      </c>
      <c r="C105" s="60" t="s">
        <v>150</v>
      </c>
      <c r="D105" s="146" t="s">
        <v>329</v>
      </c>
      <c r="E105" s="71">
        <v>1052992482.11</v>
      </c>
      <c r="F105" s="66">
        <f t="shared" si="64"/>
        <v>4.4588190512605506E-3</v>
      </c>
      <c r="G105" s="146" t="s">
        <v>329</v>
      </c>
      <c r="H105" s="71">
        <v>164.42</v>
      </c>
      <c r="I105" s="146" t="s">
        <v>329</v>
      </c>
      <c r="J105" s="71">
        <v>164.42</v>
      </c>
      <c r="K105" s="67">
        <v>191</v>
      </c>
      <c r="L105" s="68">
        <v>0.2278</v>
      </c>
      <c r="M105" s="68">
        <v>0.17780000000000001</v>
      </c>
      <c r="N105" s="146" t="s">
        <v>329</v>
      </c>
      <c r="O105" s="71">
        <v>1118787447.6500001</v>
      </c>
      <c r="P105" s="66">
        <f t="shared" si="50"/>
        <v>4.7222841743503139E-3</v>
      </c>
      <c r="Q105" s="146" t="s">
        <v>329</v>
      </c>
      <c r="R105" s="71">
        <v>167.42</v>
      </c>
      <c r="S105" s="146" t="s">
        <v>329</v>
      </c>
      <c r="T105" s="71">
        <v>167.42</v>
      </c>
      <c r="U105" s="67">
        <v>191</v>
      </c>
      <c r="V105" s="68">
        <v>0.1138</v>
      </c>
      <c r="W105" s="68">
        <v>0.17430000000000001</v>
      </c>
      <c r="X105" s="162">
        <f t="shared" si="51"/>
        <v>6.248379419400913E-2</v>
      </c>
      <c r="Y105" s="162">
        <f t="shared" si="52"/>
        <v>1.8245955479868632E-2</v>
      </c>
      <c r="Z105" s="162">
        <f t="shared" si="53"/>
        <v>0</v>
      </c>
      <c r="AA105" s="160">
        <f t="shared" si="54"/>
        <v>-0.114</v>
      </c>
      <c r="AB105" s="161">
        <f t="shared" si="55"/>
        <v>-3.5000000000000031E-3</v>
      </c>
    </row>
    <row r="106" spans="1:28" ht="14.4" customHeight="1">
      <c r="A106" s="178">
        <v>95</v>
      </c>
      <c r="B106" s="59" t="s">
        <v>151</v>
      </c>
      <c r="C106" s="60" t="s">
        <v>152</v>
      </c>
      <c r="D106" s="146" t="s">
        <v>329</v>
      </c>
      <c r="E106" s="71">
        <v>12521217750.99</v>
      </c>
      <c r="F106" s="66">
        <f t="shared" si="64"/>
        <v>5.3020173649505488E-2</v>
      </c>
      <c r="G106" s="146" t="s">
        <v>329</v>
      </c>
      <c r="H106" s="71">
        <v>1.06</v>
      </c>
      <c r="I106" s="146" t="s">
        <v>329</v>
      </c>
      <c r="J106" s="71">
        <v>1.06</v>
      </c>
      <c r="K106" s="67">
        <v>5431</v>
      </c>
      <c r="L106" s="68">
        <v>0.16039999999999999</v>
      </c>
      <c r="M106" s="68">
        <v>0.16039999999999999</v>
      </c>
      <c r="N106" s="146" t="s">
        <v>329</v>
      </c>
      <c r="O106" s="71">
        <v>12561951648.709999</v>
      </c>
      <c r="P106" s="66">
        <f t="shared" si="50"/>
        <v>5.3022677001123265E-2</v>
      </c>
      <c r="Q106" s="146" t="s">
        <v>329</v>
      </c>
      <c r="R106" s="71">
        <v>1.06</v>
      </c>
      <c r="S106" s="146" t="s">
        <v>329</v>
      </c>
      <c r="T106" s="71">
        <v>1.06</v>
      </c>
      <c r="U106" s="67">
        <v>5435</v>
      </c>
      <c r="V106" s="68">
        <v>0.1605</v>
      </c>
      <c r="W106" s="68">
        <v>0.1605</v>
      </c>
      <c r="X106" s="162">
        <f t="shared" si="51"/>
        <v>3.2531897879324602E-3</v>
      </c>
      <c r="Y106" s="162">
        <f t="shared" si="52"/>
        <v>0</v>
      </c>
      <c r="Z106" s="162">
        <f t="shared" si="53"/>
        <v>7.3651261277849378E-4</v>
      </c>
      <c r="AA106" s="160">
        <f t="shared" si="54"/>
        <v>1.0000000000001674E-4</v>
      </c>
      <c r="AB106" s="161">
        <f t="shared" si="55"/>
        <v>1.0000000000001674E-4</v>
      </c>
    </row>
    <row r="107" spans="1:28" ht="13.5" customHeight="1">
      <c r="A107" s="178">
        <v>96</v>
      </c>
      <c r="B107" s="59" t="s">
        <v>153</v>
      </c>
      <c r="C107" s="60" t="s">
        <v>46</v>
      </c>
      <c r="D107" s="146" t="s">
        <v>329</v>
      </c>
      <c r="E107" s="71">
        <v>15570841379.98</v>
      </c>
      <c r="F107" s="66">
        <f t="shared" si="64"/>
        <v>6.5933580124039534E-2</v>
      </c>
      <c r="G107" s="146" t="s">
        <v>329</v>
      </c>
      <c r="H107" s="91">
        <v>259.25</v>
      </c>
      <c r="I107" s="146" t="s">
        <v>329</v>
      </c>
      <c r="J107" s="91">
        <v>259.25</v>
      </c>
      <c r="K107" s="67">
        <v>5893</v>
      </c>
      <c r="L107" s="68">
        <v>0</v>
      </c>
      <c r="M107" s="68">
        <v>0</v>
      </c>
      <c r="N107" s="146" t="s">
        <v>329</v>
      </c>
      <c r="O107" s="71">
        <v>15058091606.34</v>
      </c>
      <c r="P107" s="66">
        <f t="shared" si="50"/>
        <v>6.3558621289414211E-2</v>
      </c>
      <c r="Q107" s="146" t="s">
        <v>329</v>
      </c>
      <c r="R107" s="91">
        <v>259.25</v>
      </c>
      <c r="S107" s="146" t="s">
        <v>329</v>
      </c>
      <c r="T107" s="91">
        <v>259.25</v>
      </c>
      <c r="U107" s="67">
        <v>5891</v>
      </c>
      <c r="V107" s="68">
        <v>0</v>
      </c>
      <c r="W107" s="68">
        <v>0</v>
      </c>
      <c r="X107" s="162">
        <f t="shared" si="51"/>
        <v>-3.2930126325688508E-2</v>
      </c>
      <c r="Y107" s="162">
        <f t="shared" si="52"/>
        <v>0</v>
      </c>
      <c r="Z107" s="162">
        <f t="shared" si="53"/>
        <v>-3.3938571186153065E-4</v>
      </c>
      <c r="AA107" s="160">
        <f t="shared" si="54"/>
        <v>0</v>
      </c>
      <c r="AB107" s="161">
        <f t="shared" si="55"/>
        <v>0</v>
      </c>
    </row>
    <row r="108" spans="1:28" ht="13.5" customHeight="1">
      <c r="A108" s="178">
        <v>97</v>
      </c>
      <c r="B108" s="59" t="s">
        <v>154</v>
      </c>
      <c r="C108" s="60" t="s">
        <v>46</v>
      </c>
      <c r="D108" s="146" t="s">
        <v>329</v>
      </c>
      <c r="E108" s="71">
        <v>1461425779.51</v>
      </c>
      <c r="F108" s="66">
        <f t="shared" si="64"/>
        <v>6.1882997441968209E-3</v>
      </c>
      <c r="G108" s="146" t="s">
        <v>329</v>
      </c>
      <c r="H108" s="70">
        <v>10964.32</v>
      </c>
      <c r="I108" s="146" t="s">
        <v>329</v>
      </c>
      <c r="J108" s="70">
        <v>11006.89</v>
      </c>
      <c r="K108" s="67">
        <v>33</v>
      </c>
      <c r="L108" s="68">
        <v>-3.8E-3</v>
      </c>
      <c r="M108" s="68">
        <v>0.16800000000000001</v>
      </c>
      <c r="N108" s="146" t="s">
        <v>329</v>
      </c>
      <c r="O108" s="71">
        <v>1455143469.28</v>
      </c>
      <c r="P108" s="66">
        <f t="shared" si="50"/>
        <v>6.1420075733097232E-3</v>
      </c>
      <c r="Q108" s="146" t="s">
        <v>329</v>
      </c>
      <c r="R108" s="70">
        <v>10924.86</v>
      </c>
      <c r="S108" s="146" t="s">
        <v>329</v>
      </c>
      <c r="T108" s="70">
        <v>10967.02</v>
      </c>
      <c r="U108" s="67">
        <v>33</v>
      </c>
      <c r="V108" s="68">
        <v>-3.3E-3</v>
      </c>
      <c r="W108" s="68">
        <v>0.1641</v>
      </c>
      <c r="X108" s="162">
        <f t="shared" si="51"/>
        <v>-4.2987542152885857E-3</v>
      </c>
      <c r="Y108" s="162">
        <f t="shared" si="52"/>
        <v>-3.6222765922071525E-3</v>
      </c>
      <c r="Z108" s="162">
        <f t="shared" si="53"/>
        <v>0</v>
      </c>
      <c r="AA108" s="160">
        <f t="shared" si="54"/>
        <v>5.0000000000000001E-4</v>
      </c>
      <c r="AB108" s="161">
        <f t="shared" si="55"/>
        <v>-3.9000000000000146E-3</v>
      </c>
    </row>
    <row r="109" spans="1:28" ht="15" customHeight="1">
      <c r="A109" s="178">
        <v>98</v>
      </c>
      <c r="B109" s="59" t="s">
        <v>155</v>
      </c>
      <c r="C109" s="60" t="s">
        <v>46</v>
      </c>
      <c r="D109" s="146" t="s">
        <v>329</v>
      </c>
      <c r="E109" s="71">
        <v>5831855430.46</v>
      </c>
      <c r="F109" s="66">
        <f t="shared" si="64"/>
        <v>2.4694561964418608E-2</v>
      </c>
      <c r="G109" s="146" t="s">
        <v>329</v>
      </c>
      <c r="H109" s="91">
        <v>173.73</v>
      </c>
      <c r="I109" s="146" t="s">
        <v>329</v>
      </c>
      <c r="J109" s="91">
        <v>173.73</v>
      </c>
      <c r="K109" s="67">
        <v>6507</v>
      </c>
      <c r="L109" s="68">
        <v>2.2000000000000001E-3</v>
      </c>
      <c r="M109" s="68">
        <v>0.17829999999999999</v>
      </c>
      <c r="N109" s="146" t="s">
        <v>329</v>
      </c>
      <c r="O109" s="71">
        <v>5929651423.7700005</v>
      </c>
      <c r="P109" s="66">
        <f t="shared" si="50"/>
        <v>2.5028435147980699E-2</v>
      </c>
      <c r="Q109" s="146" t="s">
        <v>329</v>
      </c>
      <c r="R109" s="91">
        <v>174.62</v>
      </c>
      <c r="S109" s="146" t="s">
        <v>329</v>
      </c>
      <c r="T109" s="91">
        <v>174.62</v>
      </c>
      <c r="U109" s="67">
        <v>6579</v>
      </c>
      <c r="V109" s="68">
        <v>5.4999999999999997E-3</v>
      </c>
      <c r="W109" s="68">
        <v>0.18410000000000001</v>
      </c>
      <c r="X109" s="162">
        <f t="shared" si="51"/>
        <v>1.6769276000774689E-2</v>
      </c>
      <c r="Y109" s="162">
        <f t="shared" si="52"/>
        <v>5.1228918436655429E-3</v>
      </c>
      <c r="Z109" s="162">
        <f t="shared" si="53"/>
        <v>1.1065006915629323E-2</v>
      </c>
      <c r="AA109" s="160">
        <f t="shared" si="54"/>
        <v>3.2999999999999995E-3</v>
      </c>
      <c r="AB109" s="161">
        <f t="shared" si="55"/>
        <v>5.8000000000000274E-3</v>
      </c>
    </row>
    <row r="110" spans="1:28" ht="15" customHeight="1">
      <c r="A110" s="178">
        <v>99</v>
      </c>
      <c r="B110" s="59" t="s">
        <v>156</v>
      </c>
      <c r="C110" s="60" t="s">
        <v>46</v>
      </c>
      <c r="D110" s="146" t="s">
        <v>329</v>
      </c>
      <c r="E110" s="71">
        <v>5538537427.1499996</v>
      </c>
      <c r="F110" s="66">
        <f t="shared" si="64"/>
        <v>2.3452528499359443E-2</v>
      </c>
      <c r="G110" s="146" t="s">
        <v>329</v>
      </c>
      <c r="H110" s="91">
        <v>390.13</v>
      </c>
      <c r="I110" s="146" t="s">
        <v>329</v>
      </c>
      <c r="J110" s="91">
        <v>390.13</v>
      </c>
      <c r="K110" s="67">
        <v>12497</v>
      </c>
      <c r="L110" s="68">
        <v>2.2000000000000001E-3</v>
      </c>
      <c r="M110" s="68">
        <v>1.2699999999999999E-2</v>
      </c>
      <c r="N110" s="146" t="s">
        <v>329</v>
      </c>
      <c r="O110" s="71">
        <v>5550617223.6300001</v>
      </c>
      <c r="P110" s="66">
        <f t="shared" si="50"/>
        <v>2.3428571645205142E-2</v>
      </c>
      <c r="Q110" s="146" t="s">
        <v>329</v>
      </c>
      <c r="R110" s="91">
        <v>390.85</v>
      </c>
      <c r="S110" s="146" t="s">
        <v>329</v>
      </c>
      <c r="T110" s="91">
        <v>390.85</v>
      </c>
      <c r="U110" s="67">
        <v>12652</v>
      </c>
      <c r="V110" s="68">
        <v>2.2000000000000001E-3</v>
      </c>
      <c r="W110" s="68">
        <v>1.49E-2</v>
      </c>
      <c r="X110" s="162">
        <f t="shared" si="51"/>
        <v>2.1810444795019599E-3</v>
      </c>
      <c r="Y110" s="162">
        <f t="shared" si="52"/>
        <v>1.8455386665983833E-3</v>
      </c>
      <c r="Z110" s="162">
        <f t="shared" si="53"/>
        <v>1.2402976714411458E-2</v>
      </c>
      <c r="AA110" s="160">
        <f t="shared" si="54"/>
        <v>0</v>
      </c>
      <c r="AB110" s="161">
        <f t="shared" si="55"/>
        <v>2.2000000000000006E-3</v>
      </c>
    </row>
    <row r="111" spans="1:28" ht="15" customHeight="1">
      <c r="A111" s="178">
        <v>100</v>
      </c>
      <c r="B111" s="59" t="s">
        <v>157</v>
      </c>
      <c r="C111" s="60" t="s">
        <v>112</v>
      </c>
      <c r="D111" s="146" t="s">
        <v>329</v>
      </c>
      <c r="E111" s="71">
        <v>116228608.76000001</v>
      </c>
      <c r="F111" s="66">
        <f t="shared" si="64"/>
        <v>4.9216147678674427E-4</v>
      </c>
      <c r="G111" s="146" t="s">
        <v>329</v>
      </c>
      <c r="H111" s="91">
        <v>119.652</v>
      </c>
      <c r="I111" s="146" t="s">
        <v>329</v>
      </c>
      <c r="J111" s="91">
        <v>119.652</v>
      </c>
      <c r="K111" s="67">
        <v>28</v>
      </c>
      <c r="L111" s="68">
        <v>3.0027000000000001E-3</v>
      </c>
      <c r="M111" s="68">
        <v>0.13300000000000001</v>
      </c>
      <c r="N111" s="146" t="s">
        <v>329</v>
      </c>
      <c r="O111" s="71">
        <v>116037903.61</v>
      </c>
      <c r="P111" s="66">
        <f t="shared" si="50"/>
        <v>4.8978378957797747E-4</v>
      </c>
      <c r="Q111" s="146" t="s">
        <v>329</v>
      </c>
      <c r="R111" s="91">
        <v>119.419</v>
      </c>
      <c r="S111" s="146" t="s">
        <v>329</v>
      </c>
      <c r="T111" s="91">
        <v>119.419</v>
      </c>
      <c r="U111" s="67">
        <v>28</v>
      </c>
      <c r="V111" s="68">
        <v>-3.7877000000000002E-3</v>
      </c>
      <c r="W111" s="68">
        <v>0.1234</v>
      </c>
      <c r="X111" s="162">
        <f t="shared" ref="X111" si="65">((O111-E111)/E111)</f>
        <v>-1.6407763289483423E-3</v>
      </c>
      <c r="Y111" s="162">
        <f t="shared" ref="Y111" si="66">((T111-J111)/J111)</f>
        <v>-1.947313876909739E-3</v>
      </c>
      <c r="Z111" s="162">
        <f t="shared" ref="Z111" si="67">((U111-K111)/K111)</f>
        <v>0</v>
      </c>
      <c r="AA111" s="160">
        <f t="shared" ref="AA111" si="68">V111-L111</f>
        <v>-6.7904000000000003E-3</v>
      </c>
      <c r="AB111" s="161">
        <f t="shared" ref="AB111" si="69">W111-M111</f>
        <v>-9.6000000000000113E-3</v>
      </c>
    </row>
    <row r="112" spans="1:28" ht="13.8" customHeight="1">
      <c r="A112" s="178">
        <v>101</v>
      </c>
      <c r="B112" s="59" t="s">
        <v>158</v>
      </c>
      <c r="C112" s="60" t="s">
        <v>49</v>
      </c>
      <c r="D112" s="146" t="s">
        <v>329</v>
      </c>
      <c r="E112" s="71">
        <v>77930066254.190002</v>
      </c>
      <c r="F112" s="66">
        <f t="shared" si="64"/>
        <v>0.32998912146447834</v>
      </c>
      <c r="G112" s="146" t="s">
        <v>329</v>
      </c>
      <c r="H112" s="71">
        <v>2.0423900000000001</v>
      </c>
      <c r="I112" s="146" t="s">
        <v>329</v>
      </c>
      <c r="J112" s="71">
        <v>2.0423900000000001</v>
      </c>
      <c r="K112" s="67">
        <v>7087</v>
      </c>
      <c r="L112" s="68">
        <v>1.4E-3</v>
      </c>
      <c r="M112" s="68">
        <v>8.6099999999999996E-2</v>
      </c>
      <c r="N112" s="146" t="s">
        <v>329</v>
      </c>
      <c r="O112" s="71">
        <v>78353442370.839996</v>
      </c>
      <c r="P112" s="66">
        <f t="shared" si="50"/>
        <v>0.33072164126517761</v>
      </c>
      <c r="Q112" s="146" t="s">
        <v>329</v>
      </c>
      <c r="R112" s="71">
        <v>2.05301</v>
      </c>
      <c r="S112" s="146" t="s">
        <v>329</v>
      </c>
      <c r="T112" s="71">
        <v>2.05301</v>
      </c>
      <c r="U112" s="67">
        <v>7121</v>
      </c>
      <c r="V112" s="68">
        <v>1.2999999999999999E-3</v>
      </c>
      <c r="W112" s="68">
        <v>8.77E-2</v>
      </c>
      <c r="X112" s="162">
        <f t="shared" si="51"/>
        <v>5.4327698794588231E-3</v>
      </c>
      <c r="Y112" s="162">
        <f t="shared" si="52"/>
        <v>5.1997904415904163E-3</v>
      </c>
      <c r="Z112" s="162">
        <f t="shared" si="53"/>
        <v>4.7975165796528855E-3</v>
      </c>
      <c r="AA112" s="160">
        <f t="shared" si="54"/>
        <v>-1.0000000000000005E-4</v>
      </c>
      <c r="AB112" s="161">
        <f t="shared" si="55"/>
        <v>1.6000000000000042E-3</v>
      </c>
    </row>
    <row r="113" spans="1:34" ht="12.6" customHeight="1">
      <c r="A113" s="178">
        <v>102</v>
      </c>
      <c r="B113" s="59" t="s">
        <v>159</v>
      </c>
      <c r="C113" s="60" t="s">
        <v>49</v>
      </c>
      <c r="D113" s="146" t="s">
        <v>329</v>
      </c>
      <c r="E113" s="71">
        <v>58019402052.709999</v>
      </c>
      <c r="F113" s="66">
        <f t="shared" si="64"/>
        <v>0.24567888148354716</v>
      </c>
      <c r="G113" s="146" t="s">
        <v>329</v>
      </c>
      <c r="H113" s="71">
        <v>136.34957</v>
      </c>
      <c r="I113" s="146" t="s">
        <v>329</v>
      </c>
      <c r="J113" s="71">
        <v>136.34957</v>
      </c>
      <c r="K113" s="67">
        <v>1630</v>
      </c>
      <c r="L113" s="68">
        <v>2.5999999999999999E-3</v>
      </c>
      <c r="M113" s="68">
        <v>0.1535</v>
      </c>
      <c r="N113" s="146" t="s">
        <v>329</v>
      </c>
      <c r="O113" s="71">
        <v>58492746843.239998</v>
      </c>
      <c r="P113" s="66">
        <f t="shared" si="50"/>
        <v>0.24689173382513993</v>
      </c>
      <c r="Q113" s="146" t="s">
        <v>329</v>
      </c>
      <c r="R113" s="71">
        <v>137.44489999999999</v>
      </c>
      <c r="S113" s="146" t="s">
        <v>329</v>
      </c>
      <c r="T113" s="71">
        <v>137.44489999999999</v>
      </c>
      <c r="U113" s="67">
        <v>1721</v>
      </c>
      <c r="V113" s="68">
        <v>2.3999999999999998E-3</v>
      </c>
      <c r="W113" s="68">
        <v>0.154</v>
      </c>
      <c r="X113" s="162">
        <f t="shared" ref="X113:X115" si="70">((O113-E113)/E113)</f>
        <v>8.1583879492582532E-3</v>
      </c>
      <c r="Y113" s="162">
        <f t="shared" ref="Y113:Y115" si="71">((T113-J113)/J113)</f>
        <v>8.0332486563763263E-3</v>
      </c>
      <c r="Z113" s="162">
        <f t="shared" ref="Z113:Z115" si="72">((U113-K113)/K113)</f>
        <v>5.5828220858895702E-2</v>
      </c>
      <c r="AA113" s="160">
        <f t="shared" ref="AA113:AA115" si="73">V113-L113</f>
        <v>-2.0000000000000009E-4</v>
      </c>
      <c r="AB113" s="161">
        <f t="shared" ref="AB113:AB115" si="74">W113-M113</f>
        <v>5.0000000000000044E-4</v>
      </c>
      <c r="AD113" s="50"/>
    </row>
    <row r="114" spans="1:34" ht="15" customHeight="1">
      <c r="A114" s="178">
        <v>103</v>
      </c>
      <c r="B114" s="59" t="s">
        <v>160</v>
      </c>
      <c r="C114" s="59" t="s">
        <v>161</v>
      </c>
      <c r="D114" s="146" t="s">
        <v>329</v>
      </c>
      <c r="E114" s="71">
        <v>118918891.29000001</v>
      </c>
      <c r="F114" s="66">
        <f t="shared" si="64"/>
        <v>5.0355327986400904E-4</v>
      </c>
      <c r="G114" s="146" t="s">
        <v>329</v>
      </c>
      <c r="H114" s="71">
        <v>119.81</v>
      </c>
      <c r="I114" s="146" t="s">
        <v>329</v>
      </c>
      <c r="J114" s="71">
        <v>119.81</v>
      </c>
      <c r="K114" s="95">
        <v>88</v>
      </c>
      <c r="L114" s="96">
        <v>2.9999999999999997E-4</v>
      </c>
      <c r="M114" s="96">
        <v>2.7E-2</v>
      </c>
      <c r="N114" s="146" t="s">
        <v>329</v>
      </c>
      <c r="O114" s="71">
        <v>119158032.47</v>
      </c>
      <c r="P114" s="66">
        <f t="shared" si="50"/>
        <v>5.0295352540980192E-4</v>
      </c>
      <c r="Q114" s="146" t="s">
        <v>329</v>
      </c>
      <c r="R114" s="71">
        <v>120</v>
      </c>
      <c r="S114" s="146" t="s">
        <v>329</v>
      </c>
      <c r="T114" s="71">
        <v>120</v>
      </c>
      <c r="U114" s="95">
        <v>89</v>
      </c>
      <c r="V114" s="96">
        <v>1.5E-3</v>
      </c>
      <c r="W114" s="96">
        <v>1.9099999999999999E-2</v>
      </c>
      <c r="X114" s="162">
        <f t="shared" si="70"/>
        <v>2.0109603899418614E-3</v>
      </c>
      <c r="Y114" s="162">
        <f t="shared" si="71"/>
        <v>1.5858442534011996E-3</v>
      </c>
      <c r="Z114" s="162">
        <f t="shared" si="72"/>
        <v>1.1363636363636364E-2</v>
      </c>
      <c r="AA114" s="160">
        <f t="shared" si="73"/>
        <v>1.2000000000000001E-3</v>
      </c>
      <c r="AB114" s="161">
        <f t="shared" si="74"/>
        <v>-7.9000000000000008E-3</v>
      </c>
      <c r="AD114" s="41"/>
    </row>
    <row r="115" spans="1:34" ht="15.6" customHeight="1">
      <c r="A115" s="178">
        <v>104</v>
      </c>
      <c r="B115" s="59" t="s">
        <v>162</v>
      </c>
      <c r="C115" s="60" t="s">
        <v>119</v>
      </c>
      <c r="D115" s="146" t="s">
        <v>329</v>
      </c>
      <c r="E115" s="71">
        <v>516092849.45999998</v>
      </c>
      <c r="F115" s="66">
        <f t="shared" si="64"/>
        <v>2.1853571307370472E-3</v>
      </c>
      <c r="G115" s="146" t="s">
        <v>329</v>
      </c>
      <c r="H115" s="71">
        <v>1.46</v>
      </c>
      <c r="I115" s="146" t="s">
        <v>329</v>
      </c>
      <c r="J115" s="71">
        <v>1.46</v>
      </c>
      <c r="K115" s="67">
        <v>931</v>
      </c>
      <c r="L115" s="68">
        <v>2E-3</v>
      </c>
      <c r="M115" s="68">
        <v>6.0199999999999997E-2</v>
      </c>
      <c r="N115" s="146" t="s">
        <v>329</v>
      </c>
      <c r="O115" s="71">
        <v>511984194.80000001</v>
      </c>
      <c r="P115" s="66">
        <f t="shared" si="50"/>
        <v>2.161031450343809E-3</v>
      </c>
      <c r="Q115" s="146" t="s">
        <v>329</v>
      </c>
      <c r="R115" s="71">
        <v>1.44</v>
      </c>
      <c r="S115" s="146" t="s">
        <v>329</v>
      </c>
      <c r="T115" s="71">
        <v>1.44</v>
      </c>
      <c r="U115" s="67">
        <v>933</v>
      </c>
      <c r="V115" s="68">
        <v>-1.26E-2</v>
      </c>
      <c r="W115" s="68">
        <v>4.7600000000000003E-2</v>
      </c>
      <c r="X115" s="162">
        <f t="shared" si="70"/>
        <v>-7.9610765084208168E-3</v>
      </c>
      <c r="Y115" s="162">
        <f t="shared" si="71"/>
        <v>-1.3698630136986314E-2</v>
      </c>
      <c r="Z115" s="162">
        <f t="shared" si="72"/>
        <v>2.1482277121374865E-3</v>
      </c>
      <c r="AA115" s="160">
        <f t="shared" si="73"/>
        <v>-1.46E-2</v>
      </c>
      <c r="AB115" s="161">
        <f t="shared" si="74"/>
        <v>-1.2599999999999993E-2</v>
      </c>
    </row>
    <row r="116" spans="1:34" ht="16.8" customHeight="1">
      <c r="A116" s="178">
        <v>105</v>
      </c>
      <c r="B116" s="59" t="s">
        <v>163</v>
      </c>
      <c r="C116" s="60" t="s">
        <v>121</v>
      </c>
      <c r="D116" s="146" t="s">
        <v>329</v>
      </c>
      <c r="E116" s="71">
        <v>2074818139.23</v>
      </c>
      <c r="F116" s="66">
        <f t="shared" si="64"/>
        <v>8.7856644793531079E-3</v>
      </c>
      <c r="G116" s="146" t="s">
        <v>329</v>
      </c>
      <c r="H116" s="91">
        <v>31.8856</v>
      </c>
      <c r="I116" s="146" t="s">
        <v>329</v>
      </c>
      <c r="J116" s="91">
        <v>31.8856</v>
      </c>
      <c r="K116" s="67">
        <v>1351</v>
      </c>
      <c r="L116" s="68">
        <v>0.14660000000000001</v>
      </c>
      <c r="M116" s="68">
        <v>0.14660000000000001</v>
      </c>
      <c r="N116" s="146" t="s">
        <v>329</v>
      </c>
      <c r="O116" s="71">
        <v>2064114118.1500001</v>
      </c>
      <c r="P116" s="66">
        <f t="shared" si="50"/>
        <v>8.7124086480117012E-3</v>
      </c>
      <c r="Q116" s="146" t="s">
        <v>329</v>
      </c>
      <c r="R116" s="91">
        <v>31.684699999999999</v>
      </c>
      <c r="S116" s="146" t="s">
        <v>329</v>
      </c>
      <c r="T116" s="91">
        <v>31.684699999999999</v>
      </c>
      <c r="U116" s="67">
        <v>1355</v>
      </c>
      <c r="V116" s="68">
        <v>0.14549999999999999</v>
      </c>
      <c r="W116" s="68">
        <v>0.14549999999999999</v>
      </c>
      <c r="X116" s="162">
        <f t="shared" si="51"/>
        <v>-5.1590165314307334E-3</v>
      </c>
      <c r="Y116" s="162">
        <f t="shared" si="52"/>
        <v>-6.3006498231176688E-3</v>
      </c>
      <c r="Z116" s="162">
        <f t="shared" si="53"/>
        <v>2.9607698001480384E-3</v>
      </c>
      <c r="AA116" s="160">
        <f t="shared" si="54"/>
        <v>-1.1000000000000176E-3</v>
      </c>
      <c r="AB116" s="161">
        <f t="shared" si="55"/>
        <v>-1.1000000000000176E-3</v>
      </c>
    </row>
    <row r="117" spans="1:34">
      <c r="B117" s="74"/>
      <c r="C117" s="75" t="s">
        <v>52</v>
      </c>
      <c r="D117" s="120" t="s">
        <v>329</v>
      </c>
      <c r="E117" s="89">
        <f>SUM(E79:E116)</f>
        <v>236159500980.94</v>
      </c>
      <c r="F117" s="77">
        <f>(E117/$E$238)</f>
        <v>2.6049442797910757E-2</v>
      </c>
      <c r="G117" s="146" t="s">
        <v>329</v>
      </c>
      <c r="H117" s="78"/>
      <c r="I117" s="146" t="s">
        <v>329</v>
      </c>
      <c r="J117" s="83"/>
      <c r="K117" s="80">
        <f>SUM(K79:K116)</f>
        <v>68140</v>
      </c>
      <c r="L117" s="86"/>
      <c r="M117" s="86"/>
      <c r="N117" s="146" t="s">
        <v>329</v>
      </c>
      <c r="O117" s="89">
        <f>SUM(O79:O116)</f>
        <v>236916586622.81195</v>
      </c>
      <c r="P117" s="77">
        <f>(O117/$O$238)</f>
        <v>2.6029371917431134E-2</v>
      </c>
      <c r="Q117" s="148"/>
      <c r="R117" s="78"/>
      <c r="S117" s="78"/>
      <c r="T117" s="83"/>
      <c r="U117" s="80">
        <f>SUM(U79:U116)</f>
        <v>68892</v>
      </c>
      <c r="V117" s="86"/>
      <c r="W117" s="86"/>
      <c r="X117" s="162">
        <f t="shared" si="51"/>
        <v>3.2058233470481936E-3</v>
      </c>
      <c r="Y117" s="162" t="e">
        <f t="shared" si="52"/>
        <v>#DIV/0!</v>
      </c>
      <c r="Z117" s="162">
        <f t="shared" si="53"/>
        <v>1.103610214264749E-2</v>
      </c>
      <c r="AA117" s="160">
        <f t="shared" si="54"/>
        <v>0</v>
      </c>
      <c r="AB117" s="161">
        <f t="shared" si="55"/>
        <v>0</v>
      </c>
    </row>
    <row r="118" spans="1:34" ht="3.75" customHeight="1">
      <c r="B118" s="215"/>
      <c r="C118" s="215"/>
      <c r="D118" s="215"/>
      <c r="E118" s="215"/>
      <c r="F118" s="215"/>
      <c r="G118" s="215"/>
      <c r="H118" s="215"/>
      <c r="I118" s="215"/>
      <c r="J118" s="215"/>
      <c r="K118" s="215"/>
      <c r="L118" s="215"/>
      <c r="M118" s="215"/>
      <c r="N118" s="215"/>
      <c r="O118" s="215"/>
      <c r="P118" s="215"/>
      <c r="Q118" s="215"/>
      <c r="R118" s="215"/>
      <c r="S118" s="215"/>
      <c r="T118" s="215"/>
      <c r="U118" s="215"/>
      <c r="V118" s="215"/>
      <c r="W118" s="215"/>
      <c r="X118" s="215"/>
      <c r="Y118" s="215"/>
      <c r="Z118" s="215"/>
      <c r="AA118" s="215"/>
      <c r="AB118" s="215"/>
    </row>
    <row r="119" spans="1:34" ht="15" customHeight="1">
      <c r="A119" s="166"/>
      <c r="B119" s="219" t="s">
        <v>164</v>
      </c>
      <c r="C119" s="219"/>
      <c r="D119" s="219"/>
      <c r="E119" s="219"/>
      <c r="F119" s="219"/>
      <c r="G119" s="219"/>
      <c r="H119" s="219"/>
      <c r="I119" s="219"/>
      <c r="J119" s="219"/>
      <c r="K119" s="219"/>
      <c r="L119" s="219"/>
      <c r="M119" s="219"/>
      <c r="N119" s="219"/>
      <c r="O119" s="219"/>
      <c r="P119" s="219"/>
      <c r="Q119" s="219"/>
      <c r="R119" s="219"/>
      <c r="S119" s="219"/>
      <c r="T119" s="219"/>
      <c r="U119" s="219"/>
      <c r="V119" s="219"/>
      <c r="W119" s="219"/>
      <c r="X119" s="219"/>
      <c r="Y119" s="219"/>
      <c r="Z119" s="219"/>
      <c r="AA119" s="219"/>
      <c r="AB119" s="219"/>
    </row>
    <row r="120" spans="1:34">
      <c r="A120" s="170"/>
      <c r="B120" s="218" t="s">
        <v>337</v>
      </c>
      <c r="C120" s="218"/>
      <c r="D120" s="218"/>
      <c r="E120" s="218"/>
      <c r="F120" s="218"/>
      <c r="G120" s="218"/>
      <c r="H120" s="218"/>
      <c r="I120" s="218"/>
      <c r="J120" s="218"/>
      <c r="K120" s="218"/>
      <c r="L120" s="218"/>
      <c r="M120" s="218"/>
      <c r="N120" s="218"/>
      <c r="O120" s="218"/>
      <c r="P120" s="218"/>
      <c r="Q120" s="218"/>
      <c r="R120" s="218"/>
      <c r="S120" s="218"/>
      <c r="T120" s="218"/>
      <c r="U120" s="218"/>
      <c r="V120" s="218"/>
      <c r="W120" s="218"/>
      <c r="X120" s="218"/>
      <c r="Y120" s="218"/>
      <c r="Z120" s="218"/>
      <c r="AA120" s="218"/>
      <c r="AB120" s="218"/>
      <c r="AF120" s="23"/>
      <c r="AH120" s="25"/>
    </row>
    <row r="121" spans="1:34" ht="16.5" customHeight="1">
      <c r="A121" s="178">
        <v>106</v>
      </c>
      <c r="B121" s="59" t="s">
        <v>165</v>
      </c>
      <c r="C121" s="60" t="s">
        <v>19</v>
      </c>
      <c r="D121" s="164">
        <v>2765146.62</v>
      </c>
      <c r="E121" s="71">
        <v>3766716737.0674257</v>
      </c>
      <c r="F121" s="66">
        <f t="shared" ref="F121:F126" si="75">(E121/$E$161)</f>
        <v>2.0589721471020888E-3</v>
      </c>
      <c r="G121" s="149">
        <v>118.75920000000001</v>
      </c>
      <c r="H121" s="71">
        <v>161775.24297816001</v>
      </c>
      <c r="I121" s="149">
        <v>118.75920000000001</v>
      </c>
      <c r="J121" s="71">
        <v>161775.24297816001</v>
      </c>
      <c r="K121" s="67">
        <v>190</v>
      </c>
      <c r="L121" s="68">
        <v>3.3E-3</v>
      </c>
      <c r="M121" s="68">
        <v>3.6799999999999999E-2</v>
      </c>
      <c r="N121" s="149">
        <v>3280657.52</v>
      </c>
      <c r="O121" s="71">
        <f>N121*C269</f>
        <v>4474242742.2139997</v>
      </c>
      <c r="P121" s="66">
        <f t="shared" ref="P121:P138" si="76">(O121/$O$161)</f>
        <v>2.4440978813153927E-3</v>
      </c>
      <c r="Q121" s="149">
        <v>118.81270000000001</v>
      </c>
      <c r="R121" s="97">
        <f>Q121*C269</f>
        <v>162039.73057750001</v>
      </c>
      <c r="S121" s="149">
        <v>118.81270000000001</v>
      </c>
      <c r="T121" s="71">
        <f>S121*C269</f>
        <v>162039.73057750001</v>
      </c>
      <c r="U121" s="67">
        <v>190</v>
      </c>
      <c r="V121" s="68">
        <v>5.0000000000000001E-4</v>
      </c>
      <c r="W121" s="68">
        <v>3.7199999999999997E-2</v>
      </c>
      <c r="X121" s="162">
        <f>((O121-E121)/E121)</f>
        <v>0.18783626551579183</v>
      </c>
      <c r="Y121" s="162">
        <f>((T121-J121)/J121)</f>
        <v>1.6349077551730947E-3</v>
      </c>
      <c r="Z121" s="162">
        <f>((U121-K121)/K121)</f>
        <v>0</v>
      </c>
      <c r="AA121" s="162">
        <f>V121-L121</f>
        <v>-2.8E-3</v>
      </c>
      <c r="AB121" s="163">
        <f>W121-M121</f>
        <v>3.9999999999999758E-4</v>
      </c>
      <c r="AD121" s="23"/>
      <c r="AE121" s="26"/>
      <c r="AF121" s="23"/>
      <c r="AG121" s="27"/>
    </row>
    <row r="122" spans="1:34" ht="16.5" customHeight="1">
      <c r="A122" s="178">
        <v>107</v>
      </c>
      <c r="B122" s="59" t="s">
        <v>166</v>
      </c>
      <c r="C122" s="60" t="s">
        <v>56</v>
      </c>
      <c r="D122" s="164">
        <v>3975770.16</v>
      </c>
      <c r="E122" s="71">
        <v>5415843013.9249678</v>
      </c>
      <c r="F122" s="66">
        <f t="shared" si="75"/>
        <v>2.9604216874111419E-3</v>
      </c>
      <c r="G122" s="149">
        <v>106.63</v>
      </c>
      <c r="H122" s="71">
        <v>145252.69754899997</v>
      </c>
      <c r="I122" s="149">
        <v>106.63</v>
      </c>
      <c r="J122" s="71">
        <v>145252.69754899997</v>
      </c>
      <c r="K122" s="67">
        <v>113</v>
      </c>
      <c r="L122" s="68">
        <v>3.555E-3</v>
      </c>
      <c r="M122" s="68">
        <v>6.6269999999999996E-2</v>
      </c>
      <c r="N122" s="149">
        <v>3981411.25</v>
      </c>
      <c r="O122" s="71">
        <f>3981411.25*C269</f>
        <v>5429948198.03125</v>
      </c>
      <c r="P122" s="66">
        <f t="shared" si="76"/>
        <v>2.966161125154652E-3</v>
      </c>
      <c r="Q122" s="149">
        <v>106.55</v>
      </c>
      <c r="R122" s="71">
        <f>106.55*C269</f>
        <v>145315.55374999999</v>
      </c>
      <c r="S122" s="149">
        <v>106.55</v>
      </c>
      <c r="T122" s="71">
        <f>106.55*C269</f>
        <v>145315.55374999999</v>
      </c>
      <c r="U122" s="67">
        <v>114</v>
      </c>
      <c r="V122" s="68">
        <v>-7.6300000000000001E-4</v>
      </c>
      <c r="W122" s="68">
        <v>6.5506999999999996E-2</v>
      </c>
      <c r="X122" s="162">
        <f>((O122-E122)/E122)</f>
        <v>2.6044300157917486E-3</v>
      </c>
      <c r="Y122" s="160">
        <f>((T122-J122)/J122)</f>
        <v>4.3273689274385272E-4</v>
      </c>
      <c r="Z122" s="160">
        <f>((U122-K122)/K122)</f>
        <v>8.8495575221238937E-3</v>
      </c>
      <c r="AA122" s="160">
        <f>V122-L122</f>
        <v>-4.3179999999999998E-3</v>
      </c>
      <c r="AB122" s="161">
        <f>W122-M122</f>
        <v>-7.6299999999999979E-4</v>
      </c>
      <c r="AD122" s="23"/>
      <c r="AE122" s="26"/>
      <c r="AF122" s="23"/>
      <c r="AG122" s="27"/>
    </row>
    <row r="123" spans="1:34">
      <c r="A123" s="178">
        <v>108</v>
      </c>
      <c r="B123" s="59" t="s">
        <v>167</v>
      </c>
      <c r="C123" s="60" t="s">
        <v>23</v>
      </c>
      <c r="D123" s="164">
        <v>12670467.85</v>
      </c>
      <c r="E123" s="71">
        <v>17248017730.491234</v>
      </c>
      <c r="F123" s="66">
        <f t="shared" si="75"/>
        <v>9.4281546977841493E-3</v>
      </c>
      <c r="G123" s="149">
        <v>1.2352000000000001</v>
      </c>
      <c r="H123" s="71">
        <v>1681.4494739200002</v>
      </c>
      <c r="I123" s="149">
        <v>1.2352000000000001</v>
      </c>
      <c r="J123" s="71">
        <v>1681.4494739200002</v>
      </c>
      <c r="K123" s="67">
        <v>346</v>
      </c>
      <c r="L123" s="68">
        <v>2.53E-2</v>
      </c>
      <c r="M123" s="68">
        <v>5.4100000000000002E-2</v>
      </c>
      <c r="N123" s="149">
        <v>12668884.039999999</v>
      </c>
      <c r="O123" s="71">
        <f>12668884.04*1360.8346</f>
        <v>17240255745.019783</v>
      </c>
      <c r="P123" s="66">
        <f t="shared" si="76"/>
        <v>9.4176545546314494E-3</v>
      </c>
      <c r="Q123" s="149">
        <v>1.236</v>
      </c>
      <c r="R123" s="71">
        <f>1.236*1360.8346</f>
        <v>1681.9915655999998</v>
      </c>
      <c r="S123" s="149">
        <v>1.236</v>
      </c>
      <c r="T123" s="71">
        <f>1.236*1360.8346</f>
        <v>1681.9915655999998</v>
      </c>
      <c r="U123" s="67">
        <v>345</v>
      </c>
      <c r="V123" s="68">
        <v>3.3799999999999997E-2</v>
      </c>
      <c r="W123" s="68">
        <v>5.3199999999999997E-2</v>
      </c>
      <c r="X123" s="160">
        <f t="shared" ref="X123:X136" si="77">((O123-E123)/E123)</f>
        <v>-4.5002188615153631E-4</v>
      </c>
      <c r="Y123" s="160">
        <f t="shared" ref="Y123:Y136" si="78">((T123-J123)/J123)</f>
        <v>3.2239546201520247E-4</v>
      </c>
      <c r="Z123" s="160">
        <f t="shared" ref="Z123:Z136" si="79">((U123-K123)/K123)</f>
        <v>-2.8901734104046241E-3</v>
      </c>
      <c r="AA123" s="160">
        <f t="shared" ref="AA123:AA136" si="80">V123-L123</f>
        <v>8.4999999999999971E-3</v>
      </c>
      <c r="AB123" s="161">
        <f t="shared" ref="AB123:AB136" si="81">W123-M123</f>
        <v>-9.0000000000000496E-4</v>
      </c>
    </row>
    <row r="124" spans="1:34">
      <c r="A124" s="178">
        <v>109</v>
      </c>
      <c r="B124" s="59" t="s">
        <v>168</v>
      </c>
      <c r="C124" s="60" t="s">
        <v>23</v>
      </c>
      <c r="D124" s="164">
        <v>3131621.29</v>
      </c>
      <c r="E124" s="71">
        <v>4263004347.9494591</v>
      </c>
      <c r="F124" s="66">
        <f t="shared" si="75"/>
        <v>2.3302541253040123E-3</v>
      </c>
      <c r="G124" s="149">
        <v>1.0662</v>
      </c>
      <c r="H124" s="71">
        <v>1451.39364402</v>
      </c>
      <c r="I124" s="149">
        <v>1.0662</v>
      </c>
      <c r="J124" s="71">
        <v>1451.39364402</v>
      </c>
      <c r="K124" s="67">
        <v>127</v>
      </c>
      <c r="L124" s="68">
        <v>5.3900000000000003E-2</v>
      </c>
      <c r="M124" s="68">
        <v>4.8800000000000003E-2</v>
      </c>
      <c r="N124" s="149">
        <v>3135295.98</v>
      </c>
      <c r="O124" s="71">
        <f>3135295.98*1360.8346</f>
        <v>4266619250.8249078</v>
      </c>
      <c r="P124" s="66">
        <f t="shared" si="76"/>
        <v>2.3306815638170979E-3</v>
      </c>
      <c r="Q124" s="149">
        <v>1.0671999999999999</v>
      </c>
      <c r="R124" s="71">
        <f>1.0672*1360.8346</f>
        <v>1452.2826851199998</v>
      </c>
      <c r="S124" s="149">
        <v>1.0671999999999999</v>
      </c>
      <c r="T124" s="71">
        <f>1.0672*1360.8346</f>
        <v>1452.2826851199998</v>
      </c>
      <c r="U124" s="67">
        <v>127</v>
      </c>
      <c r="V124" s="68">
        <v>4.8899999999999999E-2</v>
      </c>
      <c r="W124" s="68">
        <v>4.8899999999999999E-2</v>
      </c>
      <c r="X124" s="160">
        <f t="shared" si="77"/>
        <v>8.4797072214751613E-4</v>
      </c>
      <c r="Y124" s="160">
        <f t="shared" ref="Y124" si="82">((T124-J124)/J124)</f>
        <v>6.1254305726276669E-4</v>
      </c>
      <c r="Z124" s="160">
        <f t="shared" ref="Z124" si="83">((U124-K124)/K124)</f>
        <v>0</v>
      </c>
      <c r="AA124" s="160">
        <f t="shared" ref="AA124" si="84">V124-L124</f>
        <v>-5.0000000000000044E-3</v>
      </c>
      <c r="AB124" s="161">
        <f t="shared" ref="AB124" si="85">W124-M124</f>
        <v>9.9999999999995925E-5</v>
      </c>
    </row>
    <row r="125" spans="1:34">
      <c r="A125" s="178">
        <v>110</v>
      </c>
      <c r="B125" s="59" t="s">
        <v>169</v>
      </c>
      <c r="C125" s="60" t="s">
        <v>27</v>
      </c>
      <c r="D125" s="164">
        <v>36105084.770000003</v>
      </c>
      <c r="E125" s="71">
        <v>49182790566.236671</v>
      </c>
      <c r="F125" s="66">
        <f t="shared" si="75"/>
        <v>2.6884420295293358E-2</v>
      </c>
      <c r="G125" s="149">
        <v>1.3005</v>
      </c>
      <c r="H125" s="71">
        <v>1771.5570961499998</v>
      </c>
      <c r="I125" s="149">
        <v>1.3005</v>
      </c>
      <c r="J125" s="71">
        <v>1771.5570961499998</v>
      </c>
      <c r="K125" s="67">
        <v>651</v>
      </c>
      <c r="L125" s="68">
        <v>3.0000000000000001E-3</v>
      </c>
      <c r="M125" s="68">
        <v>7.17E-2</v>
      </c>
      <c r="N125" s="149">
        <v>36055792.399999999</v>
      </c>
      <c r="O125" s="71">
        <f>36055792.4*C269</f>
        <v>49173791069.93</v>
      </c>
      <c r="P125" s="66">
        <f t="shared" si="76"/>
        <v>2.6861653579123873E-2</v>
      </c>
      <c r="Q125" s="149">
        <v>1.2952999999999999</v>
      </c>
      <c r="R125" s="71">
        <f>1.2953*C269</f>
        <v>1766.5625224999999</v>
      </c>
      <c r="S125" s="149">
        <v>1.2952999999999999</v>
      </c>
      <c r="T125" s="71">
        <f>1.2953*C269</f>
        <v>1766.5625224999999</v>
      </c>
      <c r="U125" s="67">
        <v>651</v>
      </c>
      <c r="V125" s="68">
        <v>-4.0000000000000001E-3</v>
      </c>
      <c r="W125" s="68">
        <v>6.7500000000000004E-2</v>
      </c>
      <c r="X125" s="160">
        <f t="shared" si="77"/>
        <v>-1.8298059551035675E-4</v>
      </c>
      <c r="Y125" s="160">
        <f t="shared" ref="Y125:Z128" si="86">((T125-J125)/J125)</f>
        <v>-2.8193128298569931E-3</v>
      </c>
      <c r="Z125" s="160">
        <f t="shared" si="86"/>
        <v>0</v>
      </c>
      <c r="AA125" s="160">
        <f t="shared" si="80"/>
        <v>-7.0000000000000001E-3</v>
      </c>
      <c r="AB125" s="161">
        <f t="shared" si="81"/>
        <v>-4.1999999999999954E-3</v>
      </c>
    </row>
    <row r="126" spans="1:34">
      <c r="A126" s="181">
        <v>111</v>
      </c>
      <c r="B126" s="59" t="s">
        <v>170</v>
      </c>
      <c r="C126" s="60" t="s">
        <v>65</v>
      </c>
      <c r="D126" s="164">
        <v>989392.53</v>
      </c>
      <c r="E126" s="71">
        <v>1347762673.894119</v>
      </c>
      <c r="F126" s="66">
        <f t="shared" si="75"/>
        <v>7.3671741204843163E-4</v>
      </c>
      <c r="G126" s="149">
        <v>1.1056999999999999</v>
      </c>
      <c r="H126" s="71">
        <v>1506.1981401099997</v>
      </c>
      <c r="I126" s="149">
        <v>1.111</v>
      </c>
      <c r="J126" s="71">
        <v>1513.4178652999999</v>
      </c>
      <c r="K126" s="67">
        <v>78</v>
      </c>
      <c r="L126" s="68">
        <v>5.0000000000000001E-4</v>
      </c>
      <c r="M126" s="68">
        <v>6.4199999999999993E-2</v>
      </c>
      <c r="N126" s="149">
        <v>1193390.25</v>
      </c>
      <c r="O126" s="71">
        <f>N126*C269</f>
        <v>1627575457.70625</v>
      </c>
      <c r="P126" s="66">
        <f t="shared" si="76"/>
        <v>8.8907865689297769E-4</v>
      </c>
      <c r="Q126" s="149">
        <v>1.077</v>
      </c>
      <c r="R126" s="71">
        <f>Q126*C269</f>
        <v>1468.8395250000001</v>
      </c>
      <c r="S126" s="71">
        <v>1.111</v>
      </c>
      <c r="T126" s="71">
        <f>S126*C269</f>
        <v>1515.2095750000001</v>
      </c>
      <c r="U126" s="67">
        <v>79</v>
      </c>
      <c r="V126" s="68">
        <v>1.47E-3</v>
      </c>
      <c r="W126" s="68">
        <v>6.5299999999999997E-2</v>
      </c>
      <c r="X126" s="160">
        <f t="shared" si="77"/>
        <v>0.20761280100127863</v>
      </c>
      <c r="Y126" s="160">
        <f t="shared" si="86"/>
        <v>1.1838830114807839E-3</v>
      </c>
      <c r="Z126" s="160">
        <f t="shared" si="86"/>
        <v>1.282051282051282E-2</v>
      </c>
      <c r="AA126" s="160">
        <f t="shared" si="80"/>
        <v>9.6999999999999994E-4</v>
      </c>
      <c r="AB126" s="161">
        <f t="shared" si="81"/>
        <v>1.1000000000000038E-3</v>
      </c>
    </row>
    <row r="127" spans="1:34">
      <c r="A127" s="178">
        <v>112</v>
      </c>
      <c r="B127" s="59" t="s">
        <v>171</v>
      </c>
      <c r="C127" s="60" t="s">
        <v>29</v>
      </c>
      <c r="D127" s="164">
        <v>704999.16</v>
      </c>
      <c r="E127" s="71">
        <v>960358527.24166799</v>
      </c>
      <c r="F127" s="66">
        <v>0</v>
      </c>
      <c r="G127" s="149">
        <v>1.5246</v>
      </c>
      <c r="H127" s="71">
        <v>2076.8288725799998</v>
      </c>
      <c r="I127" s="149">
        <v>1.5246</v>
      </c>
      <c r="J127" s="71">
        <v>2076.8288725799998</v>
      </c>
      <c r="K127" s="67">
        <v>81</v>
      </c>
      <c r="L127" s="68">
        <v>6.6000000000000005E-5</v>
      </c>
      <c r="M127" s="68">
        <v>7.9799999999999996E-2</v>
      </c>
      <c r="N127" s="149">
        <v>699737.11</v>
      </c>
      <c r="O127" s="71">
        <f>699737.11*C269</f>
        <v>954318964.04575002</v>
      </c>
      <c r="P127" s="66">
        <f t="shared" si="76"/>
        <v>5.2130585945123469E-4</v>
      </c>
      <c r="Q127" s="149">
        <v>1.5132000000000001</v>
      </c>
      <c r="R127" s="71">
        <f>1.5132*C269</f>
        <v>2063.73999</v>
      </c>
      <c r="S127" s="149">
        <v>1.5132000000000001</v>
      </c>
      <c r="T127" s="71">
        <f>1.5132*C269</f>
        <v>2063.73999</v>
      </c>
      <c r="U127" s="67">
        <v>81</v>
      </c>
      <c r="V127" s="68">
        <v>2.6800000000000001E-4</v>
      </c>
      <c r="W127" s="68">
        <v>7.1999999999999995E-2</v>
      </c>
      <c r="X127" s="160">
        <f t="shared" si="77"/>
        <v>-6.2888629866855415E-3</v>
      </c>
      <c r="Y127" s="160">
        <f t="shared" si="86"/>
        <v>-6.3023404348860734E-3</v>
      </c>
      <c r="Z127" s="160">
        <f t="shared" si="86"/>
        <v>0</v>
      </c>
      <c r="AA127" s="160">
        <f t="shared" si="80"/>
        <v>2.02E-4</v>
      </c>
      <c r="AB127" s="161">
        <f t="shared" si="81"/>
        <v>-7.8000000000000014E-3</v>
      </c>
    </row>
    <row r="128" spans="1:34">
      <c r="A128" s="178">
        <v>113</v>
      </c>
      <c r="B128" s="59" t="s">
        <v>172</v>
      </c>
      <c r="C128" s="60" t="s">
        <v>75</v>
      </c>
      <c r="D128" s="164">
        <v>2960279.05</v>
      </c>
      <c r="E128" s="71">
        <v>4032528533.3423147</v>
      </c>
      <c r="F128" s="66">
        <f t="shared" ref="F128:F138" si="87">(E128/$E$161)</f>
        <v>2.2042708576516033E-3</v>
      </c>
      <c r="G128" s="149">
        <v>111.24</v>
      </c>
      <c r="H128" s="71">
        <v>151532.49625199998</v>
      </c>
      <c r="I128" s="149">
        <v>111.66</v>
      </c>
      <c r="J128" s="71">
        <v>152104.62541799998</v>
      </c>
      <c r="K128" s="67">
        <v>84</v>
      </c>
      <c r="L128" s="68">
        <v>3.0999999999999999E-3</v>
      </c>
      <c r="M128" s="68">
        <v>3.7999999999999999E-2</v>
      </c>
      <c r="N128" s="149">
        <v>2955723.27</v>
      </c>
      <c r="O128" s="71">
        <f>2955723.27*C269</f>
        <v>4031089288.7077503</v>
      </c>
      <c r="P128" s="66">
        <f t="shared" si="76"/>
        <v>2.2020210698377334E-3</v>
      </c>
      <c r="Q128" s="149">
        <v>111.06</v>
      </c>
      <c r="R128" s="71">
        <f>111.06*C269</f>
        <v>151466.4045</v>
      </c>
      <c r="S128" s="71">
        <v>111.52</v>
      </c>
      <c r="T128" s="71">
        <f>111.52*C269</f>
        <v>152093.764</v>
      </c>
      <c r="U128" s="67">
        <v>84</v>
      </c>
      <c r="V128" s="68">
        <v>-1.5E-3</v>
      </c>
      <c r="W128" s="68">
        <v>3.6499999999999998E-2</v>
      </c>
      <c r="X128" s="160">
        <f t="shared" si="77"/>
        <v>-3.5690872926607626E-4</v>
      </c>
      <c r="Y128" s="160">
        <f t="shared" si="86"/>
        <v>-7.1407545760935985E-5</v>
      </c>
      <c r="Z128" s="160">
        <f t="shared" si="86"/>
        <v>0</v>
      </c>
      <c r="AA128" s="160">
        <f t="shared" si="80"/>
        <v>-4.5999999999999999E-3</v>
      </c>
      <c r="AB128" s="161">
        <f t="shared" si="81"/>
        <v>-1.5000000000000013E-3</v>
      </c>
    </row>
    <row r="129" spans="1:111">
      <c r="A129" s="181">
        <v>114</v>
      </c>
      <c r="B129" s="59" t="s">
        <v>173</v>
      </c>
      <c r="C129" s="60" t="s">
        <v>78</v>
      </c>
      <c r="D129" s="164">
        <v>3234817.71</v>
      </c>
      <c r="E129" s="71">
        <v>4415526174.1499996</v>
      </c>
      <c r="F129" s="66">
        <f t="shared" si="87"/>
        <v>2.4136259883596224E-3</v>
      </c>
      <c r="G129" s="149">
        <v>114.39091000000001</v>
      </c>
      <c r="H129" s="71">
        <v>156143.59215000001</v>
      </c>
      <c r="I129" s="149">
        <v>114.39091000000001</v>
      </c>
      <c r="J129" s="71">
        <v>156143.59215000001</v>
      </c>
      <c r="K129" s="67">
        <v>66</v>
      </c>
      <c r="L129" s="68">
        <v>8.8900000000000006E-5</v>
      </c>
      <c r="M129" s="68">
        <v>5.6099999999999997E-2</v>
      </c>
      <c r="N129" s="149">
        <v>3234046.7</v>
      </c>
      <c r="O129" s="71">
        <f>N129*1365.4</f>
        <v>4415767364.1800003</v>
      </c>
      <c r="P129" s="66">
        <f t="shared" si="76"/>
        <v>2.4121551469139745E-3</v>
      </c>
      <c r="Q129" s="149">
        <v>114.49</v>
      </c>
      <c r="R129" s="71">
        <f>Q129*1365</f>
        <v>156278.85</v>
      </c>
      <c r="S129" s="149">
        <v>114.49</v>
      </c>
      <c r="T129" s="71">
        <f>S129*1365</f>
        <v>156278.85</v>
      </c>
      <c r="U129" s="67">
        <v>66</v>
      </c>
      <c r="V129" s="68">
        <v>4.0000000000000002E-4</v>
      </c>
      <c r="W129" s="68">
        <v>5.5899999999999998E-2</v>
      </c>
      <c r="X129" s="160">
        <f t="shared" si="77"/>
        <v>5.4623168448801317E-5</v>
      </c>
      <c r="Y129" s="160">
        <f t="shared" si="78"/>
        <v>8.6624015841814677E-4</v>
      </c>
      <c r="Z129" s="160">
        <f t="shared" si="79"/>
        <v>0</v>
      </c>
      <c r="AA129" s="160">
        <f t="shared" si="80"/>
        <v>3.1110000000000003E-4</v>
      </c>
      <c r="AB129" s="161">
        <f t="shared" si="81"/>
        <v>-1.9999999999999879E-4</v>
      </c>
      <c r="AD129" s="24"/>
    </row>
    <row r="130" spans="1:111">
      <c r="A130" s="178">
        <v>115</v>
      </c>
      <c r="B130" s="59" t="s">
        <v>319</v>
      </c>
      <c r="C130" s="60" t="s">
        <v>38</v>
      </c>
      <c r="D130" s="164">
        <v>8497475.4299999997</v>
      </c>
      <c r="E130" s="71">
        <v>11575365549.693789</v>
      </c>
      <c r="F130" s="66">
        <f t="shared" si="87"/>
        <v>6.327355339679726E-3</v>
      </c>
      <c r="G130" s="149">
        <v>1.53</v>
      </c>
      <c r="H130" s="71">
        <v>2070.562696</v>
      </c>
      <c r="I130" s="149">
        <v>1.53</v>
      </c>
      <c r="J130" s="71">
        <v>2084.1848190000001</v>
      </c>
      <c r="K130" s="85">
        <v>119</v>
      </c>
      <c r="L130" s="86">
        <v>6.4999999999999997E-3</v>
      </c>
      <c r="M130" s="86">
        <v>7.6499999999999999E-2</v>
      </c>
      <c r="N130" s="150">
        <v>8506030.1999999993</v>
      </c>
      <c r="O130" s="71">
        <f>8506030.2*C269</f>
        <v>11600736637.514999</v>
      </c>
      <c r="P130" s="66">
        <f t="shared" si="76"/>
        <v>6.3370133162283723E-3</v>
      </c>
      <c r="Q130" s="149">
        <v>1.53</v>
      </c>
      <c r="R130" s="71">
        <f>1.53*C269</f>
        <v>2086.6522500000001</v>
      </c>
      <c r="S130" s="71">
        <v>1.53</v>
      </c>
      <c r="T130" s="71">
        <f>1.53*C269</f>
        <v>2086.6522500000001</v>
      </c>
      <c r="U130" s="85">
        <v>120</v>
      </c>
      <c r="V130" s="86">
        <v>8.0999999999999996E-3</v>
      </c>
      <c r="W130" s="86">
        <v>7.6799999999999993E-2</v>
      </c>
      <c r="X130" s="160">
        <f>((O130-E130)/E130)</f>
        <v>2.1918174171080083E-3</v>
      </c>
      <c r="Y130" s="160">
        <f>((T130-J130)/J130)</f>
        <v>1.1838830114806788E-3</v>
      </c>
      <c r="Z130" s="160">
        <f>((U130-K130)/K130)</f>
        <v>8.4033613445378148E-3</v>
      </c>
      <c r="AA130" s="160">
        <f>V130-L130</f>
        <v>1.5999999999999999E-3</v>
      </c>
      <c r="AB130" s="161">
        <f>W130-M130</f>
        <v>2.9999999999999472E-4</v>
      </c>
      <c r="AD130" s="24"/>
    </row>
    <row r="131" spans="1:111">
      <c r="A131" s="178">
        <v>116</v>
      </c>
      <c r="B131" s="59" t="s">
        <v>323</v>
      </c>
      <c r="C131" s="60" t="s">
        <v>79</v>
      </c>
      <c r="D131" s="164">
        <v>38731038.490000002</v>
      </c>
      <c r="E131" s="71">
        <v>53269895718.376205</v>
      </c>
      <c r="F131" s="66">
        <f t="shared" si="87"/>
        <v>2.9118523961151818E-2</v>
      </c>
      <c r="G131" s="149">
        <v>131.93</v>
      </c>
      <c r="H131" s="71">
        <v>181453.88340000002</v>
      </c>
      <c r="I131" s="149">
        <v>131.96</v>
      </c>
      <c r="J131" s="71">
        <v>181495.14480000004</v>
      </c>
      <c r="K131" s="67">
        <v>2694</v>
      </c>
      <c r="L131" s="68">
        <v>1.1000000000000001E-3</v>
      </c>
      <c r="M131" s="68">
        <v>3.1600000000000003E-2</v>
      </c>
      <c r="N131" s="149">
        <v>39383515.479999997</v>
      </c>
      <c r="O131" s="70">
        <f>N131*1362.44</f>
        <v>53657676830.571198</v>
      </c>
      <c r="P131" s="66">
        <f t="shared" si="76"/>
        <v>2.9311019051463112E-2</v>
      </c>
      <c r="Q131" s="149">
        <v>132.07</v>
      </c>
      <c r="R131" s="71">
        <f>Q131*1362.44</f>
        <v>179937.45079999999</v>
      </c>
      <c r="S131" s="71">
        <v>132.11000000000001</v>
      </c>
      <c r="T131" s="71">
        <f>S131*1362.44</f>
        <v>179991.94840000002</v>
      </c>
      <c r="U131" s="67">
        <v>2698</v>
      </c>
      <c r="V131" s="68">
        <v>1.1000000000000001E-3</v>
      </c>
      <c r="W131" s="68">
        <v>3.27E-2</v>
      </c>
      <c r="X131" s="160">
        <f t="shared" si="77"/>
        <v>7.279554558264725E-3</v>
      </c>
      <c r="Y131" s="160">
        <f t="shared" si="78"/>
        <v>-8.2822953840251436E-3</v>
      </c>
      <c r="Z131" s="160">
        <f t="shared" si="79"/>
        <v>1.4847809948032665E-3</v>
      </c>
      <c r="AA131" s="160">
        <f t="shared" si="80"/>
        <v>0</v>
      </c>
      <c r="AB131" s="161">
        <f t="shared" si="81"/>
        <v>1.0999999999999968E-3</v>
      </c>
      <c r="DG131" s="172" t="s">
        <v>339</v>
      </c>
    </row>
    <row r="132" spans="1:111">
      <c r="A132" s="178">
        <v>117</v>
      </c>
      <c r="B132" s="183" t="s">
        <v>324</v>
      </c>
      <c r="C132" s="60" t="s">
        <v>79</v>
      </c>
      <c r="D132" s="164">
        <v>118091484.89</v>
      </c>
      <c r="E132" s="71">
        <v>162420666488.00821</v>
      </c>
      <c r="F132" s="66">
        <f t="shared" si="87"/>
        <v>8.8782791952900786E-2</v>
      </c>
      <c r="G132" s="149">
        <v>128.80000000000001</v>
      </c>
      <c r="H132" s="71">
        <v>177148.94400000002</v>
      </c>
      <c r="I132" s="149">
        <v>128.84</v>
      </c>
      <c r="J132" s="71">
        <v>177203.95920000001</v>
      </c>
      <c r="K132" s="67">
        <v>1088</v>
      </c>
      <c r="L132" s="68">
        <v>1.2999999999999999E-3</v>
      </c>
      <c r="M132" s="68">
        <v>3.3000000000000002E-2</v>
      </c>
      <c r="N132" s="149">
        <v>119080323.22</v>
      </c>
      <c r="O132" s="70">
        <f>N132*1362.44</f>
        <v>162239795567.85681</v>
      </c>
      <c r="P132" s="66">
        <f t="shared" si="76"/>
        <v>8.8625039690230459E-2</v>
      </c>
      <c r="Q132" s="149">
        <v>128.94</v>
      </c>
      <c r="R132" s="71">
        <f>Q132*1362.44</f>
        <v>175673.01360000001</v>
      </c>
      <c r="S132" s="71">
        <v>128.99</v>
      </c>
      <c r="T132" s="71">
        <f>S132*1362.44</f>
        <v>175741.13560000001</v>
      </c>
      <c r="U132" s="67">
        <v>1090</v>
      </c>
      <c r="V132" s="68">
        <v>1.1000000000000001E-3</v>
      </c>
      <c r="W132" s="68">
        <v>3.4200000000000001E-2</v>
      </c>
      <c r="X132" s="160">
        <f t="shared" si="77"/>
        <v>-1.1135954805649791E-3</v>
      </c>
      <c r="Y132" s="160">
        <f t="shared" si="78"/>
        <v>-8.2550277465809757E-3</v>
      </c>
      <c r="Z132" s="160">
        <f t="shared" si="79"/>
        <v>1.838235294117647E-3</v>
      </c>
      <c r="AA132" s="160">
        <f t="shared" si="80"/>
        <v>-1.9999999999999987E-4</v>
      </c>
      <c r="AB132" s="161">
        <f t="shared" si="81"/>
        <v>1.1999999999999997E-3</v>
      </c>
      <c r="AD132" s="23"/>
    </row>
    <row r="133" spans="1:111">
      <c r="A133" s="178">
        <v>118</v>
      </c>
      <c r="B133" s="59" t="s">
        <v>174</v>
      </c>
      <c r="C133" s="60" t="s">
        <v>83</v>
      </c>
      <c r="D133" s="164">
        <v>1527863.53</v>
      </c>
      <c r="E133" s="71">
        <v>2081274493.2874188</v>
      </c>
      <c r="F133" s="66">
        <f t="shared" si="87"/>
        <v>1.1376714818988791E-3</v>
      </c>
      <c r="G133" s="149">
        <v>1</v>
      </c>
      <c r="H133" s="71">
        <v>1362.2122999999999</v>
      </c>
      <c r="I133" s="149">
        <v>1</v>
      </c>
      <c r="J133" s="71">
        <v>1362.2122999999999</v>
      </c>
      <c r="K133" s="67">
        <v>16</v>
      </c>
      <c r="L133" s="68">
        <v>8.5400000000000004E-2</v>
      </c>
      <c r="M133" s="68">
        <v>8.5000000000000006E-2</v>
      </c>
      <c r="N133" s="149">
        <v>1553282.55</v>
      </c>
      <c r="O133" s="71">
        <f>N133*C269</f>
        <v>2118405573.7537501</v>
      </c>
      <c r="P133" s="66">
        <f t="shared" si="76"/>
        <v>1.157199301175202E-3</v>
      </c>
      <c r="Q133" s="149">
        <v>1</v>
      </c>
      <c r="R133" s="71">
        <f>1*C269</f>
        <v>1363.825</v>
      </c>
      <c r="S133" s="71">
        <v>1</v>
      </c>
      <c r="T133" s="71">
        <f>1*C269</f>
        <v>1363.825</v>
      </c>
      <c r="U133" s="67">
        <v>16</v>
      </c>
      <c r="V133" s="68">
        <v>7.9600000000000004E-2</v>
      </c>
      <c r="W133" s="68">
        <v>8.4699999999999998E-2</v>
      </c>
      <c r="X133" s="160">
        <f t="shared" ref="X133" si="88">((O133-E133)/E133)</f>
        <v>1.784054942588658E-2</v>
      </c>
      <c r="Y133" s="160">
        <f t="shared" ref="Y133" si="89">((T133-J133)/J133)</f>
        <v>1.1838830114807594E-3</v>
      </c>
      <c r="Z133" s="160">
        <f t="shared" si="79"/>
        <v>0</v>
      </c>
      <c r="AA133" s="160">
        <f t="shared" si="80"/>
        <v>-5.7999999999999996E-3</v>
      </c>
      <c r="AB133" s="161">
        <f t="shared" si="81"/>
        <v>-3.0000000000000859E-4</v>
      </c>
    </row>
    <row r="134" spans="1:111">
      <c r="A134" s="178">
        <v>119</v>
      </c>
      <c r="B134" s="59" t="s">
        <v>175</v>
      </c>
      <c r="C134" s="60" t="s">
        <v>33</v>
      </c>
      <c r="D134" s="164">
        <v>213553.41329999999</v>
      </c>
      <c r="E134" s="71">
        <v>290905086.30424356</v>
      </c>
      <c r="F134" s="66">
        <f t="shared" si="87"/>
        <v>1.5901526766174908E-4</v>
      </c>
      <c r="G134" s="149">
        <v>146.30420000000001</v>
      </c>
      <c r="H134" s="71">
        <v>199297.38078166</v>
      </c>
      <c r="I134" s="149">
        <v>146.30420000000001</v>
      </c>
      <c r="J134" s="71">
        <v>199297.38078166</v>
      </c>
      <c r="K134" s="67">
        <v>11</v>
      </c>
      <c r="L134" s="68">
        <v>1.6000000000000001E-3</v>
      </c>
      <c r="M134" s="68">
        <v>8.1500000000000003E-2</v>
      </c>
      <c r="N134" s="149">
        <v>213919.93719999999</v>
      </c>
      <c r="O134" s="71">
        <f>N134*C269</f>
        <v>291749358.35179001</v>
      </c>
      <c r="P134" s="66">
        <f t="shared" si="76"/>
        <v>1.593708767508417E-4</v>
      </c>
      <c r="Q134" s="149">
        <v>146.55529999999999</v>
      </c>
      <c r="R134" s="71">
        <f>Q134*C269</f>
        <v>199875.7820225</v>
      </c>
      <c r="S134" s="149">
        <v>146.55529999999999</v>
      </c>
      <c r="T134" s="71">
        <f>S134*C269</f>
        <v>199875.7820225</v>
      </c>
      <c r="U134" s="67">
        <v>11</v>
      </c>
      <c r="V134" s="68">
        <v>1.6999999999999999E-3</v>
      </c>
      <c r="W134" s="68">
        <v>8.3400000000000002E-2</v>
      </c>
      <c r="X134" s="160">
        <f t="shared" si="77"/>
        <v>2.9022251149760339E-3</v>
      </c>
      <c r="Y134" s="160">
        <f t="shared" si="78"/>
        <v>2.9022019184169212E-3</v>
      </c>
      <c r="Z134" s="160">
        <f t="shared" si="79"/>
        <v>0</v>
      </c>
      <c r="AA134" s="160">
        <f t="shared" si="80"/>
        <v>9.9999999999999829E-5</v>
      </c>
      <c r="AB134" s="161">
        <f t="shared" si="81"/>
        <v>1.8999999999999989E-3</v>
      </c>
    </row>
    <row r="135" spans="1:111">
      <c r="A135" s="178">
        <v>120</v>
      </c>
      <c r="B135" s="59" t="s">
        <v>314</v>
      </c>
      <c r="C135" s="60" t="s">
        <v>312</v>
      </c>
      <c r="D135" s="164">
        <v>47217.27</v>
      </c>
      <c r="E135" s="71">
        <v>64319945.966420993</v>
      </c>
      <c r="F135" s="66">
        <f t="shared" si="87"/>
        <v>3.5158730133521471E-5</v>
      </c>
      <c r="G135" s="149">
        <v>1.0049999999999999</v>
      </c>
      <c r="H135" s="65">
        <v>1369.0233614999997</v>
      </c>
      <c r="I135" s="149">
        <v>1.006</v>
      </c>
      <c r="J135" s="65">
        <v>1370.3855738</v>
      </c>
      <c r="K135" s="67">
        <v>3</v>
      </c>
      <c r="L135" s="68">
        <v>0.26980500000000002</v>
      </c>
      <c r="M135" s="68">
        <v>0</v>
      </c>
      <c r="N135" s="149">
        <v>52853.31</v>
      </c>
      <c r="O135" s="71">
        <f>52853.31*C269</f>
        <v>72082665.510749996</v>
      </c>
      <c r="P135" s="66">
        <f t="shared" si="76"/>
        <v>3.9375845300519409E-5</v>
      </c>
      <c r="Q135" s="149">
        <v>1.124539</v>
      </c>
      <c r="R135" s="65">
        <f>Q135*C269</f>
        <v>1533.6744016749999</v>
      </c>
      <c r="S135" s="65">
        <v>1.1262190000000001</v>
      </c>
      <c r="T135" s="65">
        <f>1.126*C269</f>
        <v>1535.6669499999998</v>
      </c>
      <c r="U135" s="67">
        <v>3</v>
      </c>
      <c r="V135" s="68">
        <v>0.119364</v>
      </c>
      <c r="W135" s="68">
        <v>0</v>
      </c>
      <c r="X135" s="160">
        <f>((O135-E135)/E135)</f>
        <v>0.12068914902978345</v>
      </c>
      <c r="Y135" s="160">
        <f>((T135-J135)/J135)</f>
        <v>0.12060939589555379</v>
      </c>
      <c r="Z135" s="160">
        <f>((U135-K135)/K135)</f>
        <v>0</v>
      </c>
      <c r="AA135" s="160">
        <f>V135-L135</f>
        <v>-0.15044100000000002</v>
      </c>
      <c r="AB135" s="161">
        <f>W135-M135</f>
        <v>0</v>
      </c>
    </row>
    <row r="136" spans="1:111">
      <c r="A136" s="178">
        <v>121</v>
      </c>
      <c r="B136" s="59" t="s">
        <v>176</v>
      </c>
      <c r="C136" s="60" t="s">
        <v>98</v>
      </c>
      <c r="D136" s="164">
        <v>31168116</v>
      </c>
      <c r="E136" s="71">
        <v>42457590983.026794</v>
      </c>
      <c r="F136" s="66">
        <f t="shared" si="87"/>
        <v>2.3208274837030873E-2</v>
      </c>
      <c r="G136" s="149">
        <v>107.87</v>
      </c>
      <c r="H136" s="71">
        <v>146941.84080099998</v>
      </c>
      <c r="I136" s="149">
        <v>107.87</v>
      </c>
      <c r="J136" s="71">
        <v>146941.84080099998</v>
      </c>
      <c r="K136" s="67">
        <v>939</v>
      </c>
      <c r="L136" s="86">
        <v>6.1999999999999998E-3</v>
      </c>
      <c r="M136" s="68">
        <v>0.1229</v>
      </c>
      <c r="N136" s="149">
        <v>31758898</v>
      </c>
      <c r="O136" s="71">
        <f>31758898*C269</f>
        <v>43313579064.849998</v>
      </c>
      <c r="P136" s="66">
        <f t="shared" si="76"/>
        <v>2.3660456735121706E-2</v>
      </c>
      <c r="Q136" s="149">
        <v>107.82</v>
      </c>
      <c r="R136" s="71">
        <f>107.82*C269</f>
        <v>147047.6115</v>
      </c>
      <c r="S136" s="149">
        <v>107.82</v>
      </c>
      <c r="T136" s="71">
        <f>107.82*C269</f>
        <v>147047.6115</v>
      </c>
      <c r="U136" s="67">
        <v>949</v>
      </c>
      <c r="V136" s="86">
        <v>-5.0000000000000001E-4</v>
      </c>
      <c r="W136" s="68">
        <v>0.1163</v>
      </c>
      <c r="X136" s="160">
        <f t="shared" si="77"/>
        <v>2.0161013896558593E-2</v>
      </c>
      <c r="Y136" s="160">
        <f t="shared" si="78"/>
        <v>7.198133521633095E-4</v>
      </c>
      <c r="Z136" s="160">
        <f t="shared" si="79"/>
        <v>1.0649627263045794E-2</v>
      </c>
      <c r="AA136" s="160">
        <f t="shared" si="80"/>
        <v>-6.6999999999999994E-3</v>
      </c>
      <c r="AB136" s="161">
        <f t="shared" si="81"/>
        <v>-6.5999999999999948E-3</v>
      </c>
    </row>
    <row r="137" spans="1:111">
      <c r="A137" s="178">
        <v>122</v>
      </c>
      <c r="B137" s="59" t="s">
        <v>177</v>
      </c>
      <c r="C137" s="60" t="s">
        <v>42</v>
      </c>
      <c r="D137" s="164">
        <v>2054381.48</v>
      </c>
      <c r="E137" s="71">
        <v>2798503720.9482036</v>
      </c>
      <c r="F137" s="66">
        <f t="shared" si="87"/>
        <v>1.529725120631168E-3</v>
      </c>
      <c r="G137" s="149">
        <v>163.4</v>
      </c>
      <c r="H137" s="71">
        <v>222585.48981999999</v>
      </c>
      <c r="I137" s="149">
        <v>169.72</v>
      </c>
      <c r="J137" s="71">
        <v>231194.67155599999</v>
      </c>
      <c r="K137" s="67">
        <v>53</v>
      </c>
      <c r="L137" s="68">
        <v>-6.4999999999999997E-3</v>
      </c>
      <c r="M137" s="68">
        <v>7.6700000000000004E-2</v>
      </c>
      <c r="N137" s="149">
        <v>2052097.91</v>
      </c>
      <c r="O137" s="71">
        <f>2052097.91*C269</f>
        <v>2798702432.1057501</v>
      </c>
      <c r="P137" s="66">
        <f t="shared" si="76"/>
        <v>1.5288179651507014E-3</v>
      </c>
      <c r="Q137" s="149">
        <v>163.22</v>
      </c>
      <c r="R137" s="71">
        <f>163.22*C269</f>
        <v>222603.5165</v>
      </c>
      <c r="S137" s="71">
        <v>169.59</v>
      </c>
      <c r="T137" s="71">
        <f>169.59*C269</f>
        <v>231291.08175000001</v>
      </c>
      <c r="U137" s="67">
        <v>53</v>
      </c>
      <c r="V137" s="68">
        <v>0</v>
      </c>
      <c r="W137" s="68">
        <v>-2.0000000000000001E-4</v>
      </c>
      <c r="X137" s="160">
        <f t="shared" ref="X137:X138" si="90">((O137-E137)/E137)</f>
        <v>7.1006215235330078E-5</v>
      </c>
      <c r="Y137" s="160">
        <f t="shared" ref="Y137:Y138" si="91">((T137-J137)/J137)</f>
        <v>4.1700871975621217E-4</v>
      </c>
      <c r="Z137" s="160">
        <f t="shared" ref="Z137:Z138" si="92">((U137-K137)/K137)</f>
        <v>0</v>
      </c>
      <c r="AA137" s="160">
        <f t="shared" ref="AA137:AA138" si="93">V137-L137</f>
        <v>6.4999999999999997E-3</v>
      </c>
      <c r="AB137" s="161">
        <f t="shared" ref="AB137:AB138" si="94">W137-M137</f>
        <v>-7.690000000000001E-2</v>
      </c>
    </row>
    <row r="138" spans="1:111" ht="15" customHeight="1">
      <c r="A138" s="178">
        <v>123</v>
      </c>
      <c r="B138" s="59" t="s">
        <v>178</v>
      </c>
      <c r="C138" s="60" t="s">
        <v>49</v>
      </c>
      <c r="D138" s="164">
        <v>112801426.84999999</v>
      </c>
      <c r="E138" s="65">
        <v>155144826460.953</v>
      </c>
      <c r="F138" s="66">
        <f t="shared" si="87"/>
        <v>8.4805654034603162E-2</v>
      </c>
      <c r="G138" s="149">
        <v>127.63648999999999</v>
      </c>
      <c r="H138" s="71">
        <v>175548.67561619999</v>
      </c>
      <c r="I138" s="149">
        <v>127.63648999999999</v>
      </c>
      <c r="J138" s="71">
        <v>175548.67561619999</v>
      </c>
      <c r="K138" s="67">
        <v>4426</v>
      </c>
      <c r="L138" s="68">
        <v>1.1000000000000001E-3</v>
      </c>
      <c r="M138" s="68">
        <v>6.0100000000000001E-2</v>
      </c>
      <c r="N138" s="149">
        <v>111910392.36</v>
      </c>
      <c r="O138" s="65">
        <f>111910392.36*1362.63</f>
        <v>152492457941.50681</v>
      </c>
      <c r="P138" s="66">
        <f t="shared" si="76"/>
        <v>8.3300463306330633E-2</v>
      </c>
      <c r="Q138" s="149">
        <v>127.9645</v>
      </c>
      <c r="R138" s="71">
        <f>127.9645*1362.63</f>
        <v>174368.26663500001</v>
      </c>
      <c r="S138" s="149">
        <v>127.9645</v>
      </c>
      <c r="T138" s="71">
        <f>127.9645*1362.63</f>
        <v>174368.26663500001</v>
      </c>
      <c r="U138" s="67">
        <v>4461</v>
      </c>
      <c r="V138" s="68">
        <v>8.9999999999999998E-4</v>
      </c>
      <c r="W138" s="68">
        <v>5.8599999999999999E-2</v>
      </c>
      <c r="X138" s="160">
        <f t="shared" si="90"/>
        <v>-1.7096080997027304E-2</v>
      </c>
      <c r="Y138" s="160">
        <f t="shared" si="91"/>
        <v>-6.724112141869425E-3</v>
      </c>
      <c r="Z138" s="160">
        <f t="shared" si="92"/>
        <v>7.9078174423859015E-3</v>
      </c>
      <c r="AA138" s="160">
        <f t="shared" si="93"/>
        <v>-2.0000000000000009E-4</v>
      </c>
      <c r="AB138" s="161">
        <f t="shared" si="94"/>
        <v>-1.5000000000000013E-3</v>
      </c>
    </row>
    <row r="139" spans="1:111" ht="4.8" customHeight="1">
      <c r="B139" s="215"/>
      <c r="C139" s="215"/>
      <c r="D139" s="215"/>
      <c r="E139" s="215"/>
      <c r="F139" s="215"/>
      <c r="G139" s="215"/>
      <c r="H139" s="215"/>
      <c r="I139" s="215"/>
      <c r="J139" s="215"/>
      <c r="K139" s="215"/>
      <c r="L139" s="215"/>
      <c r="M139" s="215"/>
      <c r="N139" s="215"/>
      <c r="O139" s="215"/>
      <c r="P139" s="215"/>
      <c r="Q139" s="215"/>
      <c r="R139" s="215"/>
      <c r="S139" s="215"/>
      <c r="T139" s="215"/>
      <c r="U139" s="215"/>
      <c r="V139" s="215"/>
      <c r="W139" s="215"/>
      <c r="X139" s="215"/>
      <c r="Y139" s="215"/>
      <c r="Z139" s="215"/>
      <c r="AA139" s="215"/>
      <c r="AB139" s="215"/>
    </row>
    <row r="140" spans="1:111">
      <c r="A140" s="170"/>
      <c r="B140" s="218" t="s">
        <v>332</v>
      </c>
      <c r="C140" s="218"/>
      <c r="D140" s="218"/>
      <c r="E140" s="218"/>
      <c r="F140" s="218"/>
      <c r="G140" s="218"/>
      <c r="H140" s="218"/>
      <c r="I140" s="218"/>
      <c r="J140" s="218"/>
      <c r="K140" s="218"/>
      <c r="L140" s="218"/>
      <c r="M140" s="218"/>
      <c r="N140" s="218"/>
      <c r="O140" s="218"/>
      <c r="P140" s="218"/>
      <c r="Q140" s="218"/>
      <c r="R140" s="218"/>
      <c r="S140" s="218"/>
      <c r="T140" s="218"/>
      <c r="U140" s="218"/>
      <c r="V140" s="218"/>
      <c r="W140" s="218"/>
      <c r="X140" s="218"/>
      <c r="Y140" s="218"/>
      <c r="Z140" s="218"/>
      <c r="AA140" s="218"/>
      <c r="AB140" s="218"/>
      <c r="AC140" s="28">
        <v>1374.9431</v>
      </c>
      <c r="AE140" s="32"/>
    </row>
    <row r="141" spans="1:111">
      <c r="A141" s="178">
        <v>124</v>
      </c>
      <c r="B141" s="59" t="s">
        <v>309</v>
      </c>
      <c r="C141" s="60" t="s">
        <v>310</v>
      </c>
      <c r="D141" s="164">
        <v>430306.51</v>
      </c>
      <c r="E141" s="65">
        <v>586168820.69207299</v>
      </c>
      <c r="F141" s="66">
        <f>(E141/$E$161)</f>
        <v>3.204130704673832E-4</v>
      </c>
      <c r="G141" s="149">
        <v>1.01</v>
      </c>
      <c r="H141" s="71">
        <v>1375.834423</v>
      </c>
      <c r="I141" s="149">
        <v>1.01</v>
      </c>
      <c r="J141" s="71">
        <v>1375.834423</v>
      </c>
      <c r="K141" s="67">
        <v>41</v>
      </c>
      <c r="L141" s="68">
        <v>8.5999999999999993E-2</v>
      </c>
      <c r="M141" s="68">
        <v>7.4800000000000005E-2</v>
      </c>
      <c r="N141" s="149">
        <v>464280.48</v>
      </c>
      <c r="O141" s="65">
        <f>464280.48*C269</f>
        <v>633197325.63600004</v>
      </c>
      <c r="P141" s="66">
        <f>(O141/$O$161)</f>
        <v>3.4589009385657964E-4</v>
      </c>
      <c r="Q141" s="149">
        <v>1.01</v>
      </c>
      <c r="R141" s="71">
        <f>1.01*C269</f>
        <v>1377.46325</v>
      </c>
      <c r="S141" s="71">
        <v>1.01</v>
      </c>
      <c r="T141" s="71">
        <f>1.01*C269</f>
        <v>1377.46325</v>
      </c>
      <c r="U141" s="67">
        <v>44</v>
      </c>
      <c r="V141" s="68">
        <v>8.14E-2</v>
      </c>
      <c r="W141" s="68">
        <v>7.9500000000000001E-2</v>
      </c>
      <c r="X141" s="160">
        <f>((O141-E141)/E141)</f>
        <v>8.0230307863188327E-2</v>
      </c>
      <c r="Y141" s="160">
        <f>((T141-J141)/J141)</f>
        <v>1.1838830114806636E-3</v>
      </c>
      <c r="Z141" s="160">
        <f>((U141-K141)/K141)</f>
        <v>7.3170731707317069E-2</v>
      </c>
      <c r="AA141" s="160">
        <f>V141-L141</f>
        <v>-4.599999999999993E-3</v>
      </c>
      <c r="AB141" s="161">
        <f>W141-M141</f>
        <v>4.6999999999999958E-3</v>
      </c>
      <c r="AC141" s="28"/>
      <c r="AE141" s="32"/>
    </row>
    <row r="142" spans="1:111">
      <c r="A142" s="178">
        <v>125</v>
      </c>
      <c r="B142" s="59" t="s">
        <v>179</v>
      </c>
      <c r="C142" s="60" t="s">
        <v>60</v>
      </c>
      <c r="D142" s="164">
        <v>1063108.54</v>
      </c>
      <c r="E142" s="65">
        <v>1448179529.4230421</v>
      </c>
      <c r="F142" s="66">
        <f>(E142/$E$161)</f>
        <v>7.9160752539276461E-4</v>
      </c>
      <c r="G142" s="149">
        <v>119.12</v>
      </c>
      <c r="H142" s="71">
        <v>162266.72917599999</v>
      </c>
      <c r="I142" s="149">
        <v>119.12</v>
      </c>
      <c r="J142" s="71">
        <v>162266.72917599999</v>
      </c>
      <c r="K142" s="67">
        <v>76</v>
      </c>
      <c r="L142" s="68">
        <v>1.8E-3</v>
      </c>
      <c r="M142" s="68">
        <v>6.9500000000000006E-2</v>
      </c>
      <c r="N142" s="149">
        <v>1064237.02</v>
      </c>
      <c r="O142" s="65">
        <f>1064237.02*C269</f>
        <v>1451433053.8015001</v>
      </c>
      <c r="P142" s="66">
        <f>(O142/$O$161)</f>
        <v>7.9285918445989075E-4</v>
      </c>
      <c r="Q142" s="149">
        <v>119.24</v>
      </c>
      <c r="R142" s="71">
        <f>119.24*C269</f>
        <v>162622.49299999999</v>
      </c>
      <c r="S142" s="71">
        <v>119.24</v>
      </c>
      <c r="T142" s="71">
        <f>119.24*C269</f>
        <v>162622.49299999999</v>
      </c>
      <c r="U142" s="67">
        <v>76</v>
      </c>
      <c r="V142" s="68">
        <v>2.7000000000000001E-3</v>
      </c>
      <c r="W142" s="68">
        <v>6.8699999999999997E-2</v>
      </c>
      <c r="X142" s="160">
        <f>((O142-E142)/E142)</f>
        <v>2.2466305539854126E-3</v>
      </c>
      <c r="Y142" s="160">
        <f>((T142-J142)/J142)</f>
        <v>2.1924631488326896E-3</v>
      </c>
      <c r="Z142" s="160">
        <f>((U142-K142)/K142)</f>
        <v>0</v>
      </c>
      <c r="AA142" s="160">
        <f>V142-L142</f>
        <v>9.0000000000000019E-4</v>
      </c>
      <c r="AB142" s="161">
        <f>W142-M142</f>
        <v>-8.0000000000000904E-4</v>
      </c>
    </row>
    <row r="143" spans="1:111">
      <c r="A143" s="178">
        <v>126</v>
      </c>
      <c r="B143" s="60" t="s">
        <v>180</v>
      </c>
      <c r="C143" s="60" t="s">
        <v>25</v>
      </c>
      <c r="D143" s="164">
        <v>19810576.379999999</v>
      </c>
      <c r="E143" s="71">
        <v>26986210814.925472</v>
      </c>
      <c r="F143" s="66">
        <f>(E143/$E$161)</f>
        <v>1.4751270218162438E-2</v>
      </c>
      <c r="G143" s="149">
        <v>138.58000000000001</v>
      </c>
      <c r="H143" s="65">
        <v>188775.380534</v>
      </c>
      <c r="I143" s="149">
        <v>138.58000000000001</v>
      </c>
      <c r="J143" s="65">
        <v>188775.380534</v>
      </c>
      <c r="K143" s="67">
        <v>684</v>
      </c>
      <c r="L143" s="68">
        <v>5.0000000000000001E-4</v>
      </c>
      <c r="M143" s="68">
        <v>2.18E-2</v>
      </c>
      <c r="N143" s="149">
        <v>19411232.579999998</v>
      </c>
      <c r="O143" s="71">
        <f>19411232.58*C269</f>
        <v>26473524273.418499</v>
      </c>
      <c r="P143" s="66">
        <f>(O143/$O$161)</f>
        <v>1.4461415778169472E-2</v>
      </c>
      <c r="Q143" s="149">
        <v>138.71</v>
      </c>
      <c r="R143" s="65">
        <f>138.71*C269</f>
        <v>189176.16575000001</v>
      </c>
      <c r="S143" s="65">
        <v>138.71</v>
      </c>
      <c r="T143" s="65">
        <f>138.71*C269</f>
        <v>189176.16575000001</v>
      </c>
      <c r="U143" s="67">
        <v>690</v>
      </c>
      <c r="V143" s="68">
        <v>5.0000000000000001E-4</v>
      </c>
      <c r="W143" s="68">
        <v>2.2800000000000001E-2</v>
      </c>
      <c r="X143" s="160">
        <f t="shared" ref="X143:X161" si="95">((O143-E143)/E143)</f>
        <v>-1.8998092952843076E-2</v>
      </c>
      <c r="Y143" s="160">
        <f t="shared" ref="Y143:Y161" si="96">((T143-J143)/J143)</f>
        <v>2.12307989985926E-3</v>
      </c>
      <c r="Z143" s="160">
        <f t="shared" ref="Z143:Z161" si="97">((U143-K143)/K143)</f>
        <v>8.771929824561403E-3</v>
      </c>
      <c r="AA143" s="160">
        <f t="shared" ref="AA143:AA161" si="98">V143-L143</f>
        <v>0</v>
      </c>
      <c r="AB143" s="161">
        <f t="shared" ref="AB143:AB161" si="99">W143-M143</f>
        <v>1.0000000000000009E-3</v>
      </c>
    </row>
    <row r="144" spans="1:111">
      <c r="A144" s="178">
        <v>127</v>
      </c>
      <c r="B144" s="60" t="s">
        <v>181</v>
      </c>
      <c r="C144" s="60" t="s">
        <v>130</v>
      </c>
      <c r="D144" s="164">
        <v>438577.5</v>
      </c>
      <c r="E144" s="71">
        <v>597435665.00325</v>
      </c>
      <c r="F144" s="66">
        <f>(E144/$E$161)</f>
        <v>3.2657178115410982E-4</v>
      </c>
      <c r="G144" s="149">
        <v>105.32</v>
      </c>
      <c r="H144" s="65">
        <v>143468.199436</v>
      </c>
      <c r="I144" s="149">
        <v>105.32</v>
      </c>
      <c r="J144" s="65">
        <v>143468.199436</v>
      </c>
      <c r="K144" s="67">
        <v>19</v>
      </c>
      <c r="L144" s="68">
        <v>7.7999999999999999E-4</v>
      </c>
      <c r="M144" s="68">
        <v>6.3549999999999995E-2</v>
      </c>
      <c r="N144" s="149">
        <v>438933.53</v>
      </c>
      <c r="O144" s="71">
        <f>N144*C269</f>
        <v>598628521.55225003</v>
      </c>
      <c r="P144" s="66">
        <f>(O144/$O$161)</f>
        <v>3.2700655407373537E-4</v>
      </c>
      <c r="Q144" s="149">
        <v>105.41</v>
      </c>
      <c r="R144" s="65">
        <f>Q144*C269</f>
        <v>143760.79324999999</v>
      </c>
      <c r="S144" s="65">
        <v>105.41</v>
      </c>
      <c r="T144" s="65">
        <f>S144*C269</f>
        <v>143760.79324999999</v>
      </c>
      <c r="U144" s="67">
        <v>19</v>
      </c>
      <c r="V144" s="68">
        <v>4.8999999999999998E-4</v>
      </c>
      <c r="W144" s="68">
        <v>6.3079999999999997E-2</v>
      </c>
      <c r="X144" s="160">
        <v>0</v>
      </c>
      <c r="Y144" s="160">
        <f t="shared" ref="Y144" si="100">((T144-J144)/J144)</f>
        <v>2.0394332343350854E-3</v>
      </c>
      <c r="Z144" s="160">
        <f t="shared" ref="Z144" si="101">((U144-K144)/K144)</f>
        <v>0</v>
      </c>
      <c r="AA144" s="160">
        <f t="shared" ref="AA144" si="102">V144-L144</f>
        <v>-2.9E-4</v>
      </c>
      <c r="AB144" s="161">
        <f t="shared" ref="AB144" si="103">W144-M144</f>
        <v>-4.699999999999982E-4</v>
      </c>
    </row>
    <row r="145" spans="1:30">
      <c r="A145" s="178">
        <v>128</v>
      </c>
      <c r="B145" s="59" t="s">
        <v>182</v>
      </c>
      <c r="C145" s="60" t="s">
        <v>69</v>
      </c>
      <c r="D145" s="164">
        <v>12842709.49</v>
      </c>
      <c r="E145" s="65">
        <v>17478927615.889999</v>
      </c>
      <c r="F145" s="66">
        <f>(E145/$E$161)</f>
        <v>9.5543752383010199E-3</v>
      </c>
      <c r="G145" s="149">
        <v>116.31</v>
      </c>
      <c r="H145" s="65">
        <v>158297.91</v>
      </c>
      <c r="I145" s="149">
        <v>116.31</v>
      </c>
      <c r="J145" s="65">
        <v>158297.91</v>
      </c>
      <c r="K145" s="67">
        <v>471</v>
      </c>
      <c r="L145" s="68">
        <v>1.1000000000000001E-3</v>
      </c>
      <c r="M145" s="68">
        <v>6.6299999999999998E-2</v>
      </c>
      <c r="N145" s="149">
        <v>12869778.73</v>
      </c>
      <c r="O145" s="65">
        <v>17541508408.990002</v>
      </c>
      <c r="P145" s="66">
        <f t="shared" ref="P145:P146" si="104">(O145/$O$117)</f>
        <v>7.4040862478393421E-2</v>
      </c>
      <c r="Q145" s="149">
        <v>116.42</v>
      </c>
      <c r="R145" s="65">
        <v>158680.46</v>
      </c>
      <c r="S145" s="149">
        <v>116.42</v>
      </c>
      <c r="T145" s="65">
        <v>158680.46</v>
      </c>
      <c r="U145" s="67">
        <v>470</v>
      </c>
      <c r="V145" s="68">
        <v>8.9999999999999998E-4</v>
      </c>
      <c r="W145" s="68">
        <v>6.6299999999999998E-2</v>
      </c>
      <c r="X145" s="160">
        <f t="shared" si="95"/>
        <v>3.5803565570642001E-3</v>
      </c>
      <c r="Y145" s="160">
        <f t="shared" si="96"/>
        <v>2.4166459304484078E-3</v>
      </c>
      <c r="Z145" s="160">
        <f t="shared" si="97"/>
        <v>-2.1231422505307855E-3</v>
      </c>
      <c r="AA145" s="160">
        <f t="shared" si="98"/>
        <v>-2.0000000000000009E-4</v>
      </c>
      <c r="AB145" s="161">
        <f t="shared" si="99"/>
        <v>0</v>
      </c>
    </row>
    <row r="146" spans="1:30">
      <c r="A146" s="178">
        <v>129</v>
      </c>
      <c r="B146" s="59" t="s">
        <v>183</v>
      </c>
      <c r="C146" s="60" t="s">
        <v>71</v>
      </c>
      <c r="D146" s="164">
        <v>250849.08</v>
      </c>
      <c r="E146" s="71">
        <v>341709702.21968395</v>
      </c>
      <c r="F146" s="66">
        <f t="shared" ref="F146" si="105">(E146/$E$117)</f>
        <v>1.4469445472247281E-3</v>
      </c>
      <c r="G146" s="149">
        <v>1.0528999999999999</v>
      </c>
      <c r="H146" s="70">
        <v>1434.27333067</v>
      </c>
      <c r="I146" s="149">
        <v>1.0528999999999999</v>
      </c>
      <c r="J146" s="70">
        <v>1434.27333067</v>
      </c>
      <c r="K146" s="67">
        <v>12</v>
      </c>
      <c r="L146" s="68">
        <v>-5.3E-3</v>
      </c>
      <c r="M146" s="68">
        <v>8.0500000000000002E-2</v>
      </c>
      <c r="N146" s="149">
        <v>251316.02</v>
      </c>
      <c r="O146" s="71">
        <f>N146*C269</f>
        <v>342751070.97649997</v>
      </c>
      <c r="P146" s="66">
        <f t="shared" si="104"/>
        <v>1.4467162298019431E-3</v>
      </c>
      <c r="Q146" s="149">
        <v>1.0507</v>
      </c>
      <c r="R146" s="70">
        <f>Q146*C269</f>
        <v>1432.9709275</v>
      </c>
      <c r="S146" s="149">
        <v>1.0507</v>
      </c>
      <c r="T146" s="70">
        <f>S146*C269</f>
        <v>1432.9709275</v>
      </c>
      <c r="U146" s="67">
        <v>13</v>
      </c>
      <c r="V146" s="68">
        <v>-2.0999999999999999E-3</v>
      </c>
      <c r="W146" s="68">
        <v>7.8299999999999995E-2</v>
      </c>
      <c r="X146" s="162">
        <f t="shared" si="95"/>
        <v>3.0475246972839457E-3</v>
      </c>
      <c r="Y146" s="162">
        <f t="shared" si="96"/>
        <v>-9.0805785909129006E-4</v>
      </c>
      <c r="Z146" s="162">
        <f t="shared" si="97"/>
        <v>8.3333333333333329E-2</v>
      </c>
      <c r="AA146" s="160">
        <f t="shared" si="98"/>
        <v>3.2000000000000002E-3</v>
      </c>
      <c r="AB146" s="161">
        <f t="shared" si="99"/>
        <v>-2.2000000000000075E-3</v>
      </c>
    </row>
    <row r="147" spans="1:30">
      <c r="A147" s="178">
        <v>130</v>
      </c>
      <c r="B147" s="59" t="s">
        <v>184</v>
      </c>
      <c r="C147" s="60" t="s">
        <v>67</v>
      </c>
      <c r="D147" s="164">
        <v>10457692.558480056</v>
      </c>
      <c r="E147" s="65">
        <v>14245597432.780001</v>
      </c>
      <c r="F147" s="66">
        <f t="shared" ref="F147:F160" si="106">(E147/$E$161)</f>
        <v>7.7869641866828813E-3</v>
      </c>
      <c r="G147" s="149">
        <v>1.3798730197928768</v>
      </c>
      <c r="H147" s="65">
        <v>1879.68</v>
      </c>
      <c r="I147" s="149">
        <v>1.3798730197928768</v>
      </c>
      <c r="J147" s="65">
        <v>1879.68</v>
      </c>
      <c r="K147" s="67">
        <v>371</v>
      </c>
      <c r="L147" s="68">
        <v>4.8300000000000003E-2</v>
      </c>
      <c r="M147" s="68">
        <v>7.2599999999999998E-2</v>
      </c>
      <c r="N147" s="149">
        <f>O147/C269</f>
        <v>10502218.275937162</v>
      </c>
      <c r="O147" s="65">
        <v>14323187840.18</v>
      </c>
      <c r="P147" s="66">
        <f t="shared" ref="P147:P160" si="107">(O147/$O$161)</f>
        <v>7.8241783181713584E-3</v>
      </c>
      <c r="Q147" s="149">
        <f>R147/C269</f>
        <v>1.3808443165362125</v>
      </c>
      <c r="R147" s="65">
        <v>1883.23</v>
      </c>
      <c r="S147" s="65">
        <f>T147/C269</f>
        <v>1.3808443165362125</v>
      </c>
      <c r="T147" s="65">
        <v>1883.23</v>
      </c>
      <c r="U147" s="67">
        <v>371</v>
      </c>
      <c r="V147" s="68">
        <v>5.7500000000000002E-2</v>
      </c>
      <c r="W147" s="68">
        <v>7.1999999999999995E-2</v>
      </c>
      <c r="X147" s="160">
        <f t="shared" si="95"/>
        <v>5.4466236159010986E-3</v>
      </c>
      <c r="Y147" s="160">
        <f t="shared" si="96"/>
        <v>1.8886193394620119E-3</v>
      </c>
      <c r="Z147" s="162">
        <f t="shared" si="97"/>
        <v>0</v>
      </c>
      <c r="AA147" s="160">
        <f t="shared" si="98"/>
        <v>9.1999999999999998E-3</v>
      </c>
      <c r="AB147" s="161">
        <f t="shared" si="99"/>
        <v>-6.0000000000000331E-4</v>
      </c>
    </row>
    <row r="148" spans="1:30">
      <c r="A148" s="178">
        <v>131</v>
      </c>
      <c r="B148" s="59" t="s">
        <v>185</v>
      </c>
      <c r="C148" s="60" t="s">
        <v>89</v>
      </c>
      <c r="D148" s="164">
        <v>189974.23</v>
      </c>
      <c r="E148" s="65">
        <v>258785232.789029</v>
      </c>
      <c r="F148" s="66">
        <f t="shared" si="106"/>
        <v>1.4145783279917581E-4</v>
      </c>
      <c r="G148" s="149">
        <v>1.08</v>
      </c>
      <c r="H148" s="65">
        <v>1471.189284</v>
      </c>
      <c r="I148" s="149">
        <v>1.08</v>
      </c>
      <c r="J148" s="65">
        <v>1471.189284</v>
      </c>
      <c r="K148" s="67">
        <v>9</v>
      </c>
      <c r="L148" s="68">
        <v>6.7799999999999999E-2</v>
      </c>
      <c r="M148" s="68">
        <v>6.7799999999999999E-2</v>
      </c>
      <c r="N148" s="149">
        <v>190200.06</v>
      </c>
      <c r="O148" s="65">
        <f>190200.06*C269</f>
        <v>259399596.82950002</v>
      </c>
      <c r="P148" s="66">
        <f t="shared" si="107"/>
        <v>1.4169951018601316E-4</v>
      </c>
      <c r="Q148" s="149">
        <v>1.08</v>
      </c>
      <c r="R148" s="65">
        <f>1.08*C269</f>
        <v>1472.931</v>
      </c>
      <c r="S148" s="149">
        <v>1.08</v>
      </c>
      <c r="T148" s="65">
        <f>1.08*C269</f>
        <v>1472.931</v>
      </c>
      <c r="U148" s="67">
        <v>9</v>
      </c>
      <c r="V148" s="68">
        <v>6.8199999999999997E-2</v>
      </c>
      <c r="W148" s="68">
        <v>6.8199999999999997E-2</v>
      </c>
      <c r="X148" s="160">
        <f t="shared" si="95"/>
        <v>2.37403051885835E-3</v>
      </c>
      <c r="Y148" s="160">
        <f t="shared" si="96"/>
        <v>1.1838830114806605E-3</v>
      </c>
      <c r="Z148" s="162">
        <f t="shared" si="97"/>
        <v>0</v>
      </c>
      <c r="AA148" s="160">
        <f t="shared" si="98"/>
        <v>3.9999999999999758E-4</v>
      </c>
      <c r="AB148" s="161">
        <f t="shared" si="99"/>
        <v>3.9999999999999758E-4</v>
      </c>
    </row>
    <row r="149" spans="1:30" ht="15.6">
      <c r="A149" s="178">
        <v>132</v>
      </c>
      <c r="B149" s="59" t="s">
        <v>186</v>
      </c>
      <c r="C149" s="60" t="s">
        <v>35</v>
      </c>
      <c r="D149" s="164">
        <v>103297285.63180211</v>
      </c>
      <c r="E149" s="65">
        <v>142027569906.59</v>
      </c>
      <c r="F149" s="66">
        <f t="shared" si="106"/>
        <v>7.7635466367968892E-2</v>
      </c>
      <c r="G149" s="149">
        <v>100</v>
      </c>
      <c r="H149" s="65">
        <v>137325</v>
      </c>
      <c r="I149" s="149">
        <v>100</v>
      </c>
      <c r="J149" s="65">
        <v>137325</v>
      </c>
      <c r="K149" s="67">
        <v>3614</v>
      </c>
      <c r="L149" s="68">
        <v>5.62E-2</v>
      </c>
      <c r="M149" s="68">
        <v>5.0200000000000002E-2</v>
      </c>
      <c r="N149" s="149">
        <f>O149/1374.94</f>
        <v>104791835.65294485</v>
      </c>
      <c r="O149" s="65">
        <v>144082486512.66</v>
      </c>
      <c r="P149" s="66">
        <f t="shared" si="107"/>
        <v>7.8706435995913343E-2</v>
      </c>
      <c r="Q149" s="149">
        <v>100</v>
      </c>
      <c r="R149" s="65">
        <f>100*1373.25</f>
        <v>137325</v>
      </c>
      <c r="S149" s="65">
        <v>100</v>
      </c>
      <c r="T149" s="65">
        <f>100*1373.25</f>
        <v>137325</v>
      </c>
      <c r="U149" s="67">
        <v>3659</v>
      </c>
      <c r="V149" s="68">
        <v>5.7299999999999997E-2</v>
      </c>
      <c r="W149" s="68">
        <v>5.0500000000000003E-2</v>
      </c>
      <c r="X149" s="160">
        <f t="shared" si="95"/>
        <v>1.4468434596335795E-2</v>
      </c>
      <c r="Y149" s="160">
        <f t="shared" si="96"/>
        <v>0</v>
      </c>
      <c r="Z149" s="160">
        <f t="shared" si="97"/>
        <v>1.2451577199778638E-2</v>
      </c>
      <c r="AA149" s="160">
        <f t="shared" si="98"/>
        <v>1.0999999999999968E-3</v>
      </c>
      <c r="AB149" s="161">
        <f t="shared" si="99"/>
        <v>3.0000000000000165E-4</v>
      </c>
      <c r="AD149" s="29"/>
    </row>
    <row r="150" spans="1:30" ht="15.6">
      <c r="A150" s="178">
        <v>133</v>
      </c>
      <c r="B150" s="59" t="s">
        <v>187</v>
      </c>
      <c r="C150" s="60" t="s">
        <v>143</v>
      </c>
      <c r="D150" s="164">
        <v>1189473.43</v>
      </c>
      <c r="E150" s="65">
        <v>1620315336.8691888</v>
      </c>
      <c r="F150" s="66">
        <f t="shared" si="106"/>
        <v>8.8570083205496931E-4</v>
      </c>
      <c r="G150" s="149">
        <v>1.1599999999999999</v>
      </c>
      <c r="H150" s="65">
        <v>1580.1662679999997</v>
      </c>
      <c r="I150" s="149">
        <v>1.1599999999999999</v>
      </c>
      <c r="J150" s="65">
        <v>1580.1662679999997</v>
      </c>
      <c r="K150" s="67">
        <v>53</v>
      </c>
      <c r="L150" s="68">
        <v>1.9E-3</v>
      </c>
      <c r="M150" s="68">
        <v>0.1018</v>
      </c>
      <c r="N150" s="149">
        <v>1161186.32</v>
      </c>
      <c r="O150" s="65">
        <f>1161186.32*C269</f>
        <v>1583654932.8740001</v>
      </c>
      <c r="P150" s="66">
        <f t="shared" si="107"/>
        <v>8.6508665022870719E-4</v>
      </c>
      <c r="Q150" s="149">
        <v>1.1599999999999999</v>
      </c>
      <c r="R150" s="65">
        <f>1.16*C269</f>
        <v>1582.037</v>
      </c>
      <c r="S150" s="65">
        <v>1.1599999999999999</v>
      </c>
      <c r="T150" s="65">
        <f>1.16*C269</f>
        <v>1582.037</v>
      </c>
      <c r="U150" s="67">
        <v>53</v>
      </c>
      <c r="V150" s="68">
        <v>1.9E-3</v>
      </c>
      <c r="W150" s="68">
        <v>0.1007</v>
      </c>
      <c r="X150" s="160">
        <f t="shared" si="95"/>
        <v>-2.2625474906646754E-2</v>
      </c>
      <c r="Y150" s="160">
        <f t="shared" si="96"/>
        <v>1.1838830114808633E-3</v>
      </c>
      <c r="Z150" s="160">
        <f t="shared" si="97"/>
        <v>0</v>
      </c>
      <c r="AA150" s="160">
        <f t="shared" si="98"/>
        <v>0</v>
      </c>
      <c r="AB150" s="161">
        <f t="shared" si="99"/>
        <v>-1.1000000000000038E-3</v>
      </c>
      <c r="AD150" s="29"/>
    </row>
    <row r="151" spans="1:30" ht="15.6">
      <c r="A151" s="178">
        <v>134</v>
      </c>
      <c r="B151" s="59" t="s">
        <v>303</v>
      </c>
      <c r="C151" s="60" t="s">
        <v>40</v>
      </c>
      <c r="D151" s="164">
        <v>7816658.4400000004</v>
      </c>
      <c r="E151" s="71">
        <v>10647948271.866812</v>
      </c>
      <c r="F151" s="66">
        <f t="shared" si="106"/>
        <v>5.8204081819612395E-3</v>
      </c>
      <c r="G151" s="149">
        <v>10.84</v>
      </c>
      <c r="H151" s="65">
        <v>14766.381331999999</v>
      </c>
      <c r="I151" s="149">
        <v>10.84</v>
      </c>
      <c r="J151" s="65">
        <v>14766.381331999999</v>
      </c>
      <c r="K151" s="67">
        <v>162</v>
      </c>
      <c r="L151" s="68">
        <v>5.7700000000000001E-2</v>
      </c>
      <c r="M151" s="68">
        <v>7.5899999999999995E-2</v>
      </c>
      <c r="N151" s="149">
        <v>7629122.3399999999</v>
      </c>
      <c r="O151" s="71">
        <f>7629122.34*C269</f>
        <v>10404787775.3505</v>
      </c>
      <c r="P151" s="66">
        <f t="shared" si="107"/>
        <v>5.6837148144284E-3</v>
      </c>
      <c r="Q151" s="149">
        <v>10.86</v>
      </c>
      <c r="R151" s="65">
        <f>10.86*C269</f>
        <v>14811.139499999999</v>
      </c>
      <c r="S151" s="65">
        <v>10.86</v>
      </c>
      <c r="T151" s="65">
        <f>10.86*C269</f>
        <v>14811.139499999999</v>
      </c>
      <c r="U151" s="67">
        <v>163</v>
      </c>
      <c r="V151" s="68">
        <v>5.7200000000000001E-2</v>
      </c>
      <c r="W151" s="68">
        <v>7.5800000000000006E-2</v>
      </c>
      <c r="X151" s="160">
        <f t="shared" si="95"/>
        <v>-2.2836370942820185E-2</v>
      </c>
      <c r="Y151" s="160">
        <f t="shared" si="96"/>
        <v>3.0310857476642267E-3</v>
      </c>
      <c r="Z151" s="160">
        <f t="shared" si="97"/>
        <v>6.1728395061728392E-3</v>
      </c>
      <c r="AA151" s="160">
        <f t="shared" si="98"/>
        <v>-5.0000000000000044E-4</v>
      </c>
      <c r="AB151" s="161">
        <f t="shared" si="99"/>
        <v>-9.9999999999988987E-5</v>
      </c>
      <c r="AD151" s="29"/>
    </row>
    <row r="152" spans="1:30" ht="15.6">
      <c r="A152" s="178">
        <v>135</v>
      </c>
      <c r="B152" s="60" t="s">
        <v>188</v>
      </c>
      <c r="C152" s="93" t="s">
        <v>44</v>
      </c>
      <c r="D152" s="164">
        <v>28575398.976356331</v>
      </c>
      <c r="E152" s="65">
        <v>38925759963</v>
      </c>
      <c r="F152" s="66">
        <f t="shared" si="106"/>
        <v>2.1277696509506332E-2</v>
      </c>
      <c r="G152" s="149">
        <v>1.1224000000000001</v>
      </c>
      <c r="H152" s="65">
        <v>1528.94708552</v>
      </c>
      <c r="I152" s="149">
        <v>1.1265000000000001</v>
      </c>
      <c r="J152" s="65">
        <v>1534.5321559500001</v>
      </c>
      <c r="K152" s="67">
        <v>595</v>
      </c>
      <c r="L152" s="68">
        <v>-2.8999999999999998E-3</v>
      </c>
      <c r="M152" s="68">
        <v>7.7100000000000002E-2</v>
      </c>
      <c r="N152" s="149">
        <f>O152/C269</f>
        <v>28879743.417227283</v>
      </c>
      <c r="O152" s="65">
        <v>39386916066</v>
      </c>
      <c r="P152" s="66">
        <f t="shared" si="107"/>
        <v>2.1515479524658633E-2</v>
      </c>
      <c r="Q152" s="149">
        <v>1.1224000000000001</v>
      </c>
      <c r="R152" s="65">
        <f>Q152*C269</f>
        <v>1530.7571800000001</v>
      </c>
      <c r="S152" s="65">
        <v>1.1279999999999999</v>
      </c>
      <c r="T152" s="65">
        <f>S152*C269</f>
        <v>1538.3945999999999</v>
      </c>
      <c r="U152" s="67">
        <v>775</v>
      </c>
      <c r="V152" s="68">
        <v>0.01</v>
      </c>
      <c r="W152" s="68">
        <v>7.4099999999999999E-2</v>
      </c>
      <c r="X152" s="160">
        <f t="shared" si="95"/>
        <v>1.1847067428827119E-2</v>
      </c>
      <c r="Y152" s="160">
        <f t="shared" si="96"/>
        <v>2.5170173430537385E-3</v>
      </c>
      <c r="Z152" s="160">
        <f t="shared" si="97"/>
        <v>0.30252100840336132</v>
      </c>
      <c r="AA152" s="160">
        <f t="shared" si="98"/>
        <v>1.29E-2</v>
      </c>
      <c r="AB152" s="161">
        <f t="shared" si="99"/>
        <v>-3.0000000000000027E-3</v>
      </c>
      <c r="AD152" s="29"/>
    </row>
    <row r="153" spans="1:30">
      <c r="A153" s="181">
        <v>136</v>
      </c>
      <c r="B153" s="59" t="s">
        <v>189</v>
      </c>
      <c r="C153" s="60" t="s">
        <v>100</v>
      </c>
      <c r="D153" s="164">
        <v>316677.44</v>
      </c>
      <c r="E153" s="71">
        <v>431381175.5424</v>
      </c>
      <c r="F153" s="66">
        <f t="shared" si="106"/>
        <v>2.3580265977671239E-4</v>
      </c>
      <c r="G153" s="149">
        <v>1.27</v>
      </c>
      <c r="H153" s="65">
        <v>1730.0067000000001</v>
      </c>
      <c r="I153" s="149">
        <v>1.27</v>
      </c>
      <c r="J153" s="65">
        <v>1730.0067000000001</v>
      </c>
      <c r="K153" s="67">
        <v>2</v>
      </c>
      <c r="L153" s="68">
        <v>5.9999999999999995E-4</v>
      </c>
      <c r="M153" s="68">
        <v>-0.1047</v>
      </c>
      <c r="N153" s="149">
        <v>317189.19</v>
      </c>
      <c r="O153" s="71">
        <f>N153*1362.05</f>
        <v>432027536.23949999</v>
      </c>
      <c r="P153" s="66">
        <f t="shared" si="107"/>
        <v>2.3599917278300571E-4</v>
      </c>
      <c r="Q153" s="149">
        <v>1.27</v>
      </c>
      <c r="R153" s="65">
        <f>1.27*1362.05</f>
        <v>1729.8035</v>
      </c>
      <c r="S153" s="65">
        <v>1.27</v>
      </c>
      <c r="T153" s="65">
        <f>1.27*1362.05</f>
        <v>1729.8035</v>
      </c>
      <c r="U153" s="67">
        <v>2</v>
      </c>
      <c r="V153" s="68">
        <v>8.0000000000000004E-4</v>
      </c>
      <c r="W153" s="68">
        <v>-4.41E-2</v>
      </c>
      <c r="X153" s="160">
        <f t="shared" si="95"/>
        <v>1.4983516521954805E-3</v>
      </c>
      <c r="Y153" s="160">
        <f t="shared" si="96"/>
        <v>-1.174561925107872E-4</v>
      </c>
      <c r="Z153" s="160">
        <f t="shared" si="97"/>
        <v>0</v>
      </c>
      <c r="AA153" s="160">
        <f t="shared" ref="AA153" si="108">V153-L153</f>
        <v>2.0000000000000009E-4</v>
      </c>
      <c r="AB153" s="161">
        <f t="shared" ref="AB153" si="109">W153-M153</f>
        <v>6.0600000000000001E-2</v>
      </c>
    </row>
    <row r="154" spans="1:30">
      <c r="A154" s="181">
        <v>137</v>
      </c>
      <c r="B154" s="59" t="s">
        <v>190</v>
      </c>
      <c r="C154" s="60" t="s">
        <v>105</v>
      </c>
      <c r="D154" s="164">
        <v>555433.29</v>
      </c>
      <c r="E154" s="71">
        <v>756618059.46746695</v>
      </c>
      <c r="F154" s="66">
        <f t="shared" si="106"/>
        <v>4.1358446073404861E-4</v>
      </c>
      <c r="G154" s="149">
        <v>1.0892999999999999</v>
      </c>
      <c r="H154" s="65">
        <v>1483.8578583899998</v>
      </c>
      <c r="I154" s="149">
        <v>1.0873999999999999</v>
      </c>
      <c r="J154" s="65">
        <v>1481.2696550199998</v>
      </c>
      <c r="K154" s="67">
        <v>17</v>
      </c>
      <c r="L154" s="68">
        <v>4.2299999999999997E-2</v>
      </c>
      <c r="M154" s="68">
        <v>4.19E-2</v>
      </c>
      <c r="N154" s="149">
        <v>554691.39</v>
      </c>
      <c r="O154" s="71">
        <f>554691.39*C269</f>
        <v>756501984.96675003</v>
      </c>
      <c r="P154" s="66">
        <f t="shared" si="107"/>
        <v>4.1324644307367094E-4</v>
      </c>
      <c r="Q154" s="149">
        <v>1.0859000000000001</v>
      </c>
      <c r="R154" s="65">
        <f>1.0859*C269</f>
        <v>1480.9775675000001</v>
      </c>
      <c r="S154" s="65">
        <v>1.0859000000000001</v>
      </c>
      <c r="T154" s="65">
        <f>1.0859*C269</f>
        <v>1480.9775675000001</v>
      </c>
      <c r="U154" s="67">
        <v>17</v>
      </c>
      <c r="V154" s="68">
        <v>3.6700000000000003E-2</v>
      </c>
      <c r="W154" s="68">
        <v>3.7100000000000001E-2</v>
      </c>
      <c r="X154" s="160">
        <f t="shared" ref="X154" si="110">((O154-E154)/E154)</f>
        <v>-1.5341227884333315E-4</v>
      </c>
      <c r="Y154" s="160">
        <f t="shared" ref="Y154" si="111">((T154-J154)/J154)</f>
        <v>-1.9718727040001668E-4</v>
      </c>
      <c r="Z154" s="160">
        <f t="shared" si="97"/>
        <v>0</v>
      </c>
      <c r="AA154" s="160">
        <f t="shared" si="98"/>
        <v>-5.5999999999999939E-3</v>
      </c>
      <c r="AB154" s="161">
        <f t="shared" si="99"/>
        <v>-4.7999999999999987E-3</v>
      </c>
    </row>
    <row r="155" spans="1:30">
      <c r="A155" s="181">
        <v>138</v>
      </c>
      <c r="B155" s="59" t="s">
        <v>191</v>
      </c>
      <c r="C155" s="60" t="s">
        <v>46</v>
      </c>
      <c r="D155" s="164">
        <v>630900580.27999997</v>
      </c>
      <c r="E155" s="71">
        <v>859008994086.03674</v>
      </c>
      <c r="F155" s="66">
        <f t="shared" si="106"/>
        <v>0.46955365013997141</v>
      </c>
      <c r="G155" s="149">
        <v>1.6989000000000001</v>
      </c>
      <c r="H155" s="65">
        <v>2313.1542840000002</v>
      </c>
      <c r="I155" s="149">
        <v>1.6989000000000001</v>
      </c>
      <c r="J155" s="65">
        <v>2313.1542840000002</v>
      </c>
      <c r="K155" s="67">
        <v>13669</v>
      </c>
      <c r="L155" s="68">
        <v>8.0000000000000004E-4</v>
      </c>
      <c r="M155" s="68">
        <v>1.5599999999999999E-2</v>
      </c>
      <c r="N155" s="149">
        <v>632525567.63999999</v>
      </c>
      <c r="O155" s="71">
        <f>N155*1362.63</f>
        <v>861898314233.29321</v>
      </c>
      <c r="P155" s="66">
        <f t="shared" si="107"/>
        <v>0.47082019575104789</v>
      </c>
      <c r="Q155" s="149">
        <v>1.7</v>
      </c>
      <c r="R155" s="65">
        <f>Q155*1362.63</f>
        <v>2316.471</v>
      </c>
      <c r="S155" s="149">
        <v>1.7</v>
      </c>
      <c r="T155" s="65">
        <f>S155*1362.63</f>
        <v>2316.471</v>
      </c>
      <c r="U155" s="67">
        <v>13698</v>
      </c>
      <c r="V155" s="68">
        <v>8.0000000000000004E-4</v>
      </c>
      <c r="W155" s="68">
        <v>1.6400000000000001E-2</v>
      </c>
      <c r="X155" s="160">
        <f t="shared" si="95"/>
        <v>3.3635505182697551E-3</v>
      </c>
      <c r="Y155" s="160">
        <f t="shared" si="96"/>
        <v>1.4338498832271642E-3</v>
      </c>
      <c r="Z155" s="160">
        <f t="shared" si="97"/>
        <v>2.1215889970005123E-3</v>
      </c>
      <c r="AA155" s="160">
        <f t="shared" si="98"/>
        <v>0</v>
      </c>
      <c r="AB155" s="161">
        <f t="shared" si="99"/>
        <v>8.000000000000021E-4</v>
      </c>
    </row>
    <row r="156" spans="1:30">
      <c r="A156" s="181">
        <v>139</v>
      </c>
      <c r="B156" s="59" t="s">
        <v>192</v>
      </c>
      <c r="C156" s="59" t="s">
        <v>110</v>
      </c>
      <c r="D156" s="164">
        <v>487837.19</v>
      </c>
      <c r="E156" s="71">
        <v>664537820.61543691</v>
      </c>
      <c r="F156" s="66">
        <f t="shared" si="106"/>
        <v>3.6325132970003218E-4</v>
      </c>
      <c r="G156" s="149">
        <v>117.04</v>
      </c>
      <c r="H156" s="65">
        <v>159433.32759199999</v>
      </c>
      <c r="I156" s="149">
        <v>117.04</v>
      </c>
      <c r="J156" s="65">
        <v>159433.32759199999</v>
      </c>
      <c r="K156" s="67">
        <v>32</v>
      </c>
      <c r="L156" s="68">
        <v>1.1999999999999999E-3</v>
      </c>
      <c r="M156" s="68">
        <v>2.93E-2</v>
      </c>
      <c r="N156" s="149">
        <v>488512.77</v>
      </c>
      <c r="O156" s="71">
        <f>488512.77*C269</f>
        <v>666245928.54525006</v>
      </c>
      <c r="P156" s="66">
        <f t="shared" si="107"/>
        <v>3.6394320921146134E-4</v>
      </c>
      <c r="Q156" s="149">
        <v>117.2</v>
      </c>
      <c r="R156" s="65">
        <f>117.2*C269</f>
        <v>159840.29</v>
      </c>
      <c r="S156" s="65">
        <v>117.2</v>
      </c>
      <c r="T156" s="65">
        <f>117.2*C269</f>
        <v>159840.29</v>
      </c>
      <c r="U156" s="67">
        <v>32</v>
      </c>
      <c r="V156" s="68">
        <v>1.4E-3</v>
      </c>
      <c r="W156" s="68">
        <v>3.0800000000000001E-2</v>
      </c>
      <c r="X156" s="160">
        <f t="shared" ref="X156" si="112">((O156-E156)/E156)</f>
        <v>2.5703697770448129E-3</v>
      </c>
      <c r="Y156" s="160">
        <f t="shared" ref="Y156" si="113">((T156-J156)/J156)</f>
        <v>2.5525554421185004E-3</v>
      </c>
      <c r="Z156" s="160">
        <f t="shared" ref="Z156" si="114">((U156-K156)/K156)</f>
        <v>0</v>
      </c>
      <c r="AA156" s="160">
        <f t="shared" ref="AA156" si="115">V156-L156</f>
        <v>2.0000000000000009E-4</v>
      </c>
      <c r="AB156" s="161">
        <f t="shared" ref="AB156" si="116">W156-M156</f>
        <v>1.5000000000000013E-3</v>
      </c>
    </row>
    <row r="157" spans="1:30" ht="16.5" customHeight="1">
      <c r="A157" s="181">
        <v>140</v>
      </c>
      <c r="B157" s="59" t="s">
        <v>193</v>
      </c>
      <c r="C157" s="60" t="s">
        <v>49</v>
      </c>
      <c r="D157" s="164">
        <v>132765459.93000001</v>
      </c>
      <c r="E157" s="71">
        <v>182602958278.52344</v>
      </c>
      <c r="F157" s="66">
        <f t="shared" si="106"/>
        <v>9.9814886894478594E-2</v>
      </c>
      <c r="G157" s="149">
        <v>1.27559</v>
      </c>
      <c r="H157" s="65">
        <v>1754.4209742</v>
      </c>
      <c r="I157" s="149">
        <v>1.27559</v>
      </c>
      <c r="J157" s="65">
        <v>1754.4209742</v>
      </c>
      <c r="K157" s="67">
        <v>1043</v>
      </c>
      <c r="L157" s="68">
        <v>1E-3</v>
      </c>
      <c r="M157" s="68">
        <v>5.7799999999999997E-2</v>
      </c>
      <c r="N157" s="149">
        <v>131706252.55</v>
      </c>
      <c r="O157" s="71">
        <f>131706252.55*1362.63</f>
        <v>179466890912.20651</v>
      </c>
      <c r="P157" s="66">
        <f t="shared" si="107"/>
        <v>9.8035505250154156E-2</v>
      </c>
      <c r="Q157" s="149">
        <v>1.2798</v>
      </c>
      <c r="R157" s="65">
        <f>1.2798*1362.63</f>
        <v>1743.8938740000001</v>
      </c>
      <c r="S157" s="65">
        <v>1.2798</v>
      </c>
      <c r="T157" s="65">
        <f>1.2798*1362.63</f>
        <v>1743.8938740000001</v>
      </c>
      <c r="U157" s="67">
        <v>1051</v>
      </c>
      <c r="V157" s="68">
        <v>8.0000000000000004E-4</v>
      </c>
      <c r="W157" s="68">
        <v>5.8400000000000001E-2</v>
      </c>
      <c r="X157" s="160">
        <f t="shared" si="95"/>
        <v>-1.7174241840778374E-2</v>
      </c>
      <c r="Y157" s="160">
        <f t="shared" si="96"/>
        <v>-6.0003273757030925E-3</v>
      </c>
      <c r="Z157" s="160">
        <f t="shared" si="97"/>
        <v>7.6701821668264617E-3</v>
      </c>
      <c r="AA157" s="160">
        <f t="shared" si="98"/>
        <v>-1.9999999999999998E-4</v>
      </c>
      <c r="AB157" s="161">
        <f t="shared" si="99"/>
        <v>6.0000000000000331E-4</v>
      </c>
    </row>
    <row r="158" spans="1:30" ht="16.5" customHeight="1">
      <c r="A158" s="181">
        <v>141</v>
      </c>
      <c r="B158" s="59" t="s">
        <v>194</v>
      </c>
      <c r="C158" s="60" t="s">
        <v>107</v>
      </c>
      <c r="D158" s="164">
        <v>1577652.17</v>
      </c>
      <c r="E158" s="65">
        <v>2148068089.3000002</v>
      </c>
      <c r="F158" s="66">
        <f t="shared" si="106"/>
        <v>1.1741823648228138E-3</v>
      </c>
      <c r="G158" s="149">
        <v>116.33</v>
      </c>
      <c r="H158" s="65">
        <v>158390.26999999999</v>
      </c>
      <c r="I158" s="149">
        <v>116.33</v>
      </c>
      <c r="J158" s="65">
        <v>158390.26999999999</v>
      </c>
      <c r="K158" s="67">
        <v>35</v>
      </c>
      <c r="L158" s="68">
        <v>-2.3999999999999998E-3</v>
      </c>
      <c r="M158" s="68">
        <v>3.8600000000000002E-2</v>
      </c>
      <c r="N158" s="149">
        <v>1576001.25</v>
      </c>
      <c r="O158" s="65">
        <v>2147506588.6599998</v>
      </c>
      <c r="P158" s="66">
        <f t="shared" si="107"/>
        <v>1.1730960088360155E-3</v>
      </c>
      <c r="Q158" s="149">
        <v>116.21</v>
      </c>
      <c r="R158" s="65">
        <v>158351.23000000001</v>
      </c>
      <c r="S158" s="149">
        <v>116.21</v>
      </c>
      <c r="T158" s="65">
        <v>158351.23000000001</v>
      </c>
      <c r="U158" s="67">
        <v>28</v>
      </c>
      <c r="V158" s="68">
        <v>-1.1999999999999999E-3</v>
      </c>
      <c r="W158" s="68">
        <v>3.9199999999999999E-2</v>
      </c>
      <c r="X158" s="160">
        <f t="shared" si="95"/>
        <v>-2.6139797094761638E-4</v>
      </c>
      <c r="Y158" s="160">
        <f t="shared" si="96"/>
        <v>-2.4647978692112242E-4</v>
      </c>
      <c r="Z158" s="160">
        <f t="shared" si="97"/>
        <v>-0.2</v>
      </c>
      <c r="AA158" s="160">
        <f t="shared" si="98"/>
        <v>1.1999999999999999E-3</v>
      </c>
      <c r="AB158" s="161">
        <f t="shared" si="99"/>
        <v>5.9999999999999637E-4</v>
      </c>
    </row>
    <row r="159" spans="1:30" ht="16.5" customHeight="1">
      <c r="A159" s="178">
        <v>142</v>
      </c>
      <c r="B159" s="59" t="s">
        <v>195</v>
      </c>
      <c r="C159" s="60" t="s">
        <v>117</v>
      </c>
      <c r="D159" s="164">
        <v>4257414.18</v>
      </c>
      <c r="E159" s="65">
        <v>5799501962.1904135</v>
      </c>
      <c r="F159" s="66">
        <f t="shared" si="106"/>
        <v>3.1701383036598181E-3</v>
      </c>
      <c r="G159" s="149">
        <v>1.18</v>
      </c>
      <c r="H159" s="65">
        <v>1607.4105139999999</v>
      </c>
      <c r="I159" s="149">
        <v>1.18</v>
      </c>
      <c r="J159" s="65">
        <v>1607.4105139999999</v>
      </c>
      <c r="K159" s="67">
        <v>59</v>
      </c>
      <c r="L159" s="68">
        <v>2.4899999999999999E-2</v>
      </c>
      <c r="M159" s="68">
        <v>2.1700000000000001E-2</v>
      </c>
      <c r="N159" s="149">
        <v>4263086.29</v>
      </c>
      <c r="O159" s="65">
        <f>N159*C269</f>
        <v>5814103659.4592505</v>
      </c>
      <c r="P159" s="66">
        <f t="shared" si="107"/>
        <v>3.1760097193119078E-3</v>
      </c>
      <c r="Q159" s="149">
        <v>1.18</v>
      </c>
      <c r="R159" s="65">
        <f>Q159*C269</f>
        <v>1609.3135</v>
      </c>
      <c r="S159" s="65">
        <v>1.18</v>
      </c>
      <c r="T159" s="65">
        <f>S159*C269</f>
        <v>1609.3135</v>
      </c>
      <c r="U159" s="67">
        <v>59</v>
      </c>
      <c r="V159" s="68">
        <v>2.0799999999999999E-2</v>
      </c>
      <c r="W159" s="68">
        <v>2.06E-2</v>
      </c>
      <c r="X159" s="160">
        <f t="shared" ref="X159" si="117">((O159-E159)/E159)</f>
        <v>2.5177502075233475E-3</v>
      </c>
      <c r="Y159" s="160">
        <f t="shared" ref="Y159" si="118">((T159-J159)/J159)</f>
        <v>1.1838830114806972E-3</v>
      </c>
      <c r="Z159" s="160">
        <f t="shared" si="97"/>
        <v>0</v>
      </c>
      <c r="AA159" s="160">
        <f t="shared" si="98"/>
        <v>-4.0999999999999995E-3</v>
      </c>
      <c r="AB159" s="161">
        <f t="shared" si="99"/>
        <v>-1.1000000000000003E-3</v>
      </c>
    </row>
    <row r="160" spans="1:30">
      <c r="A160" s="178">
        <v>143</v>
      </c>
      <c r="B160" s="59" t="s">
        <v>196</v>
      </c>
      <c r="C160" s="60" t="s">
        <v>119</v>
      </c>
      <c r="D160" s="164">
        <v>1544184.54</v>
      </c>
      <c r="E160" s="65">
        <v>2103507173.857842</v>
      </c>
      <c r="F160" s="66">
        <f t="shared" si="106"/>
        <v>1.1498243654962685E-3</v>
      </c>
      <c r="G160" s="149">
        <v>1.53</v>
      </c>
      <c r="H160" s="65">
        <v>2084.1848190000001</v>
      </c>
      <c r="I160" s="149">
        <v>1.53</v>
      </c>
      <c r="J160" s="65">
        <v>2084.1848190000001</v>
      </c>
      <c r="K160" s="67">
        <v>147</v>
      </c>
      <c r="L160" s="68">
        <v>6.9999999999999999E-4</v>
      </c>
      <c r="M160" s="68">
        <v>2.9399999999999999E-2</v>
      </c>
      <c r="N160" s="149">
        <v>1590900.47</v>
      </c>
      <c r="O160" s="65">
        <f>1590900.47*C269</f>
        <v>2169709833.4977498</v>
      </c>
      <c r="P160" s="66">
        <f t="shared" si="107"/>
        <v>1.1852247436393978E-3</v>
      </c>
      <c r="Q160" s="149">
        <v>1.5</v>
      </c>
      <c r="R160" s="65">
        <f>1.5*C269</f>
        <v>2045.7375000000002</v>
      </c>
      <c r="S160" s="65">
        <v>1.5</v>
      </c>
      <c r="T160" s="65">
        <f>1.5*C269</f>
        <v>2045.7375000000002</v>
      </c>
      <c r="U160" s="67">
        <v>150</v>
      </c>
      <c r="V160" s="68">
        <v>-1.7899999999999999E-2</v>
      </c>
      <c r="W160" s="68">
        <v>1.1299999999999999E-2</v>
      </c>
      <c r="X160" s="160">
        <f t="shared" si="95"/>
        <v>3.14725143145064E-2</v>
      </c>
      <c r="Y160" s="160">
        <f t="shared" si="96"/>
        <v>-1.8447173518156154E-2</v>
      </c>
      <c r="Z160" s="160">
        <f t="shared" si="97"/>
        <v>2.0408163265306121E-2</v>
      </c>
      <c r="AA160" s="160">
        <f t="shared" si="98"/>
        <v>-1.8599999999999998E-2</v>
      </c>
      <c r="AB160" s="161">
        <f t="shared" si="99"/>
        <v>-1.8099999999999998E-2</v>
      </c>
    </row>
    <row r="161" spans="1:33">
      <c r="B161" s="74"/>
      <c r="C161" s="98" t="s">
        <v>52</v>
      </c>
      <c r="D161" s="89">
        <f>SUM(D121:D160)</f>
        <v>1338437986.2799387</v>
      </c>
      <c r="E161" s="89">
        <f>SUM(E121:E160)</f>
        <v>1829416071688.4446</v>
      </c>
      <c r="F161" s="77">
        <f>(E161/$E$238)</f>
        <v>0.2017927253194565</v>
      </c>
      <c r="G161" s="149"/>
      <c r="H161" s="78"/>
      <c r="I161" s="149">
        <v>0</v>
      </c>
      <c r="J161" s="83"/>
      <c r="K161" s="80">
        <f>SUM(K121:K160)</f>
        <v>32196</v>
      </c>
      <c r="L161" s="99"/>
      <c r="M161" s="99"/>
      <c r="N161" s="89">
        <f>SUM(N121:N160)</f>
        <v>1342392537.4633093</v>
      </c>
      <c r="O161" s="89">
        <f>SUM(O121:O160)</f>
        <v>1830631570207.8184</v>
      </c>
      <c r="P161" s="77">
        <f>(O161/$O$238)</f>
        <v>0.20112644143650754</v>
      </c>
      <c r="Q161" s="154"/>
      <c r="R161" s="78"/>
      <c r="S161" s="78"/>
      <c r="T161" s="83"/>
      <c r="U161" s="80">
        <f>SUM(U121:U160)</f>
        <v>32517</v>
      </c>
      <c r="V161" s="99"/>
      <c r="W161" s="99"/>
      <c r="X161" s="160">
        <f t="shared" si="95"/>
        <v>6.6441884827869962E-4</v>
      </c>
      <c r="Y161" s="160" t="e">
        <f t="shared" si="96"/>
        <v>#DIV/0!</v>
      </c>
      <c r="Z161" s="160">
        <f t="shared" si="97"/>
        <v>9.9701826313827804E-3</v>
      </c>
      <c r="AA161" s="160">
        <f t="shared" si="98"/>
        <v>0</v>
      </c>
      <c r="AB161" s="161">
        <f t="shared" si="99"/>
        <v>0</v>
      </c>
    </row>
    <row r="162" spans="1:33" ht="6" customHeight="1">
      <c r="B162" s="215"/>
      <c r="C162" s="215"/>
      <c r="D162" s="215"/>
      <c r="E162" s="215"/>
      <c r="F162" s="215"/>
      <c r="G162" s="215"/>
      <c r="H162" s="215"/>
      <c r="I162" s="215"/>
      <c r="J162" s="215"/>
      <c r="K162" s="215"/>
      <c r="L162" s="215"/>
      <c r="M162" s="215"/>
      <c r="N162" s="215"/>
      <c r="O162" s="215"/>
      <c r="P162" s="215"/>
      <c r="Q162" s="215"/>
      <c r="R162" s="215"/>
      <c r="S162" s="215"/>
      <c r="T162" s="215"/>
      <c r="U162" s="215"/>
      <c r="V162" s="215"/>
      <c r="W162" s="215"/>
      <c r="X162" s="215"/>
      <c r="Y162" s="215"/>
      <c r="Z162" s="215"/>
      <c r="AA162" s="215"/>
      <c r="AB162" s="215"/>
    </row>
    <row r="163" spans="1:33">
      <c r="A163" s="166"/>
      <c r="B163" s="217" t="s">
        <v>336</v>
      </c>
      <c r="C163" s="217"/>
      <c r="D163" s="217"/>
      <c r="E163" s="217"/>
      <c r="F163" s="217"/>
      <c r="G163" s="217"/>
      <c r="H163" s="217"/>
      <c r="I163" s="217"/>
      <c r="J163" s="217"/>
      <c r="K163" s="217"/>
      <c r="L163" s="217"/>
      <c r="M163" s="217"/>
      <c r="N163" s="217"/>
      <c r="O163" s="217"/>
      <c r="P163" s="217"/>
      <c r="Q163" s="217"/>
      <c r="R163" s="217"/>
      <c r="S163" s="217"/>
      <c r="T163" s="217"/>
      <c r="U163" s="217"/>
      <c r="V163" s="217"/>
      <c r="W163" s="217"/>
      <c r="X163" s="217"/>
      <c r="Y163" s="217"/>
      <c r="Z163" s="217"/>
      <c r="AA163" s="217"/>
      <c r="AB163" s="217"/>
    </row>
    <row r="164" spans="1:33">
      <c r="A164" s="178">
        <v>144</v>
      </c>
      <c r="B164" s="59" t="s">
        <v>197</v>
      </c>
      <c r="C164" s="60" t="s">
        <v>198</v>
      </c>
      <c r="D164" s="146" t="s">
        <v>329</v>
      </c>
      <c r="E164" s="100">
        <v>2559242472.1300001</v>
      </c>
      <c r="F164" s="66">
        <f>(E164/$E$170)</f>
        <v>5.0235423946289317E-3</v>
      </c>
      <c r="G164" s="146" t="s">
        <v>329</v>
      </c>
      <c r="H164" s="91">
        <v>120.61</v>
      </c>
      <c r="I164" s="146" t="s">
        <v>329</v>
      </c>
      <c r="J164" s="91">
        <v>120.61</v>
      </c>
      <c r="K164" s="67">
        <v>8</v>
      </c>
      <c r="L164" s="68">
        <v>5.3E-3</v>
      </c>
      <c r="M164" s="68">
        <v>0.1472</v>
      </c>
      <c r="N164" s="146" t="s">
        <v>329</v>
      </c>
      <c r="O164" s="100">
        <v>2572806457.23</v>
      </c>
      <c r="P164" s="66">
        <f>(O164/$O$170)</f>
        <v>5.0465974711610424E-3</v>
      </c>
      <c r="Q164" s="146" t="s">
        <v>329</v>
      </c>
      <c r="R164" s="91">
        <v>121.24</v>
      </c>
      <c r="S164" s="146" t="s">
        <v>329</v>
      </c>
      <c r="T164" s="91">
        <v>121.24</v>
      </c>
      <c r="U164" s="67">
        <v>8</v>
      </c>
      <c r="V164" s="68">
        <v>5.3E-3</v>
      </c>
      <c r="W164" s="68">
        <v>0.15329999999999999</v>
      </c>
      <c r="X164" s="160">
        <f t="shared" ref="X164:X170" si="119">((O164-E164)/E164)</f>
        <v>5.2999999991055575E-3</v>
      </c>
      <c r="Y164" s="160">
        <f>((T164-J164)/J164)</f>
        <v>5.223447475333683E-3</v>
      </c>
      <c r="Z164" s="160">
        <f>((U164-K164)/K164)</f>
        <v>0</v>
      </c>
      <c r="AA164" s="160">
        <f>V164-L164</f>
        <v>0</v>
      </c>
      <c r="AB164" s="161">
        <f>W164-M164</f>
        <v>6.0999999999999943E-3</v>
      </c>
    </row>
    <row r="165" spans="1:33">
      <c r="A165" s="178">
        <v>145</v>
      </c>
      <c r="B165" s="59" t="s">
        <v>199</v>
      </c>
      <c r="C165" s="60" t="s">
        <v>23</v>
      </c>
      <c r="D165" s="146" t="s">
        <v>329</v>
      </c>
      <c r="E165" s="100">
        <v>264902196552.29999</v>
      </c>
      <c r="F165" s="66">
        <v>0</v>
      </c>
      <c r="G165" s="146" t="s">
        <v>329</v>
      </c>
      <c r="H165" s="91">
        <v>105.9609</v>
      </c>
      <c r="I165" s="146" t="s">
        <v>329</v>
      </c>
      <c r="J165" s="91">
        <v>105.9609</v>
      </c>
      <c r="K165" s="67">
        <v>45</v>
      </c>
      <c r="L165" s="68">
        <v>0.1898</v>
      </c>
      <c r="M165" s="68">
        <v>0.1139</v>
      </c>
      <c r="N165" s="146" t="s">
        <v>329</v>
      </c>
      <c r="O165" s="100">
        <v>265231197804.54999</v>
      </c>
      <c r="P165" s="66">
        <f t="shared" ref="P165:P169" si="120">(O165/$O$170)</f>
        <v>0.52025487123293446</v>
      </c>
      <c r="Q165" s="146" t="s">
        <v>329</v>
      </c>
      <c r="R165" s="91">
        <v>106.0925</v>
      </c>
      <c r="S165" s="146" t="s">
        <v>329</v>
      </c>
      <c r="T165" s="91">
        <v>106.0925</v>
      </c>
      <c r="U165" s="67">
        <v>45</v>
      </c>
      <c r="V165" s="68">
        <v>6.4799999999999996E-2</v>
      </c>
      <c r="W165" s="68">
        <v>0.1119</v>
      </c>
      <c r="X165" s="160">
        <f t="shared" ref="X165" si="121">((O165-E165)/E165)</f>
        <v>1.241972533757548E-3</v>
      </c>
      <c r="Y165" s="160">
        <f t="shared" ref="Y165" si="122">((T165-J165)/J165)</f>
        <v>1.2419675559570175E-3</v>
      </c>
      <c r="Z165" s="160">
        <f t="shared" ref="Z165" si="123">((U165-K165)/K165)</f>
        <v>0</v>
      </c>
      <c r="AA165" s="160">
        <f t="shared" ref="AA165" si="124">V165-L165</f>
        <v>-0.125</v>
      </c>
      <c r="AB165" s="161">
        <f t="shared" ref="AB165" si="125">W165-M165</f>
        <v>-2.0000000000000018E-3</v>
      </c>
    </row>
    <row r="166" spans="1:33">
      <c r="A166" s="178">
        <v>146</v>
      </c>
      <c r="B166" s="59" t="s">
        <v>200</v>
      </c>
      <c r="C166" s="60" t="s">
        <v>44</v>
      </c>
      <c r="D166" s="146" t="s">
        <v>329</v>
      </c>
      <c r="E166" s="71">
        <v>170647847866</v>
      </c>
      <c r="F166" s="66">
        <f>(E166/$E$170)</f>
        <v>0.33496501704801884</v>
      </c>
      <c r="G166" s="146" t="s">
        <v>329</v>
      </c>
      <c r="H166" s="91">
        <v>103</v>
      </c>
      <c r="I166" s="146" t="s">
        <v>329</v>
      </c>
      <c r="J166" s="91">
        <v>103</v>
      </c>
      <c r="K166" s="67">
        <v>1361</v>
      </c>
      <c r="L166" s="68">
        <v>0</v>
      </c>
      <c r="M166" s="68">
        <v>0</v>
      </c>
      <c r="N166" s="146" t="s">
        <v>329</v>
      </c>
      <c r="O166" s="71">
        <v>170647847866</v>
      </c>
      <c r="P166" s="66">
        <f t="shared" si="120"/>
        <v>0.3347282478553894</v>
      </c>
      <c r="Q166" s="146" t="s">
        <v>329</v>
      </c>
      <c r="R166" s="91">
        <v>103</v>
      </c>
      <c r="S166" s="146" t="s">
        <v>329</v>
      </c>
      <c r="T166" s="91">
        <v>103</v>
      </c>
      <c r="U166" s="67">
        <v>1509</v>
      </c>
      <c r="V166" s="68">
        <v>0</v>
      </c>
      <c r="W166" s="68">
        <v>0</v>
      </c>
      <c r="X166" s="160">
        <f t="shared" si="119"/>
        <v>0</v>
      </c>
      <c r="Y166" s="160">
        <f t="shared" ref="Y166:Z170" si="126">((T166-J166)/J166)</f>
        <v>0</v>
      </c>
      <c r="Z166" s="160">
        <f t="shared" si="126"/>
        <v>0.10874357090374724</v>
      </c>
      <c r="AA166" s="160">
        <f t="shared" ref="AA166:AB170" si="127">V166-L166</f>
        <v>0</v>
      </c>
      <c r="AB166" s="161">
        <f t="shared" si="127"/>
        <v>0</v>
      </c>
    </row>
    <row r="167" spans="1:33" ht="15.75" customHeight="1">
      <c r="A167" s="178">
        <v>147</v>
      </c>
      <c r="B167" s="59" t="s">
        <v>202</v>
      </c>
      <c r="C167" s="60" t="s">
        <v>152</v>
      </c>
      <c r="D167" s="146" t="s">
        <v>329</v>
      </c>
      <c r="E167" s="71">
        <v>6101478942.0600004</v>
      </c>
      <c r="F167" s="66">
        <f>(E167/$E$170)</f>
        <v>1.1976605760947662E-2</v>
      </c>
      <c r="G167" s="146" t="s">
        <v>329</v>
      </c>
      <c r="H167" s="91">
        <v>418.75</v>
      </c>
      <c r="I167" s="146" t="s">
        <v>329</v>
      </c>
      <c r="J167" s="91">
        <v>418.75</v>
      </c>
      <c r="K167" s="67">
        <v>5533</v>
      </c>
      <c r="L167" s="68">
        <v>2.3999999999999998E-3</v>
      </c>
      <c r="M167" s="68">
        <v>1.7299999999999999E-2</v>
      </c>
      <c r="N167" s="146" t="s">
        <v>329</v>
      </c>
      <c r="O167" s="71">
        <v>6105258025.9399996</v>
      </c>
      <c r="P167" s="66">
        <f t="shared" si="120"/>
        <v>1.1975552855097674E-2</v>
      </c>
      <c r="Q167" s="146" t="s">
        <v>329</v>
      </c>
      <c r="R167" s="91">
        <v>418.75</v>
      </c>
      <c r="S167" s="146" t="s">
        <v>329</v>
      </c>
      <c r="T167" s="91">
        <v>418.75</v>
      </c>
      <c r="U167" s="67">
        <v>5533</v>
      </c>
      <c r="V167" s="68">
        <v>4.1399999999999999E-2</v>
      </c>
      <c r="W167" s="68">
        <v>1.7000000000000001E-2</v>
      </c>
      <c r="X167" s="160">
        <f t="shared" si="119"/>
        <v>6.1937178115102284E-4</v>
      </c>
      <c r="Y167" s="160">
        <f t="shared" si="126"/>
        <v>0</v>
      </c>
      <c r="Z167" s="160">
        <f t="shared" si="126"/>
        <v>0</v>
      </c>
      <c r="AA167" s="160">
        <f t="shared" si="127"/>
        <v>3.9E-2</v>
      </c>
      <c r="AB167" s="161">
        <f t="shared" si="127"/>
        <v>-2.9999999999999818E-4</v>
      </c>
    </row>
    <row r="168" spans="1:33">
      <c r="A168" s="178">
        <v>148</v>
      </c>
      <c r="B168" s="59" t="s">
        <v>201</v>
      </c>
      <c r="C168" s="60" t="s">
        <v>152</v>
      </c>
      <c r="D168" s="146" t="s">
        <v>329</v>
      </c>
      <c r="E168" s="71">
        <v>28423103564.91</v>
      </c>
      <c r="F168" s="66">
        <f>(E168/$E$170)</f>
        <v>5.579176936150862E-2</v>
      </c>
      <c r="G168" s="146" t="s">
        <v>329</v>
      </c>
      <c r="H168" s="91">
        <v>84.7</v>
      </c>
      <c r="I168" s="146" t="s">
        <v>329</v>
      </c>
      <c r="J168" s="91">
        <v>84.7</v>
      </c>
      <c r="K168" s="67">
        <v>8119</v>
      </c>
      <c r="L168" s="68">
        <v>1.67E-2</v>
      </c>
      <c r="M168" s="68">
        <v>5.45E-2</v>
      </c>
      <c r="N168" s="146" t="s">
        <v>329</v>
      </c>
      <c r="O168" s="71">
        <v>28437117263.540001</v>
      </c>
      <c r="P168" s="66">
        <f t="shared" si="120"/>
        <v>5.5779821162218739E-2</v>
      </c>
      <c r="Q168" s="146" t="s">
        <v>329</v>
      </c>
      <c r="R168" s="91">
        <v>70</v>
      </c>
      <c r="S168" s="146" t="s">
        <v>329</v>
      </c>
      <c r="T168" s="91">
        <v>70</v>
      </c>
      <c r="U168" s="67">
        <v>8119</v>
      </c>
      <c r="V168" s="68">
        <v>3.7400000000000003E-2</v>
      </c>
      <c r="W168" s="68">
        <v>6.5199999999999994E-2</v>
      </c>
      <c r="X168" s="160">
        <f t="shared" si="119"/>
        <v>4.9303900251420143E-4</v>
      </c>
      <c r="Y168" s="160">
        <f t="shared" si="126"/>
        <v>-0.1735537190082645</v>
      </c>
      <c r="Z168" s="160">
        <f t="shared" si="126"/>
        <v>0</v>
      </c>
      <c r="AA168" s="160">
        <f t="shared" si="127"/>
        <v>2.0700000000000003E-2</v>
      </c>
      <c r="AB168" s="161">
        <f t="shared" si="127"/>
        <v>1.0699999999999994E-2</v>
      </c>
    </row>
    <row r="169" spans="1:33">
      <c r="A169" s="178">
        <v>149</v>
      </c>
      <c r="B169" s="59" t="s">
        <v>299</v>
      </c>
      <c r="C169" s="60" t="s">
        <v>152</v>
      </c>
      <c r="D169" s="146" t="s">
        <v>329</v>
      </c>
      <c r="E169" s="71">
        <v>36815891565.360001</v>
      </c>
      <c r="F169" s="66">
        <f>(E169/$E$170)</f>
        <v>7.2265990459560128E-2</v>
      </c>
      <c r="G169" s="146" t="s">
        <v>329</v>
      </c>
      <c r="H169" s="91">
        <v>10.1</v>
      </c>
      <c r="I169" s="146" t="s">
        <v>329</v>
      </c>
      <c r="J169" s="91">
        <v>10.1</v>
      </c>
      <c r="K169" s="67">
        <v>215231</v>
      </c>
      <c r="L169" s="68">
        <v>0</v>
      </c>
      <c r="M169" s="68">
        <v>0</v>
      </c>
      <c r="N169" s="146" t="s">
        <v>329</v>
      </c>
      <c r="O169" s="71">
        <v>36815891565.360001</v>
      </c>
      <c r="P169" s="66">
        <f t="shared" si="120"/>
        <v>7.2214909423198595E-2</v>
      </c>
      <c r="Q169" s="146" t="s">
        <v>329</v>
      </c>
      <c r="R169" s="91">
        <v>11</v>
      </c>
      <c r="S169" s="146" t="s">
        <v>329</v>
      </c>
      <c r="T169" s="91">
        <v>11</v>
      </c>
      <c r="U169" s="67">
        <v>215231</v>
      </c>
      <c r="V169" s="68">
        <v>0</v>
      </c>
      <c r="W169" s="68">
        <v>0</v>
      </c>
      <c r="X169" s="160">
        <f t="shared" si="119"/>
        <v>0</v>
      </c>
      <c r="Y169" s="160">
        <f t="shared" si="126"/>
        <v>8.9108910891089146E-2</v>
      </c>
      <c r="Z169" s="160">
        <f t="shared" si="126"/>
        <v>0</v>
      </c>
      <c r="AA169" s="160">
        <f t="shared" si="127"/>
        <v>0</v>
      </c>
      <c r="AB169" s="161">
        <f t="shared" si="127"/>
        <v>0</v>
      </c>
    </row>
    <row r="170" spans="1:33">
      <c r="B170" s="101"/>
      <c r="C170" s="75" t="s">
        <v>52</v>
      </c>
      <c r="D170" s="120" t="s">
        <v>329</v>
      </c>
      <c r="E170" s="76">
        <f>SUM(E164:E169)</f>
        <v>509449760962.75995</v>
      </c>
      <c r="F170" s="77">
        <f>(E170/$E$238)</f>
        <v>5.6194573377252324E-2</v>
      </c>
      <c r="G170" s="146"/>
      <c r="H170" s="78"/>
      <c r="I170" s="78"/>
      <c r="J170" s="102"/>
      <c r="K170" s="80">
        <f>SUM(K164:K169)</f>
        <v>230297</v>
      </c>
      <c r="L170" s="103"/>
      <c r="M170" s="103"/>
      <c r="N170" s="146"/>
      <c r="O170" s="76">
        <f>SUM(O164:O169)</f>
        <v>509810118982.62</v>
      </c>
      <c r="P170" s="77">
        <f>(O170/$O$238)</f>
        <v>5.6011431632666892E-2</v>
      </c>
      <c r="Q170" s="148"/>
      <c r="R170" s="78"/>
      <c r="S170" s="78"/>
      <c r="T170" s="102"/>
      <c r="U170" s="80">
        <f>SUM(U164:U169)</f>
        <v>230445</v>
      </c>
      <c r="V170" s="103"/>
      <c r="W170" s="103"/>
      <c r="X170" s="160">
        <f t="shared" si="119"/>
        <v>7.0734750994688961E-4</v>
      </c>
      <c r="Y170" s="160" t="e">
        <f t="shared" si="126"/>
        <v>#DIV/0!</v>
      </c>
      <c r="Z170" s="160">
        <f t="shared" si="126"/>
        <v>6.4264840618853051E-4</v>
      </c>
      <c r="AA170" s="160">
        <f t="shared" si="127"/>
        <v>0</v>
      </c>
      <c r="AB170" s="161">
        <f t="shared" si="127"/>
        <v>0</v>
      </c>
    </row>
    <row r="171" spans="1:33" ht="5.25" customHeight="1">
      <c r="B171" s="215"/>
      <c r="C171" s="215"/>
      <c r="D171" s="215"/>
      <c r="E171" s="215"/>
      <c r="F171" s="215"/>
      <c r="G171" s="215"/>
      <c r="H171" s="215"/>
      <c r="I171" s="215"/>
      <c r="J171" s="215"/>
      <c r="K171" s="215"/>
      <c r="L171" s="215"/>
      <c r="M171" s="215"/>
      <c r="N171" s="215"/>
      <c r="O171" s="215"/>
      <c r="P171" s="215"/>
      <c r="Q171" s="215"/>
      <c r="R171" s="215"/>
      <c r="S171" s="215"/>
      <c r="T171" s="215"/>
      <c r="U171" s="215"/>
      <c r="V171" s="215"/>
      <c r="W171" s="215"/>
      <c r="X171" s="215"/>
      <c r="Y171" s="215"/>
      <c r="Z171" s="215"/>
      <c r="AA171" s="215"/>
      <c r="AB171" s="215"/>
    </row>
    <row r="172" spans="1:33" ht="15" customHeight="1">
      <c r="A172" s="166"/>
      <c r="B172" s="217" t="s">
        <v>203</v>
      </c>
      <c r="C172" s="217"/>
      <c r="D172" s="217"/>
      <c r="E172" s="217"/>
      <c r="F172" s="217"/>
      <c r="G172" s="217"/>
      <c r="H172" s="217"/>
      <c r="I172" s="217"/>
      <c r="J172" s="217"/>
      <c r="K172" s="217"/>
      <c r="L172" s="217"/>
      <c r="M172" s="217"/>
      <c r="N172" s="217"/>
      <c r="O172" s="217"/>
      <c r="P172" s="217"/>
      <c r="Q172" s="217"/>
      <c r="R172" s="217"/>
      <c r="S172" s="217"/>
      <c r="T172" s="217"/>
      <c r="U172" s="217"/>
      <c r="V172" s="217"/>
      <c r="W172" s="217"/>
      <c r="X172" s="217"/>
      <c r="Y172" s="217"/>
      <c r="Z172" s="217"/>
      <c r="AA172" s="217"/>
      <c r="AB172" s="217"/>
    </row>
    <row r="173" spans="1:33" ht="13.8" customHeight="1">
      <c r="A173" s="178">
        <v>150</v>
      </c>
      <c r="B173" s="59" t="s">
        <v>204</v>
      </c>
      <c r="C173" s="60" t="s">
        <v>56</v>
      </c>
      <c r="D173" s="146" t="s">
        <v>329</v>
      </c>
      <c r="E173" s="65">
        <v>1027315683.15</v>
      </c>
      <c r="F173" s="66">
        <f t="shared" ref="F173:F200" si="128">(E173/$E$203)</f>
        <v>6.5104614021479126E-3</v>
      </c>
      <c r="G173" s="146" t="s">
        <v>329</v>
      </c>
      <c r="H173" s="65">
        <v>9.65</v>
      </c>
      <c r="I173" s="146" t="s">
        <v>329</v>
      </c>
      <c r="J173" s="65">
        <v>9.83</v>
      </c>
      <c r="K173" s="63">
        <v>12000</v>
      </c>
      <c r="L173" s="64">
        <v>-1.3937E-2</v>
      </c>
      <c r="M173" s="64">
        <v>0.23063900000000001</v>
      </c>
      <c r="N173" s="146" t="s">
        <v>329</v>
      </c>
      <c r="O173" s="65">
        <v>1035937541.84</v>
      </c>
      <c r="P173" s="88">
        <f t="shared" ref="P173:P200" si="129">(O173/$O$203)</f>
        <v>6.5714041338865402E-3</v>
      </c>
      <c r="Q173" s="146" t="s">
        <v>329</v>
      </c>
      <c r="R173" s="65">
        <v>9.69</v>
      </c>
      <c r="S173" s="146" t="s">
        <v>329</v>
      </c>
      <c r="T173" s="65">
        <v>9.8800000000000008</v>
      </c>
      <c r="U173" s="63">
        <v>12002</v>
      </c>
      <c r="V173" s="64">
        <v>4.2209999999999999E-3</v>
      </c>
      <c r="W173" s="64">
        <v>0.23486000000000001</v>
      </c>
      <c r="X173" s="160">
        <f>((O173-E173)/E173)</f>
        <v>8.3926088459618763E-3</v>
      </c>
      <c r="Y173" s="160">
        <f t="shared" ref="Y173:Z176" si="130">((T173-J173)/J173)</f>
        <v>5.0864699898271323E-3</v>
      </c>
      <c r="Z173" s="160">
        <f t="shared" si="130"/>
        <v>1.6666666666666666E-4</v>
      </c>
      <c r="AA173" s="160">
        <f t="shared" ref="AA173:AB176" si="131">V173-L173</f>
        <v>1.8158000000000001E-2</v>
      </c>
      <c r="AB173" s="161">
        <f t="shared" si="131"/>
        <v>4.2210000000000025E-3</v>
      </c>
      <c r="AD173" s="41"/>
    </row>
    <row r="174" spans="1:33" ht="14.4" customHeight="1">
      <c r="A174" s="178">
        <v>151</v>
      </c>
      <c r="B174" s="59" t="s">
        <v>205</v>
      </c>
      <c r="C174" s="59" t="s">
        <v>206</v>
      </c>
      <c r="D174" s="146" t="s">
        <v>329</v>
      </c>
      <c r="E174" s="65">
        <v>3124907983.4099998</v>
      </c>
      <c r="F174" s="66">
        <f t="shared" si="128"/>
        <v>1.9803642779864121E-2</v>
      </c>
      <c r="G174" s="146" t="s">
        <v>329</v>
      </c>
      <c r="H174" s="65">
        <v>3033.24</v>
      </c>
      <c r="I174" s="146" t="s">
        <v>329</v>
      </c>
      <c r="J174" s="65">
        <v>3053.81</v>
      </c>
      <c r="K174" s="63">
        <v>249</v>
      </c>
      <c r="L174" s="64">
        <v>-7.3000000000000001E-3</v>
      </c>
      <c r="M174" s="64">
        <v>0.38059999999999999</v>
      </c>
      <c r="N174" s="146" t="s">
        <v>329</v>
      </c>
      <c r="O174" s="65">
        <v>2987957069.3299999</v>
      </c>
      <c r="P174" s="88">
        <f t="shared" si="129"/>
        <v>1.8953916277998254E-2</v>
      </c>
      <c r="Q174" s="146" t="s">
        <v>329</v>
      </c>
      <c r="R174" s="65">
        <v>3059.8</v>
      </c>
      <c r="S174" s="146" t="s">
        <v>329</v>
      </c>
      <c r="T174" s="65">
        <v>3081.89</v>
      </c>
      <c r="U174" s="63">
        <v>247</v>
      </c>
      <c r="V174" s="64">
        <v>1.6000000000000001E-3</v>
      </c>
      <c r="W174" s="64">
        <v>0.3931</v>
      </c>
      <c r="X174" s="160">
        <f>((O174-E174)/E174)</f>
        <v>-4.3825582963423676E-2</v>
      </c>
      <c r="Y174" s="160">
        <f t="shared" si="130"/>
        <v>9.1950710751487249E-3</v>
      </c>
      <c r="Z174" s="160">
        <f t="shared" si="130"/>
        <v>-8.0321285140562242E-3</v>
      </c>
      <c r="AA174" s="160">
        <f t="shared" si="131"/>
        <v>8.8999999999999999E-3</v>
      </c>
      <c r="AB174" s="161">
        <f t="shared" si="131"/>
        <v>1.2500000000000011E-2</v>
      </c>
      <c r="AD174" s="50"/>
      <c r="AE174" s="50"/>
    </row>
    <row r="175" spans="1:33" ht="14.4" customHeight="1">
      <c r="A175" s="178">
        <v>152</v>
      </c>
      <c r="B175" s="59" t="s">
        <v>207</v>
      </c>
      <c r="C175" s="60" t="s">
        <v>23</v>
      </c>
      <c r="D175" s="146" t="s">
        <v>329</v>
      </c>
      <c r="E175" s="65">
        <v>16141255768.639999</v>
      </c>
      <c r="F175" s="66">
        <f t="shared" si="128"/>
        <v>0.1022928242871808</v>
      </c>
      <c r="G175" s="146" t="s">
        <v>329</v>
      </c>
      <c r="H175" s="65">
        <v>1402.7714000000001</v>
      </c>
      <c r="I175" s="146" t="s">
        <v>329</v>
      </c>
      <c r="J175" s="65">
        <v>1445.066</v>
      </c>
      <c r="K175" s="63">
        <v>23445</v>
      </c>
      <c r="L175" s="64">
        <v>-0.77459999999999996</v>
      </c>
      <c r="M175" s="64">
        <v>0.77100000000000002</v>
      </c>
      <c r="N175" s="146" t="s">
        <v>329</v>
      </c>
      <c r="O175" s="65">
        <v>16266163829.83</v>
      </c>
      <c r="P175" s="88">
        <f t="shared" si="129"/>
        <v>0.10318337922570424</v>
      </c>
      <c r="Q175" s="146" t="s">
        <v>329</v>
      </c>
      <c r="R175" s="65">
        <v>1410.1747</v>
      </c>
      <c r="S175" s="146" t="s">
        <v>329</v>
      </c>
      <c r="T175" s="65">
        <v>1452.0630799999999</v>
      </c>
      <c r="U175" s="63">
        <v>23484</v>
      </c>
      <c r="V175" s="64">
        <v>4.7999999999999996E-3</v>
      </c>
      <c r="W175" s="64">
        <v>0.33600000000000002</v>
      </c>
      <c r="X175" s="160">
        <f t="shared" ref="X175:X200" si="132">((O175-E175)/E175)</f>
        <v>7.7384351614499455E-3</v>
      </c>
      <c r="Y175" s="160">
        <f t="shared" si="130"/>
        <v>4.8420487368742108E-3</v>
      </c>
      <c r="Z175" s="160">
        <f t="shared" si="130"/>
        <v>1.6634676903390915E-3</v>
      </c>
      <c r="AA175" s="160">
        <f t="shared" si="131"/>
        <v>0.77939999999999998</v>
      </c>
      <c r="AB175" s="161">
        <f t="shared" si="131"/>
        <v>-0.435</v>
      </c>
      <c r="AD175" s="51"/>
      <c r="AE175" s="41"/>
    </row>
    <row r="176" spans="1:33" ht="16.2" customHeight="1">
      <c r="A176" s="178">
        <v>153</v>
      </c>
      <c r="B176" s="59" t="s">
        <v>208</v>
      </c>
      <c r="C176" s="60" t="s">
        <v>128</v>
      </c>
      <c r="D176" s="146" t="s">
        <v>329</v>
      </c>
      <c r="E176" s="71">
        <v>3774727047.46</v>
      </c>
      <c r="F176" s="66">
        <f t="shared" si="128"/>
        <v>2.3921775116659848E-2</v>
      </c>
      <c r="G176" s="146" t="s">
        <v>329</v>
      </c>
      <c r="H176" s="65">
        <v>9.0540000000000003</v>
      </c>
      <c r="I176" s="146" t="s">
        <v>329</v>
      </c>
      <c r="J176" s="65">
        <v>9.1710999999999991</v>
      </c>
      <c r="K176" s="67">
        <v>2737</v>
      </c>
      <c r="L176" s="68">
        <v>2.9899999999999999E-2</v>
      </c>
      <c r="M176" s="68">
        <v>0.5323</v>
      </c>
      <c r="N176" s="146" t="s">
        <v>329</v>
      </c>
      <c r="O176" s="71">
        <v>3752337170.71</v>
      </c>
      <c r="P176" s="88">
        <f t="shared" si="129"/>
        <v>2.3802713000962226E-2</v>
      </c>
      <c r="Q176" s="146" t="s">
        <v>329</v>
      </c>
      <c r="R176" s="65">
        <v>8.8841999999999999</v>
      </c>
      <c r="S176" s="146" t="s">
        <v>329</v>
      </c>
      <c r="T176" s="65">
        <v>9.1164000000000005</v>
      </c>
      <c r="U176" s="67">
        <v>2741</v>
      </c>
      <c r="V176" s="68">
        <v>-6.0000000000000001E-3</v>
      </c>
      <c r="W176" s="68">
        <v>0.48370000000000002</v>
      </c>
      <c r="X176" s="160">
        <f t="shared" si="132"/>
        <v>-5.9315220593409703E-3</v>
      </c>
      <c r="Y176" s="160">
        <f t="shared" si="130"/>
        <v>-5.9643881322849653E-3</v>
      </c>
      <c r="Z176" s="160">
        <f t="shared" si="130"/>
        <v>1.4614541468761417E-3</v>
      </c>
      <c r="AA176" s="160">
        <f t="shared" si="131"/>
        <v>-3.5900000000000001E-2</v>
      </c>
      <c r="AB176" s="161">
        <f t="shared" si="131"/>
        <v>-4.8599999999999977E-2</v>
      </c>
      <c r="AC176" s="41"/>
      <c r="AD176" s="41"/>
      <c r="AE176" s="41"/>
      <c r="AG176" s="50"/>
    </row>
    <row r="177" spans="1:33" ht="15.6" customHeight="1">
      <c r="A177" s="178">
        <v>154</v>
      </c>
      <c r="B177" s="59" t="s">
        <v>209</v>
      </c>
      <c r="C177" s="60" t="s">
        <v>27</v>
      </c>
      <c r="D177" s="146" t="s">
        <v>329</v>
      </c>
      <c r="E177" s="71">
        <v>3805020749.8200002</v>
      </c>
      <c r="F177" s="66">
        <f t="shared" si="128"/>
        <v>2.4113756980830552E-2</v>
      </c>
      <c r="G177" s="146" t="s">
        <v>329</v>
      </c>
      <c r="H177" s="65">
        <v>1.7830999999999999</v>
      </c>
      <c r="I177" s="146" t="s">
        <v>329</v>
      </c>
      <c r="J177" s="65">
        <v>1.7961</v>
      </c>
      <c r="K177" s="67">
        <v>703</v>
      </c>
      <c r="L177" s="68">
        <v>-1.3899999999999999E-2</v>
      </c>
      <c r="M177" s="68">
        <v>0.4335</v>
      </c>
      <c r="N177" s="146" t="s">
        <v>329</v>
      </c>
      <c r="O177" s="71">
        <v>4090760358.0999999</v>
      </c>
      <c r="P177" s="88">
        <f t="shared" si="129"/>
        <v>2.5949479039257987E-2</v>
      </c>
      <c r="Q177" s="146" t="s">
        <v>329</v>
      </c>
      <c r="R177" s="65">
        <v>1.7803</v>
      </c>
      <c r="S177" s="146" t="s">
        <v>329</v>
      </c>
      <c r="T177" s="65">
        <v>1.7926</v>
      </c>
      <c r="U177" s="67">
        <v>732</v>
      </c>
      <c r="V177" s="68">
        <v>-1.8E-3</v>
      </c>
      <c r="W177" s="68">
        <v>0.43099999999999999</v>
      </c>
      <c r="X177" s="160">
        <f t="shared" ref="X177" si="133">((O177-E177)/E177)</f>
        <v>7.5095413945775957E-2</v>
      </c>
      <c r="Y177" s="160">
        <f t="shared" ref="Y177" si="134">((T177-J177)/J177)</f>
        <v>-1.9486665553143246E-3</v>
      </c>
      <c r="Z177" s="160">
        <f t="shared" ref="Z177" si="135">((U177-K177)/K177)</f>
        <v>4.1251778093883355E-2</v>
      </c>
      <c r="AA177" s="160">
        <f t="shared" ref="AA177" si="136">V177-L177</f>
        <v>1.21E-2</v>
      </c>
      <c r="AB177" s="161">
        <f t="shared" ref="AB177" si="137">W177-M177</f>
        <v>-2.5000000000000022E-3</v>
      </c>
      <c r="AD177" s="50"/>
      <c r="AE177" s="50"/>
    </row>
    <row r="178" spans="1:33" ht="16.2" customHeight="1">
      <c r="A178" s="178">
        <v>155</v>
      </c>
      <c r="B178" s="59" t="s">
        <v>210</v>
      </c>
      <c r="C178" s="60" t="s">
        <v>67</v>
      </c>
      <c r="D178" s="146" t="s">
        <v>329</v>
      </c>
      <c r="E178" s="65">
        <v>11820855505.01</v>
      </c>
      <c r="F178" s="66">
        <f t="shared" si="128"/>
        <v>7.4912925761786833E-2</v>
      </c>
      <c r="G178" s="146" t="s">
        <v>329</v>
      </c>
      <c r="H178" s="65">
        <v>14619.36</v>
      </c>
      <c r="I178" s="146" t="s">
        <v>329</v>
      </c>
      <c r="J178" s="65">
        <v>14720.06</v>
      </c>
      <c r="K178" s="67">
        <v>1682</v>
      </c>
      <c r="L178" s="68">
        <v>-0.39410000000000001</v>
      </c>
      <c r="M178" s="68">
        <v>0.72299999999999998</v>
      </c>
      <c r="N178" s="146" t="s">
        <v>329</v>
      </c>
      <c r="O178" s="65">
        <v>11669971441.030001</v>
      </c>
      <c r="P178" s="88">
        <f t="shared" si="129"/>
        <v>7.40277241364488E-2</v>
      </c>
      <c r="Q178" s="146" t="s">
        <v>329</v>
      </c>
      <c r="R178" s="65">
        <v>14575.85</v>
      </c>
      <c r="S178" s="146" t="s">
        <v>329</v>
      </c>
      <c r="T178" s="65">
        <v>14676.64</v>
      </c>
      <c r="U178" s="67">
        <v>1677</v>
      </c>
      <c r="V178" s="68">
        <v>-0.1552</v>
      </c>
      <c r="W178" s="68">
        <v>0.68330000000000002</v>
      </c>
      <c r="X178" s="160">
        <f t="shared" si="132"/>
        <v>-1.2764225390966904E-2</v>
      </c>
      <c r="Y178" s="160">
        <f t="shared" ref="Y178:Y190" si="138">((T178-J178)/J178)</f>
        <v>-2.949716237569689E-3</v>
      </c>
      <c r="Z178" s="160">
        <f t="shared" ref="Z178:Z190" si="139">((U178-K178)/K178)</f>
        <v>-2.972651605231867E-3</v>
      </c>
      <c r="AA178" s="160">
        <f t="shared" ref="AA178:AA190" si="140">V178-L178</f>
        <v>0.2389</v>
      </c>
      <c r="AB178" s="161">
        <f t="shared" ref="AB178:AB190" si="141">W178-M178</f>
        <v>-3.9699999999999958E-2</v>
      </c>
      <c r="AD178" s="41"/>
      <c r="AE178" s="41"/>
      <c r="AG178" s="50"/>
    </row>
    <row r="179" spans="1:33" ht="16.2" customHeight="1">
      <c r="A179" s="178">
        <v>156</v>
      </c>
      <c r="B179" s="59" t="s">
        <v>211</v>
      </c>
      <c r="C179" s="60" t="s">
        <v>69</v>
      </c>
      <c r="D179" s="146" t="s">
        <v>329</v>
      </c>
      <c r="E179" s="65">
        <v>2838172901.5</v>
      </c>
      <c r="F179" s="66">
        <f t="shared" si="128"/>
        <v>1.798650155050726E-2</v>
      </c>
      <c r="G179" s="146" t="s">
        <v>329</v>
      </c>
      <c r="H179" s="65">
        <v>299.18</v>
      </c>
      <c r="I179" s="146" t="s">
        <v>329</v>
      </c>
      <c r="J179" s="65">
        <v>301.33999999999997</v>
      </c>
      <c r="K179" s="67">
        <v>508</v>
      </c>
      <c r="L179" s="68">
        <v>-9.1999999999999998E-3</v>
      </c>
      <c r="M179" s="68">
        <v>0.33660000000000001</v>
      </c>
      <c r="N179" s="146" t="s">
        <v>329</v>
      </c>
      <c r="O179" s="65">
        <v>3090542845.5799999</v>
      </c>
      <c r="P179" s="88">
        <f t="shared" si="129"/>
        <v>1.9604662647253138E-2</v>
      </c>
      <c r="Q179" s="146" t="s">
        <v>329</v>
      </c>
      <c r="R179" s="65">
        <v>299.33999999999997</v>
      </c>
      <c r="S179" s="146" t="s">
        <v>329</v>
      </c>
      <c r="T179" s="65">
        <v>301.33</v>
      </c>
      <c r="U179" s="67">
        <v>508</v>
      </c>
      <c r="V179" s="68">
        <v>2.0000000000000001E-4</v>
      </c>
      <c r="W179" s="68">
        <v>0.33700000000000002</v>
      </c>
      <c r="X179" s="160">
        <f t="shared" si="132"/>
        <v>8.8919862474418007E-2</v>
      </c>
      <c r="Y179" s="160">
        <f t="shared" si="138"/>
        <v>-3.3185106524161767E-5</v>
      </c>
      <c r="Z179" s="160">
        <f t="shared" si="139"/>
        <v>0</v>
      </c>
      <c r="AA179" s="160">
        <f t="shared" si="140"/>
        <v>9.4000000000000004E-3</v>
      </c>
      <c r="AB179" s="161">
        <f t="shared" si="141"/>
        <v>4.0000000000001146E-4</v>
      </c>
    </row>
    <row r="180" spans="1:33" ht="14.4" customHeight="1">
      <c r="A180" s="178">
        <v>157</v>
      </c>
      <c r="B180" s="59" t="s">
        <v>212</v>
      </c>
      <c r="C180" s="60" t="s">
        <v>213</v>
      </c>
      <c r="D180" s="146" t="s">
        <v>329</v>
      </c>
      <c r="E180" s="65">
        <v>6460135242.5100002</v>
      </c>
      <c r="F180" s="66">
        <f t="shared" si="128"/>
        <v>4.094015290417384E-2</v>
      </c>
      <c r="G180" s="146" t="s">
        <v>329</v>
      </c>
      <c r="H180" s="65">
        <v>2.7088000000000001</v>
      </c>
      <c r="I180" s="146" t="s">
        <v>329</v>
      </c>
      <c r="J180" s="65">
        <v>2.7523</v>
      </c>
      <c r="K180" s="67">
        <v>5569</v>
      </c>
      <c r="L180" s="68">
        <v>-1.01E-2</v>
      </c>
      <c r="M180" s="68">
        <v>0.374</v>
      </c>
      <c r="N180" s="146" t="s">
        <v>329</v>
      </c>
      <c r="O180" s="65">
        <v>6453554491.4399996</v>
      </c>
      <c r="P180" s="88">
        <f t="shared" si="129"/>
        <v>4.0937713858680579E-2</v>
      </c>
      <c r="Q180" s="146" t="s">
        <v>329</v>
      </c>
      <c r="R180" s="65">
        <v>2.6962999999999999</v>
      </c>
      <c r="S180" s="146" t="s">
        <v>329</v>
      </c>
      <c r="T180" s="65">
        <v>2.7387999999999999</v>
      </c>
      <c r="U180" s="67">
        <v>5635</v>
      </c>
      <c r="V180" s="68">
        <v>-4.5999999999999999E-3</v>
      </c>
      <c r="W180" s="68">
        <v>0.36809999999999998</v>
      </c>
      <c r="X180" s="160">
        <f t="shared" si="132"/>
        <v>-1.0186707898461557E-3</v>
      </c>
      <c r="Y180" s="160">
        <f t="shared" si="138"/>
        <v>-4.9049885550267293E-3</v>
      </c>
      <c r="Z180" s="160">
        <f t="shared" si="139"/>
        <v>1.1851319806069313E-2</v>
      </c>
      <c r="AA180" s="160">
        <f t="shared" si="140"/>
        <v>5.4999999999999997E-3</v>
      </c>
      <c r="AB180" s="161">
        <f t="shared" si="141"/>
        <v>-5.9000000000000163E-3</v>
      </c>
    </row>
    <row r="181" spans="1:33" ht="15.6" customHeight="1">
      <c r="A181" s="178">
        <v>158</v>
      </c>
      <c r="B181" s="59" t="s">
        <v>214</v>
      </c>
      <c r="C181" s="60" t="s">
        <v>29</v>
      </c>
      <c r="D181" s="146" t="s">
        <v>329</v>
      </c>
      <c r="E181" s="82">
        <v>1478815988.26</v>
      </c>
      <c r="F181" s="66">
        <f t="shared" si="128"/>
        <v>9.371777896863066E-3</v>
      </c>
      <c r="G181" s="146" t="s">
        <v>329</v>
      </c>
      <c r="H181" s="65">
        <v>296.91860000000003</v>
      </c>
      <c r="I181" s="146" t="s">
        <v>329</v>
      </c>
      <c r="J181" s="65">
        <v>298.43209999999999</v>
      </c>
      <c r="K181" s="67">
        <v>214</v>
      </c>
      <c r="L181" s="68">
        <v>-2.3180000000000002E-3</v>
      </c>
      <c r="M181" s="68">
        <v>0.40679999999999999</v>
      </c>
      <c r="N181" s="146" t="s">
        <v>329</v>
      </c>
      <c r="O181" s="82">
        <v>1482410693.4000001</v>
      </c>
      <c r="P181" s="88">
        <f t="shared" si="129"/>
        <v>9.403578271160817E-3</v>
      </c>
      <c r="Q181" s="146" t="s">
        <v>329</v>
      </c>
      <c r="R181" s="65">
        <v>297.0111</v>
      </c>
      <c r="S181" s="146" t="s">
        <v>329</v>
      </c>
      <c r="T181" s="65">
        <v>298.50659999999999</v>
      </c>
      <c r="U181" s="67">
        <v>222</v>
      </c>
      <c r="V181" s="68">
        <v>1.83E-4</v>
      </c>
      <c r="W181" s="68">
        <v>0.40720000000000001</v>
      </c>
      <c r="X181" s="160">
        <f t="shared" si="132"/>
        <v>2.4307994831931023E-3</v>
      </c>
      <c r="Y181" s="160">
        <f t="shared" si="138"/>
        <v>2.4963802486394879E-4</v>
      </c>
      <c r="Z181" s="160">
        <f t="shared" si="139"/>
        <v>3.7383177570093455E-2</v>
      </c>
      <c r="AA181" s="160">
        <f t="shared" si="140"/>
        <v>2.5010000000000002E-3</v>
      </c>
      <c r="AB181" s="161">
        <f t="shared" si="141"/>
        <v>4.0000000000001146E-4</v>
      </c>
    </row>
    <row r="182" spans="1:33" ht="13.8" customHeight="1">
      <c r="A182" s="178">
        <v>159</v>
      </c>
      <c r="B182" s="59" t="s">
        <v>215</v>
      </c>
      <c r="C182" s="60" t="s">
        <v>75</v>
      </c>
      <c r="D182" s="146" t="s">
        <v>329</v>
      </c>
      <c r="E182" s="82">
        <v>2902366369.4699998</v>
      </c>
      <c r="F182" s="66">
        <f t="shared" si="128"/>
        <v>1.8393318172061433E-2</v>
      </c>
      <c r="G182" s="146" t="s">
        <v>329</v>
      </c>
      <c r="H182" s="65">
        <v>215.22</v>
      </c>
      <c r="I182" s="146" t="s">
        <v>329</v>
      </c>
      <c r="J182" s="65">
        <v>215.9</v>
      </c>
      <c r="K182" s="67">
        <v>137</v>
      </c>
      <c r="L182" s="68">
        <v>-2.7099999999999999E-2</v>
      </c>
      <c r="M182" s="68">
        <v>0.26889999999999997</v>
      </c>
      <c r="N182" s="146" t="s">
        <v>329</v>
      </c>
      <c r="O182" s="82">
        <v>2902347675.0799999</v>
      </c>
      <c r="P182" s="88">
        <f t="shared" si="129"/>
        <v>1.8410858511914454E-2</v>
      </c>
      <c r="Q182" s="146" t="s">
        <v>329</v>
      </c>
      <c r="R182" s="65">
        <v>215.87</v>
      </c>
      <c r="S182" s="146" t="s">
        <v>329</v>
      </c>
      <c r="T182" s="65">
        <v>216.63</v>
      </c>
      <c r="U182" s="67">
        <v>137</v>
      </c>
      <c r="V182" s="68">
        <v>4.1000000000000003E-3</v>
      </c>
      <c r="W182" s="68">
        <v>0.27300000000000002</v>
      </c>
      <c r="X182" s="160">
        <f t="shared" si="132"/>
        <v>-6.4410855212880178E-6</v>
      </c>
      <c r="Y182" s="160">
        <f t="shared" si="138"/>
        <v>3.3811949976840657E-3</v>
      </c>
      <c r="Z182" s="160">
        <f t="shared" si="139"/>
        <v>0</v>
      </c>
      <c r="AA182" s="160">
        <f t="shared" si="140"/>
        <v>3.1199999999999999E-2</v>
      </c>
      <c r="AB182" s="161">
        <f t="shared" si="141"/>
        <v>4.1000000000000481E-3</v>
      </c>
    </row>
    <row r="183" spans="1:33" ht="15.75" customHeight="1">
      <c r="A183" s="178">
        <v>160</v>
      </c>
      <c r="B183" s="59" t="s">
        <v>216</v>
      </c>
      <c r="C183" s="60" t="s">
        <v>78</v>
      </c>
      <c r="D183" s="146" t="s">
        <v>329</v>
      </c>
      <c r="E183" s="71">
        <v>1184237346.3199999</v>
      </c>
      <c r="F183" s="66">
        <f t="shared" si="128"/>
        <v>7.5049292643502756E-3</v>
      </c>
      <c r="G183" s="146" t="s">
        <v>329</v>
      </c>
      <c r="H183" s="65">
        <v>2.2855099999999999</v>
      </c>
      <c r="I183" s="146" t="s">
        <v>329</v>
      </c>
      <c r="J183" s="65">
        <v>2.3088700000000002</v>
      </c>
      <c r="K183" s="67">
        <v>210</v>
      </c>
      <c r="L183" s="68">
        <v>-2.3E-2</v>
      </c>
      <c r="M183" s="68">
        <v>0.44529999999999997</v>
      </c>
      <c r="N183" s="146" t="s">
        <v>329</v>
      </c>
      <c r="O183" s="71">
        <v>1200114482.3299999</v>
      </c>
      <c r="P183" s="88">
        <f t="shared" si="129"/>
        <v>7.612850149549385E-3</v>
      </c>
      <c r="Q183" s="146" t="s">
        <v>329</v>
      </c>
      <c r="R183" s="65">
        <v>2.2855099999999999</v>
      </c>
      <c r="S183" s="146" t="s">
        <v>329</v>
      </c>
      <c r="T183" s="65">
        <v>2.3199999999999998</v>
      </c>
      <c r="U183" s="67">
        <v>216</v>
      </c>
      <c r="V183" s="68">
        <v>3.7000000000000002E-3</v>
      </c>
      <c r="W183" s="68">
        <v>0.4551</v>
      </c>
      <c r="X183" s="160">
        <f t="shared" si="132"/>
        <v>1.3407055654289199E-2</v>
      </c>
      <c r="Y183" s="160">
        <f t="shared" si="138"/>
        <v>4.8205399177951285E-3</v>
      </c>
      <c r="Z183" s="160">
        <f t="shared" si="139"/>
        <v>2.8571428571428571E-2</v>
      </c>
      <c r="AA183" s="160">
        <f t="shared" si="140"/>
        <v>2.6700000000000002E-2</v>
      </c>
      <c r="AB183" s="161">
        <f t="shared" si="141"/>
        <v>9.8000000000000309E-3</v>
      </c>
      <c r="AD183" s="41"/>
    </row>
    <row r="184" spans="1:33" ht="16.8" customHeight="1">
      <c r="A184" s="178">
        <v>161</v>
      </c>
      <c r="B184" s="59" t="s">
        <v>325</v>
      </c>
      <c r="C184" s="60" t="s">
        <v>79</v>
      </c>
      <c r="D184" s="146" t="s">
        <v>329</v>
      </c>
      <c r="E184" s="65">
        <v>21384051849.549999</v>
      </c>
      <c r="F184" s="66">
        <f t="shared" si="128"/>
        <v>0.13551827006197589</v>
      </c>
      <c r="G184" s="146" t="s">
        <v>329</v>
      </c>
      <c r="H184" s="65">
        <v>612.39</v>
      </c>
      <c r="I184" s="146" t="s">
        <v>329</v>
      </c>
      <c r="J184" s="65">
        <v>617.95000000000005</v>
      </c>
      <c r="K184" s="67">
        <v>5744</v>
      </c>
      <c r="L184" s="68">
        <v>-1.2E-2</v>
      </c>
      <c r="M184" s="68">
        <v>0.42980000000000002</v>
      </c>
      <c r="N184" s="146" t="s">
        <v>329</v>
      </c>
      <c r="O184" s="65">
        <v>21416494308.540001</v>
      </c>
      <c r="P184" s="88">
        <f t="shared" si="129"/>
        <v>0.13585417416432813</v>
      </c>
      <c r="Q184" s="146" t="s">
        <v>329</v>
      </c>
      <c r="R184" s="65">
        <v>603.5</v>
      </c>
      <c r="S184" s="146" t="s">
        <v>329</v>
      </c>
      <c r="T184" s="65">
        <v>608.83000000000004</v>
      </c>
      <c r="U184" s="67">
        <v>5764</v>
      </c>
      <c r="V184" s="68">
        <v>-1.46E-2</v>
      </c>
      <c r="W184" s="68">
        <v>0.40899999999999997</v>
      </c>
      <c r="X184" s="160">
        <f t="shared" si="132"/>
        <v>1.5171333860511749E-3</v>
      </c>
      <c r="Y184" s="160">
        <f t="shared" si="138"/>
        <v>-1.4758475604822402E-2</v>
      </c>
      <c r="Z184" s="160">
        <f t="shared" si="139"/>
        <v>3.4818941504178272E-3</v>
      </c>
      <c r="AA184" s="160">
        <f t="shared" si="140"/>
        <v>-2.5999999999999999E-3</v>
      </c>
      <c r="AB184" s="161">
        <f t="shared" si="141"/>
        <v>-2.0800000000000041E-2</v>
      </c>
    </row>
    <row r="185" spans="1:33" ht="13.8" customHeight="1">
      <c r="A185" s="178">
        <v>162</v>
      </c>
      <c r="B185" s="59" t="s">
        <v>217</v>
      </c>
      <c r="C185" s="60" t="s">
        <v>87</v>
      </c>
      <c r="D185" s="146" t="s">
        <v>329</v>
      </c>
      <c r="E185" s="65">
        <v>6742282977.46</v>
      </c>
      <c r="F185" s="66">
        <f t="shared" si="128"/>
        <v>4.2728222499746463E-2</v>
      </c>
      <c r="G185" s="146" t="s">
        <v>329</v>
      </c>
      <c r="H185" s="65">
        <v>3.9239999999999999</v>
      </c>
      <c r="I185" s="146" t="s">
        <v>329</v>
      </c>
      <c r="J185" s="65">
        <v>4.0010000000000003</v>
      </c>
      <c r="K185" s="67">
        <v>10199</v>
      </c>
      <c r="L185" s="68">
        <v>-1.41E-2</v>
      </c>
      <c r="M185" s="68">
        <v>0.28210000000000002</v>
      </c>
      <c r="N185" s="146" t="s">
        <v>329</v>
      </c>
      <c r="O185" s="65">
        <v>5670346125.8900003</v>
      </c>
      <c r="P185" s="88">
        <f t="shared" si="129"/>
        <v>3.5969481235381462E-2</v>
      </c>
      <c r="Q185" s="146" t="s">
        <v>329</v>
      </c>
      <c r="R185" s="65">
        <v>3.8955000000000002</v>
      </c>
      <c r="S185" s="146" t="s">
        <v>329</v>
      </c>
      <c r="T185" s="65">
        <v>3.9687999999999999</v>
      </c>
      <c r="U185" s="67">
        <v>10198</v>
      </c>
      <c r="V185" s="68">
        <v>-7.7000000000000002E-3</v>
      </c>
      <c r="W185" s="68">
        <v>0.27229999999999999</v>
      </c>
      <c r="X185" s="160">
        <f t="shared" si="132"/>
        <v>-0.15898722363827975</v>
      </c>
      <c r="Y185" s="160">
        <f t="shared" si="138"/>
        <v>-8.0479880029993619E-3</v>
      </c>
      <c r="Z185" s="160">
        <f t="shared" si="139"/>
        <v>-9.8048828316501618E-5</v>
      </c>
      <c r="AA185" s="160">
        <f t="shared" si="140"/>
        <v>6.3999999999999994E-3</v>
      </c>
      <c r="AB185" s="161">
        <f t="shared" si="141"/>
        <v>-9.8000000000000309E-3</v>
      </c>
    </row>
    <row r="186" spans="1:33" ht="16.2" customHeight="1">
      <c r="A186" s="178">
        <v>163</v>
      </c>
      <c r="B186" s="59" t="s">
        <v>218</v>
      </c>
      <c r="C186" s="60" t="s">
        <v>89</v>
      </c>
      <c r="D186" s="146" t="s">
        <v>329</v>
      </c>
      <c r="E186" s="65">
        <v>397423114.27999997</v>
      </c>
      <c r="F186" s="66">
        <f t="shared" si="128"/>
        <v>2.5186102853095131E-3</v>
      </c>
      <c r="G186" s="146" t="s">
        <v>329</v>
      </c>
      <c r="H186" s="65">
        <v>366.58</v>
      </c>
      <c r="I186" s="146" t="s">
        <v>329</v>
      </c>
      <c r="J186" s="65">
        <v>366.58</v>
      </c>
      <c r="K186" s="67">
        <v>37</v>
      </c>
      <c r="L186" s="68">
        <v>-2.1000000000000001E-2</v>
      </c>
      <c r="M186" s="68">
        <v>0.4703</v>
      </c>
      <c r="N186" s="146" t="s">
        <v>329</v>
      </c>
      <c r="O186" s="65">
        <v>399897333.85000002</v>
      </c>
      <c r="P186" s="88">
        <f t="shared" si="129"/>
        <v>2.5367233898334497E-3</v>
      </c>
      <c r="Q186" s="146" t="s">
        <v>329</v>
      </c>
      <c r="R186" s="65">
        <v>368.79</v>
      </c>
      <c r="S186" s="146" t="s">
        <v>329</v>
      </c>
      <c r="T186" s="65">
        <v>368.79</v>
      </c>
      <c r="U186" s="67">
        <v>37</v>
      </c>
      <c r="V186" s="68">
        <v>6.0000000000000001E-3</v>
      </c>
      <c r="W186" s="68">
        <v>0.46579999999999999</v>
      </c>
      <c r="X186" s="160">
        <f t="shared" si="132"/>
        <v>6.2256559346894683E-3</v>
      </c>
      <c r="Y186" s="160">
        <f t="shared" si="138"/>
        <v>6.0286976921818877E-3</v>
      </c>
      <c r="Z186" s="160">
        <f t="shared" si="139"/>
        <v>0</v>
      </c>
      <c r="AA186" s="160">
        <f t="shared" si="140"/>
        <v>2.7000000000000003E-2</v>
      </c>
      <c r="AB186" s="161">
        <f t="shared" si="141"/>
        <v>-4.500000000000004E-3</v>
      </c>
    </row>
    <row r="187" spans="1:33" ht="13.8" customHeight="1">
      <c r="A187" s="178">
        <v>164</v>
      </c>
      <c r="B187" s="59" t="s">
        <v>219</v>
      </c>
      <c r="C187" s="59" t="s">
        <v>91</v>
      </c>
      <c r="D187" s="146" t="s">
        <v>329</v>
      </c>
      <c r="E187" s="87">
        <v>81957910.359999999</v>
      </c>
      <c r="F187" s="66">
        <f t="shared" si="128"/>
        <v>5.1939615130120538E-4</v>
      </c>
      <c r="G187" s="146" t="s">
        <v>329</v>
      </c>
      <c r="H187" s="65">
        <v>1.58</v>
      </c>
      <c r="I187" s="146" t="s">
        <v>329</v>
      </c>
      <c r="J187" s="65">
        <v>1.58</v>
      </c>
      <c r="K187" s="67">
        <v>30</v>
      </c>
      <c r="L187" s="68">
        <v>-0.1003</v>
      </c>
      <c r="M187" s="68">
        <v>0.1033</v>
      </c>
      <c r="N187" s="146" t="s">
        <v>329</v>
      </c>
      <c r="O187" s="87">
        <v>81776057.549999997</v>
      </c>
      <c r="P187" s="88">
        <f t="shared" si="129"/>
        <v>5.187412377029311E-4</v>
      </c>
      <c r="Q187" s="146" t="s">
        <v>329</v>
      </c>
      <c r="R187" s="65">
        <v>1.58</v>
      </c>
      <c r="S187" s="146" t="s">
        <v>329</v>
      </c>
      <c r="T187" s="65">
        <v>1.58</v>
      </c>
      <c r="U187" s="67">
        <v>30</v>
      </c>
      <c r="V187" s="68">
        <v>4.4000000000000003E-3</v>
      </c>
      <c r="W187" s="68">
        <v>9.8900000000000002E-2</v>
      </c>
      <c r="X187" s="160">
        <f t="shared" si="132"/>
        <v>-2.2188561079853572E-3</v>
      </c>
      <c r="Y187" s="160">
        <f t="shared" si="138"/>
        <v>0</v>
      </c>
      <c r="Z187" s="160">
        <f t="shared" si="139"/>
        <v>0</v>
      </c>
      <c r="AA187" s="160">
        <f t="shared" si="140"/>
        <v>0.1047</v>
      </c>
      <c r="AB187" s="161">
        <f t="shared" si="141"/>
        <v>-4.4000000000000011E-3</v>
      </c>
    </row>
    <row r="188" spans="1:33" ht="13.5" customHeight="1">
      <c r="A188" s="178">
        <v>165</v>
      </c>
      <c r="B188" s="59" t="s">
        <v>220</v>
      </c>
      <c r="C188" s="60" t="s">
        <v>35</v>
      </c>
      <c r="D188" s="146" t="s">
        <v>329</v>
      </c>
      <c r="E188" s="71">
        <v>14855668365.57</v>
      </c>
      <c r="F188" s="66">
        <f t="shared" si="128"/>
        <v>9.4145604008102554E-2</v>
      </c>
      <c r="G188" s="146" t="s">
        <v>329</v>
      </c>
      <c r="H188" s="65">
        <v>8.0977999999999994</v>
      </c>
      <c r="I188" s="146" t="s">
        <v>329</v>
      </c>
      <c r="J188" s="65">
        <v>8.2134</v>
      </c>
      <c r="K188" s="67">
        <v>11913</v>
      </c>
      <c r="L188" s="68">
        <v>-1.2699999999999999E-2</v>
      </c>
      <c r="M188" s="68">
        <v>0.30399999999999999</v>
      </c>
      <c r="N188" s="146" t="s">
        <v>329</v>
      </c>
      <c r="O188" s="71">
        <v>14702093895.049999</v>
      </c>
      <c r="P188" s="88">
        <f t="shared" si="129"/>
        <v>9.3261800732810513E-2</v>
      </c>
      <c r="Q188" s="146" t="s">
        <v>329</v>
      </c>
      <c r="R188" s="65">
        <v>8.0650999999999993</v>
      </c>
      <c r="S188" s="146" t="s">
        <v>329</v>
      </c>
      <c r="T188" s="65">
        <v>8.1854999999999993</v>
      </c>
      <c r="U188" s="67">
        <v>12211</v>
      </c>
      <c r="V188" s="68">
        <v>-1.7000000000000001E-2</v>
      </c>
      <c r="W188" s="68">
        <v>0.29880000000000001</v>
      </c>
      <c r="X188" s="160">
        <f t="shared" si="132"/>
        <v>-1.0337769176103167E-2</v>
      </c>
      <c r="Y188" s="160">
        <f t="shared" si="138"/>
        <v>-3.396888012272713E-3</v>
      </c>
      <c r="Z188" s="160">
        <f t="shared" si="139"/>
        <v>2.5014689834634434E-2</v>
      </c>
      <c r="AA188" s="160">
        <f t="shared" si="140"/>
        <v>-4.3000000000000017E-3</v>
      </c>
      <c r="AB188" s="161">
        <f t="shared" si="141"/>
        <v>-5.1999999999999824E-3</v>
      </c>
      <c r="AD188" s="41"/>
    </row>
    <row r="189" spans="1:33" ht="13.5" customHeight="1">
      <c r="A189" s="178">
        <v>166</v>
      </c>
      <c r="B189" s="59" t="s">
        <v>221</v>
      </c>
      <c r="C189" s="60" t="s">
        <v>222</v>
      </c>
      <c r="D189" s="146" t="s">
        <v>329</v>
      </c>
      <c r="E189" s="71">
        <v>173713487.41</v>
      </c>
      <c r="F189" s="66">
        <f t="shared" si="128"/>
        <v>1.1008835680844753E-3</v>
      </c>
      <c r="G189" s="146" t="s">
        <v>329</v>
      </c>
      <c r="H189" s="65">
        <v>3.3805000000000001</v>
      </c>
      <c r="I189" s="146" t="s">
        <v>329</v>
      </c>
      <c r="J189" s="65">
        <v>3.4037000000000002</v>
      </c>
      <c r="K189" s="67">
        <v>138</v>
      </c>
      <c r="L189" s="68">
        <v>-7.7000000000000002E-3</v>
      </c>
      <c r="M189" s="68">
        <v>0.2137</v>
      </c>
      <c r="N189" s="146" t="s">
        <v>329</v>
      </c>
      <c r="O189" s="71">
        <v>173609365.94</v>
      </c>
      <c r="P189" s="88">
        <f t="shared" si="129"/>
        <v>1.101280008631777E-3</v>
      </c>
      <c r="Q189" s="146" t="s">
        <v>329</v>
      </c>
      <c r="R189" s="65">
        <v>3.3818999999999999</v>
      </c>
      <c r="S189" s="146" t="s">
        <v>329</v>
      </c>
      <c r="T189" s="65">
        <v>3.4043999999999999</v>
      </c>
      <c r="U189" s="67">
        <v>140</v>
      </c>
      <c r="V189" s="68">
        <v>2.9999999999999997E-4</v>
      </c>
      <c r="W189" s="68">
        <v>0.214</v>
      </c>
      <c r="X189" s="160">
        <f t="shared" si="132"/>
        <v>-5.9938621665139023E-4</v>
      </c>
      <c r="Y189" s="160">
        <f t="shared" si="138"/>
        <v>2.0565854805056286E-4</v>
      </c>
      <c r="Z189" s="160">
        <f t="shared" si="139"/>
        <v>1.4492753623188406E-2</v>
      </c>
      <c r="AA189" s="160">
        <f t="shared" si="140"/>
        <v>8.0000000000000002E-3</v>
      </c>
      <c r="AB189" s="161">
        <f t="shared" si="141"/>
        <v>2.9999999999999472E-4</v>
      </c>
    </row>
    <row r="190" spans="1:33" ht="15" customHeight="1">
      <c r="A190" s="178">
        <v>167</v>
      </c>
      <c r="B190" s="59" t="s">
        <v>223</v>
      </c>
      <c r="C190" s="60" t="s">
        <v>143</v>
      </c>
      <c r="D190" s="146" t="s">
        <v>329</v>
      </c>
      <c r="E190" s="71">
        <v>2175154763.71</v>
      </c>
      <c r="F190" s="66">
        <f t="shared" si="128"/>
        <v>1.3784722033455427E-2</v>
      </c>
      <c r="G190" s="146" t="s">
        <v>329</v>
      </c>
      <c r="H190" s="65">
        <v>496.08</v>
      </c>
      <c r="I190" s="146" t="s">
        <v>329</v>
      </c>
      <c r="J190" s="65">
        <v>501.16</v>
      </c>
      <c r="K190" s="67">
        <v>158</v>
      </c>
      <c r="L190" s="68">
        <v>1.37E-2</v>
      </c>
      <c r="M190" s="68">
        <v>0.39400000000000002</v>
      </c>
      <c r="N190" s="146" t="s">
        <v>329</v>
      </c>
      <c r="O190" s="71">
        <v>2227166012.9000001</v>
      </c>
      <c r="P190" s="88">
        <f t="shared" si="129"/>
        <v>1.4127886434183428E-2</v>
      </c>
      <c r="Q190" s="146" t="s">
        <v>329</v>
      </c>
      <c r="R190" s="65">
        <v>496.88</v>
      </c>
      <c r="S190" s="146" t="s">
        <v>329</v>
      </c>
      <c r="T190" s="65">
        <v>501.88</v>
      </c>
      <c r="U190" s="67">
        <v>158</v>
      </c>
      <c r="V190" s="68">
        <v>1.37E-2</v>
      </c>
      <c r="W190" s="68">
        <v>0.3962</v>
      </c>
      <c r="X190" s="160">
        <f t="shared" si="132"/>
        <v>2.3911516577003619E-2</v>
      </c>
      <c r="Y190" s="160">
        <f t="shared" si="138"/>
        <v>1.4366669327160397E-3</v>
      </c>
      <c r="Z190" s="160">
        <f t="shared" si="139"/>
        <v>0</v>
      </c>
      <c r="AA190" s="160">
        <f t="shared" si="140"/>
        <v>0</v>
      </c>
      <c r="AB190" s="161">
        <f t="shared" si="141"/>
        <v>2.1999999999999797E-3</v>
      </c>
    </row>
    <row r="191" spans="1:33" ht="15.6" customHeight="1">
      <c r="A191" s="178">
        <v>168</v>
      </c>
      <c r="B191" s="59" t="s">
        <v>313</v>
      </c>
      <c r="C191" s="60" t="s">
        <v>312</v>
      </c>
      <c r="D191" s="146" t="s">
        <v>329</v>
      </c>
      <c r="E191" s="65">
        <v>51838553.460000001</v>
      </c>
      <c r="F191" s="66">
        <f t="shared" si="128"/>
        <v>3.2851917573152952E-4</v>
      </c>
      <c r="G191" s="146" t="s">
        <v>329</v>
      </c>
      <c r="H191" s="65">
        <v>1</v>
      </c>
      <c r="I191" s="146" t="s">
        <v>329</v>
      </c>
      <c r="J191" s="65">
        <v>1</v>
      </c>
      <c r="K191" s="67">
        <v>5</v>
      </c>
      <c r="L191" s="68">
        <v>2.879E-2</v>
      </c>
      <c r="M191" s="68">
        <v>0</v>
      </c>
      <c r="N191" s="146" t="s">
        <v>329</v>
      </c>
      <c r="O191" s="65">
        <v>51907130.289999999</v>
      </c>
      <c r="P191" s="88">
        <f t="shared" si="129"/>
        <v>3.2926959086745439E-4</v>
      </c>
      <c r="Q191" s="146" t="s">
        <v>329</v>
      </c>
      <c r="R191" s="65">
        <v>1</v>
      </c>
      <c r="S191" s="146" t="s">
        <v>329</v>
      </c>
      <c r="T191" s="65">
        <v>1</v>
      </c>
      <c r="U191" s="67">
        <v>5</v>
      </c>
      <c r="V191" s="68">
        <v>1.323E-3</v>
      </c>
      <c r="W191" s="68">
        <v>0</v>
      </c>
      <c r="X191" s="160">
        <f t="shared" ref="X191" si="142">((O191-E191)/E191)</f>
        <v>1.3228924308799224E-3</v>
      </c>
      <c r="Y191" s="160">
        <f t="shared" ref="Y191" si="143">((T191-J191)/J191)</f>
        <v>0</v>
      </c>
      <c r="Z191" s="160">
        <f t="shared" ref="Z191" si="144">((U191-K191)/K191)</f>
        <v>0</v>
      </c>
      <c r="AA191" s="160">
        <f t="shared" ref="AA191" si="145">V191-L191</f>
        <v>-2.7466999999999998E-2</v>
      </c>
      <c r="AB191" s="161">
        <f t="shared" ref="AB191" si="146">W191-M191</f>
        <v>0</v>
      </c>
    </row>
    <row r="192" spans="1:33" ht="16.8" customHeight="1">
      <c r="A192" s="178">
        <v>169</v>
      </c>
      <c r="B192" s="59" t="s">
        <v>224</v>
      </c>
      <c r="C192" s="60" t="s">
        <v>31</v>
      </c>
      <c r="D192" s="146" t="s">
        <v>329</v>
      </c>
      <c r="E192" s="71">
        <v>3051852857.8600001</v>
      </c>
      <c r="F192" s="66">
        <f t="shared" si="128"/>
        <v>1.9340666712309142E-2</v>
      </c>
      <c r="G192" s="146" t="s">
        <v>329</v>
      </c>
      <c r="H192" s="65">
        <v>552.22</v>
      </c>
      <c r="I192" s="146" t="s">
        <v>329</v>
      </c>
      <c r="J192" s="65">
        <v>552.22</v>
      </c>
      <c r="K192" s="67">
        <v>823</v>
      </c>
      <c r="L192" s="68">
        <v>1.2699999999999999E-2</v>
      </c>
      <c r="M192" s="68">
        <v>0.47077000000000002</v>
      </c>
      <c r="N192" s="146" t="s">
        <v>329</v>
      </c>
      <c r="O192" s="71">
        <v>3258698882.02</v>
      </c>
      <c r="P192" s="88">
        <f t="shared" si="129"/>
        <v>2.0671349805860294E-2</v>
      </c>
      <c r="Q192" s="146" t="s">
        <v>329</v>
      </c>
      <c r="R192" s="65">
        <v>552.22</v>
      </c>
      <c r="S192" s="146" t="s">
        <v>329</v>
      </c>
      <c r="T192" s="65">
        <v>552.22</v>
      </c>
      <c r="U192" s="67">
        <v>823</v>
      </c>
      <c r="V192" s="68">
        <v>6.7699999999999996E-2</v>
      </c>
      <c r="W192" s="68">
        <v>0.51259999999999994</v>
      </c>
      <c r="X192" s="160">
        <f t="shared" si="132"/>
        <v>6.777719431238996E-2</v>
      </c>
      <c r="Y192" s="160">
        <f t="shared" ref="Y192:Z194" si="147">((T192-J192)/J192)</f>
        <v>0</v>
      </c>
      <c r="Z192" s="160">
        <f t="shared" si="147"/>
        <v>0</v>
      </c>
      <c r="AA192" s="160">
        <f t="shared" ref="AA192:AB194" si="148">V192-L192</f>
        <v>5.4999999999999993E-2</v>
      </c>
      <c r="AB192" s="161">
        <f t="shared" si="148"/>
        <v>4.1829999999999923E-2</v>
      </c>
    </row>
    <row r="193" spans="1:31" ht="16.2" customHeight="1">
      <c r="A193" s="178">
        <v>170</v>
      </c>
      <c r="B193" s="59" t="s">
        <v>225</v>
      </c>
      <c r="C193" s="60" t="s">
        <v>100</v>
      </c>
      <c r="D193" s="146" t="s">
        <v>329</v>
      </c>
      <c r="E193" s="65">
        <v>66600723.840000004</v>
      </c>
      <c r="F193" s="66">
        <f t="shared" si="128"/>
        <v>4.2207225006621601E-4</v>
      </c>
      <c r="G193" s="146" t="s">
        <v>329</v>
      </c>
      <c r="H193" s="65">
        <v>3.58</v>
      </c>
      <c r="I193" s="146" t="s">
        <v>329</v>
      </c>
      <c r="J193" s="65">
        <v>3.58</v>
      </c>
      <c r="K193" s="67">
        <v>10</v>
      </c>
      <c r="L193" s="68">
        <v>-2.9899999999999999E-2</v>
      </c>
      <c r="M193" s="68">
        <v>0.36430000000000001</v>
      </c>
      <c r="N193" s="146" t="s">
        <v>329</v>
      </c>
      <c r="O193" s="65">
        <v>68244918.549999997</v>
      </c>
      <c r="P193" s="88">
        <f t="shared" si="129"/>
        <v>4.3290731512603622E-4</v>
      </c>
      <c r="Q193" s="146" t="s">
        <v>329</v>
      </c>
      <c r="R193" s="65">
        <v>3.67</v>
      </c>
      <c r="S193" s="146" t="s">
        <v>329</v>
      </c>
      <c r="T193" s="65">
        <v>3.67</v>
      </c>
      <c r="U193" s="67">
        <v>10</v>
      </c>
      <c r="V193" s="68">
        <v>1.4500000000000001E-2</v>
      </c>
      <c r="W193" s="68">
        <v>0.39889999999999998</v>
      </c>
      <c r="X193" s="160">
        <f t="shared" si="132"/>
        <v>2.4687339944682401E-2</v>
      </c>
      <c r="Y193" s="160">
        <f t="shared" si="147"/>
        <v>2.5139664804469233E-2</v>
      </c>
      <c r="Z193" s="160">
        <f t="shared" si="147"/>
        <v>0</v>
      </c>
      <c r="AA193" s="160">
        <f t="shared" si="148"/>
        <v>4.4400000000000002E-2</v>
      </c>
      <c r="AB193" s="161">
        <f t="shared" si="148"/>
        <v>3.4599999999999964E-2</v>
      </c>
      <c r="AE193" s="50"/>
    </row>
    <row r="194" spans="1:31" ht="15.6" customHeight="1">
      <c r="A194" s="178">
        <v>171</v>
      </c>
      <c r="B194" s="59" t="s">
        <v>226</v>
      </c>
      <c r="C194" s="60" t="s">
        <v>42</v>
      </c>
      <c r="D194" s="146" t="s">
        <v>329</v>
      </c>
      <c r="E194" s="65">
        <v>743365701.69000006</v>
      </c>
      <c r="F194" s="66">
        <f t="shared" si="128"/>
        <v>4.7109703355192514E-3</v>
      </c>
      <c r="G194" s="146" t="s">
        <v>329</v>
      </c>
      <c r="H194" s="65">
        <v>4.82</v>
      </c>
      <c r="I194" s="146" t="s">
        <v>329</v>
      </c>
      <c r="J194" s="65">
        <v>4.87</v>
      </c>
      <c r="K194" s="67">
        <v>140</v>
      </c>
      <c r="L194" s="68">
        <v>-8.1466395112016355E-3</v>
      </c>
      <c r="M194" s="68">
        <v>0.44510385756676557</v>
      </c>
      <c r="N194" s="146" t="s">
        <v>329</v>
      </c>
      <c r="O194" s="65">
        <v>730189086.48000002</v>
      </c>
      <c r="P194" s="88">
        <f t="shared" si="129"/>
        <v>4.6319081871391563E-3</v>
      </c>
      <c r="Q194" s="146" t="s">
        <v>329</v>
      </c>
      <c r="R194" s="65">
        <v>4.8099999999999996</v>
      </c>
      <c r="S194" s="146" t="s">
        <v>329</v>
      </c>
      <c r="T194" s="65">
        <v>4.8600000000000003</v>
      </c>
      <c r="U194" s="67">
        <v>140</v>
      </c>
      <c r="V194" s="68">
        <v>-2.0999999999999999E-3</v>
      </c>
      <c r="W194" s="68">
        <v>3.5999999999999999E-3</v>
      </c>
      <c r="X194" s="160">
        <f t="shared" si="132"/>
        <v>-1.7725616315151137E-2</v>
      </c>
      <c r="Y194" s="160">
        <f t="shared" si="147"/>
        <v>-2.0533880903490323E-3</v>
      </c>
      <c r="Z194" s="160">
        <f t="shared" si="147"/>
        <v>0</v>
      </c>
      <c r="AA194" s="160">
        <f t="shared" si="148"/>
        <v>6.0466395112016361E-3</v>
      </c>
      <c r="AB194" s="161">
        <f t="shared" si="148"/>
        <v>-0.44150385756676558</v>
      </c>
      <c r="AD194" s="41"/>
      <c r="AE194" s="41"/>
    </row>
    <row r="195" spans="1:31" ht="13.8" customHeight="1">
      <c r="A195" s="178">
        <v>172</v>
      </c>
      <c r="B195" s="59" t="s">
        <v>300</v>
      </c>
      <c r="C195" s="60" t="s">
        <v>301</v>
      </c>
      <c r="D195" s="146" t="s">
        <v>329</v>
      </c>
      <c r="E195" s="65">
        <v>296672617.49000001</v>
      </c>
      <c r="F195" s="66">
        <f t="shared" si="128"/>
        <v>1.8801188932699464E-3</v>
      </c>
      <c r="G195" s="146" t="s">
        <v>329</v>
      </c>
      <c r="H195" s="65">
        <v>142.94</v>
      </c>
      <c r="I195" s="146" t="s">
        <v>329</v>
      </c>
      <c r="J195" s="65">
        <v>143.78</v>
      </c>
      <c r="K195" s="67">
        <v>117</v>
      </c>
      <c r="L195" s="68">
        <v>-9.7000000000000003E-3</v>
      </c>
      <c r="M195" s="68">
        <v>0.24049999999999999</v>
      </c>
      <c r="N195" s="146" t="s">
        <v>329</v>
      </c>
      <c r="O195" s="65">
        <v>294765772.70999998</v>
      </c>
      <c r="P195" s="66">
        <f t="shared" si="129"/>
        <v>1.8698279954931169E-3</v>
      </c>
      <c r="Q195" s="146" t="s">
        <v>329</v>
      </c>
      <c r="R195" s="65">
        <v>144.44999999999999</v>
      </c>
      <c r="S195" s="146" t="s">
        <v>329</v>
      </c>
      <c r="T195" s="65">
        <v>145.32</v>
      </c>
      <c r="U195" s="67">
        <v>117</v>
      </c>
      <c r="V195" s="68">
        <v>1.06E-2</v>
      </c>
      <c r="W195" s="68">
        <v>0.25319999999999998</v>
      </c>
      <c r="X195" s="160">
        <f t="shared" ref="X195" si="149">((O195-E195)/E195)</f>
        <v>-6.4274377464725247E-3</v>
      </c>
      <c r="Y195" s="160">
        <f t="shared" ref="Y195" si="150">((T195-J195)/J195)</f>
        <v>1.0710808179162553E-2</v>
      </c>
      <c r="Z195" s="160">
        <f t="shared" ref="Z195" si="151">((U195-K195)/K195)</f>
        <v>0</v>
      </c>
      <c r="AA195" s="160">
        <f t="shared" ref="AA195" si="152">V195-L195</f>
        <v>2.0299999999999999E-2</v>
      </c>
      <c r="AB195" s="161">
        <f t="shared" ref="AB195" si="153">W195-M195</f>
        <v>1.2699999999999989E-2</v>
      </c>
    </row>
    <row r="196" spans="1:31" ht="14.4" customHeight="1">
      <c r="A196" s="178">
        <v>173</v>
      </c>
      <c r="B196" s="59" t="s">
        <v>227</v>
      </c>
      <c r="C196" s="60" t="s">
        <v>46</v>
      </c>
      <c r="D196" s="146" t="s">
        <v>329</v>
      </c>
      <c r="E196" s="71">
        <v>15746667841.49</v>
      </c>
      <c r="F196" s="66">
        <f t="shared" si="128"/>
        <v>9.9792181581535924E-2</v>
      </c>
      <c r="G196" s="146" t="s">
        <v>329</v>
      </c>
      <c r="H196" s="65">
        <v>13581.74</v>
      </c>
      <c r="I196" s="146" t="s">
        <v>329</v>
      </c>
      <c r="J196" s="65">
        <v>13707.61</v>
      </c>
      <c r="K196" s="67">
        <v>8053</v>
      </c>
      <c r="L196" s="68">
        <v>-1.8499999999999999E-2</v>
      </c>
      <c r="M196" s="68">
        <v>0.40860000000000002</v>
      </c>
      <c r="N196" s="146" t="s">
        <v>329</v>
      </c>
      <c r="O196" s="71">
        <v>15740556150.4</v>
      </c>
      <c r="P196" s="66">
        <f t="shared" si="129"/>
        <v>9.984922022681908E-2</v>
      </c>
      <c r="Q196" s="146" t="s">
        <v>329</v>
      </c>
      <c r="R196" s="65">
        <v>13618.67</v>
      </c>
      <c r="S196" s="146" t="s">
        <v>329</v>
      </c>
      <c r="T196" s="65">
        <v>13748.38</v>
      </c>
      <c r="U196" s="67">
        <v>8202</v>
      </c>
      <c r="V196" s="68">
        <v>3.0999999999999999E-3</v>
      </c>
      <c r="W196" s="68">
        <v>0.41299999999999998</v>
      </c>
      <c r="X196" s="160">
        <f t="shared" si="132"/>
        <v>-3.8812599284635988E-4</v>
      </c>
      <c r="Y196" s="160">
        <f t="shared" ref="Y196:Z200" si="154">((T196-J196)/J196)</f>
        <v>2.9742602831564812E-3</v>
      </c>
      <c r="Z196" s="160">
        <f t="shared" si="154"/>
        <v>1.8502421457841797E-2</v>
      </c>
      <c r="AA196" s="160">
        <f t="shared" ref="AA196:AB200" si="155">V196-L196</f>
        <v>2.1599999999999998E-2</v>
      </c>
      <c r="AB196" s="161">
        <f t="shared" si="155"/>
        <v>4.3999999999999595E-3</v>
      </c>
    </row>
    <row r="197" spans="1:31" ht="13.2" customHeight="1">
      <c r="A197" s="178">
        <v>174</v>
      </c>
      <c r="B197" s="59" t="s">
        <v>228</v>
      </c>
      <c r="C197" s="59" t="s">
        <v>110</v>
      </c>
      <c r="D197" s="146" t="s">
        <v>329</v>
      </c>
      <c r="E197" s="71">
        <v>275272201.95999998</v>
      </c>
      <c r="F197" s="66">
        <f t="shared" si="128"/>
        <v>1.7444969208001181E-3</v>
      </c>
      <c r="G197" s="146" t="s">
        <v>329</v>
      </c>
      <c r="H197" s="65">
        <v>1862.86</v>
      </c>
      <c r="I197" s="146" t="s">
        <v>329</v>
      </c>
      <c r="J197" s="65">
        <v>1890.46</v>
      </c>
      <c r="K197" s="67">
        <v>156</v>
      </c>
      <c r="L197" s="68">
        <v>-6.7999999999999996E-3</v>
      </c>
      <c r="M197" s="68">
        <v>0.27300000000000002</v>
      </c>
      <c r="N197" s="146" t="s">
        <v>329</v>
      </c>
      <c r="O197" s="71">
        <v>278922660.32999998</v>
      </c>
      <c r="P197" s="66">
        <f t="shared" si="129"/>
        <v>1.7693282163243444E-3</v>
      </c>
      <c r="Q197" s="146" t="s">
        <v>329</v>
      </c>
      <c r="R197" s="65">
        <v>1867.38</v>
      </c>
      <c r="S197" s="146" t="s">
        <v>329</v>
      </c>
      <c r="T197" s="65">
        <v>1894.71</v>
      </c>
      <c r="U197" s="67">
        <v>161</v>
      </c>
      <c r="V197" s="68">
        <v>2.3999999999999998E-3</v>
      </c>
      <c r="W197" s="68">
        <v>0.27310000000000001</v>
      </c>
      <c r="X197" s="160">
        <f t="shared" si="132"/>
        <v>1.3261267734293257E-2</v>
      </c>
      <c r="Y197" s="160">
        <f t="shared" si="154"/>
        <v>2.2481300847412801E-3</v>
      </c>
      <c r="Z197" s="160">
        <f t="shared" si="154"/>
        <v>3.2051282051282048E-2</v>
      </c>
      <c r="AA197" s="160">
        <f t="shared" si="155"/>
        <v>9.1999999999999998E-3</v>
      </c>
      <c r="AB197" s="161">
        <f t="shared" si="155"/>
        <v>9.9999999999988987E-5</v>
      </c>
    </row>
    <row r="198" spans="1:31" ht="15" customHeight="1">
      <c r="A198" s="178">
        <v>175</v>
      </c>
      <c r="B198" s="59" t="s">
        <v>229</v>
      </c>
      <c r="C198" s="59" t="s">
        <v>91</v>
      </c>
      <c r="D198" s="146" t="s">
        <v>329</v>
      </c>
      <c r="E198" s="71">
        <v>856967025.76999998</v>
      </c>
      <c r="F198" s="66">
        <f t="shared" si="128"/>
        <v>5.4309019473758437E-3</v>
      </c>
      <c r="G198" s="146" t="s">
        <v>329</v>
      </c>
      <c r="H198" s="65">
        <v>1.63</v>
      </c>
      <c r="I198" s="146" t="s">
        <v>329</v>
      </c>
      <c r="J198" s="65">
        <v>1.63</v>
      </c>
      <c r="K198" s="67">
        <v>44</v>
      </c>
      <c r="L198" s="68">
        <v>2.0999999999999999E-3</v>
      </c>
      <c r="M198" s="68">
        <v>6.5500000000000003E-2</v>
      </c>
      <c r="N198" s="146" t="s">
        <v>329</v>
      </c>
      <c r="O198" s="71">
        <v>859453105.02999997</v>
      </c>
      <c r="P198" s="66">
        <f t="shared" si="129"/>
        <v>5.4518862954269368E-3</v>
      </c>
      <c r="Q198" s="146" t="s">
        <v>329</v>
      </c>
      <c r="R198" s="65">
        <v>1.63</v>
      </c>
      <c r="S198" s="146" t="s">
        <v>329</v>
      </c>
      <c r="T198" s="65">
        <v>1.63</v>
      </c>
      <c r="U198" s="67">
        <v>44</v>
      </c>
      <c r="V198" s="68">
        <v>2.0999999999999999E-3</v>
      </c>
      <c r="W198" s="68">
        <v>6.8599999999999994E-2</v>
      </c>
      <c r="X198" s="160">
        <f t="shared" si="132"/>
        <v>2.9010209089039389E-3</v>
      </c>
      <c r="Y198" s="160">
        <f t="shared" si="154"/>
        <v>0</v>
      </c>
      <c r="Z198" s="160">
        <f t="shared" si="154"/>
        <v>0</v>
      </c>
      <c r="AA198" s="160">
        <f t="shared" si="155"/>
        <v>0</v>
      </c>
      <c r="AB198" s="161">
        <f t="shared" si="155"/>
        <v>3.0999999999999917E-3</v>
      </c>
    </row>
    <row r="199" spans="1:31" ht="15" customHeight="1">
      <c r="A199" s="178">
        <v>176</v>
      </c>
      <c r="B199" s="59" t="s">
        <v>230</v>
      </c>
      <c r="C199" s="60" t="s">
        <v>49</v>
      </c>
      <c r="D199" s="146" t="s">
        <v>329</v>
      </c>
      <c r="E199" s="71">
        <v>8899860991.8299999</v>
      </c>
      <c r="F199" s="66">
        <f t="shared" si="128"/>
        <v>5.6401554480436003E-2</v>
      </c>
      <c r="G199" s="146" t="s">
        <v>329</v>
      </c>
      <c r="H199" s="65">
        <v>3.0479699999999998</v>
      </c>
      <c r="I199" s="146" t="s">
        <v>329</v>
      </c>
      <c r="J199" s="65">
        <v>3.06663</v>
      </c>
      <c r="K199" s="67">
        <v>3490</v>
      </c>
      <c r="L199" s="68">
        <v>5.4000000000000003E-3</v>
      </c>
      <c r="M199" s="68">
        <v>0.37230000000000002</v>
      </c>
      <c r="N199" s="146" t="s">
        <v>329</v>
      </c>
      <c r="O199" s="71">
        <v>9395190279.8799992</v>
      </c>
      <c r="P199" s="88">
        <f t="shared" si="129"/>
        <v>5.9597794027421887E-2</v>
      </c>
      <c r="Q199" s="146" t="s">
        <v>329</v>
      </c>
      <c r="R199" s="65">
        <v>3.0156499999999999</v>
      </c>
      <c r="S199" s="146" t="s">
        <v>329</v>
      </c>
      <c r="T199" s="65">
        <v>3.03362</v>
      </c>
      <c r="U199" s="67">
        <v>3555</v>
      </c>
      <c r="V199" s="68">
        <v>-1E-4</v>
      </c>
      <c r="W199" s="68">
        <v>0.35770000000000002</v>
      </c>
      <c r="X199" s="160">
        <f t="shared" si="132"/>
        <v>5.565584546822782E-2</v>
      </c>
      <c r="Y199" s="160">
        <f t="shared" si="154"/>
        <v>-1.0764259137880991E-2</v>
      </c>
      <c r="Z199" s="160">
        <f t="shared" si="154"/>
        <v>1.8624641833810889E-2</v>
      </c>
      <c r="AA199" s="160">
        <f t="shared" si="155"/>
        <v>-5.5000000000000005E-3</v>
      </c>
      <c r="AB199" s="161">
        <f t="shared" si="155"/>
        <v>-1.4600000000000002E-2</v>
      </c>
    </row>
    <row r="200" spans="1:31" ht="14.4" customHeight="1">
      <c r="A200" s="178">
        <v>177</v>
      </c>
      <c r="B200" s="59" t="s">
        <v>231</v>
      </c>
      <c r="C200" s="60" t="s">
        <v>49</v>
      </c>
      <c r="D200" s="146" t="s">
        <v>329</v>
      </c>
      <c r="E200" s="71">
        <v>5207474331.0600004</v>
      </c>
      <c r="F200" s="66">
        <f t="shared" si="128"/>
        <v>3.3001599402325013E-2</v>
      </c>
      <c r="G200" s="146" t="s">
        <v>329</v>
      </c>
      <c r="H200" s="65">
        <v>2.49878</v>
      </c>
      <c r="I200" s="146" t="s">
        <v>329</v>
      </c>
      <c r="J200" s="65">
        <v>2.5183200000000001</v>
      </c>
      <c r="K200" s="67">
        <v>2131</v>
      </c>
      <c r="L200" s="68">
        <v>8.9999999999999998E-4</v>
      </c>
      <c r="M200" s="68">
        <v>0.39779999999999999</v>
      </c>
      <c r="N200" s="146" t="s">
        <v>329</v>
      </c>
      <c r="O200" s="71">
        <v>5281951785.4300003</v>
      </c>
      <c r="P200" s="88">
        <f t="shared" si="129"/>
        <v>3.3505726355001632E-2</v>
      </c>
      <c r="Q200" s="146" t="s">
        <v>329</v>
      </c>
      <c r="R200" s="65">
        <v>2.4533100000000001</v>
      </c>
      <c r="S200" s="146" t="s">
        <v>329</v>
      </c>
      <c r="T200" s="65">
        <v>2.4714700000000001</v>
      </c>
      <c r="U200" s="67">
        <v>2287</v>
      </c>
      <c r="V200" s="68">
        <v>-3.3999999999999998E-3</v>
      </c>
      <c r="W200" s="68">
        <v>0.37240000000000001</v>
      </c>
      <c r="X200" s="160">
        <f t="shared" si="132"/>
        <v>1.4302030050494696E-2</v>
      </c>
      <c r="Y200" s="160">
        <f t="shared" si="154"/>
        <v>-1.8603672289462837E-2</v>
      </c>
      <c r="Z200" s="160">
        <f t="shared" si="154"/>
        <v>7.3205068043172214E-2</v>
      </c>
      <c r="AA200" s="160">
        <f t="shared" si="155"/>
        <v>-4.3E-3</v>
      </c>
      <c r="AB200" s="161">
        <f t="shared" si="155"/>
        <v>-2.5399999999999978E-2</v>
      </c>
    </row>
    <row r="201" spans="1:31" ht="14.4" customHeight="1">
      <c r="A201" s="178">
        <v>178</v>
      </c>
      <c r="B201" s="59" t="s">
        <v>232</v>
      </c>
      <c r="C201" s="60" t="s">
        <v>115</v>
      </c>
      <c r="D201" s="146" t="s">
        <v>329</v>
      </c>
      <c r="E201" s="92">
        <v>14152799222.57</v>
      </c>
      <c r="F201" s="66">
        <f t="shared" ref="F201" si="156">(E201/$E$203)</f>
        <v>8.9691274631730974E-2</v>
      </c>
      <c r="G201" s="146" t="s">
        <v>329</v>
      </c>
      <c r="H201" s="65">
        <v>894.86</v>
      </c>
      <c r="I201" s="146" t="s">
        <v>329</v>
      </c>
      <c r="J201" s="65">
        <v>905.02</v>
      </c>
      <c r="K201" s="67">
        <v>43</v>
      </c>
      <c r="L201" s="68">
        <v>-1.7000000000000001E-2</v>
      </c>
      <c r="M201" s="68">
        <v>0.30159999999999998</v>
      </c>
      <c r="N201" s="146" t="s">
        <v>329</v>
      </c>
      <c r="O201" s="92">
        <v>14025104297.65</v>
      </c>
      <c r="P201" s="88">
        <f t="shared" ref="P201" si="157">(O201/$O$203)</f>
        <v>8.8967360132607171E-2</v>
      </c>
      <c r="Q201" s="146" t="s">
        <v>329</v>
      </c>
      <c r="R201" s="65">
        <v>886.83</v>
      </c>
      <c r="S201" s="146" t="s">
        <v>329</v>
      </c>
      <c r="T201" s="65">
        <v>896.84</v>
      </c>
      <c r="U201" s="67">
        <v>43</v>
      </c>
      <c r="V201" s="68">
        <v>-8.9999999999999993E-3</v>
      </c>
      <c r="W201" s="68">
        <v>0.2898</v>
      </c>
      <c r="X201" s="160">
        <f t="shared" ref="X201" si="158">((O201-E201)/E201)</f>
        <v>-9.0225914260381925E-3</v>
      </c>
      <c r="Y201" s="160">
        <f t="shared" ref="Y201" si="159">((T201-J201)/J201)</f>
        <v>-9.0384742878609863E-3</v>
      </c>
      <c r="Z201" s="160">
        <f t="shared" ref="Z201" si="160">((U201-K201)/K201)</f>
        <v>0</v>
      </c>
      <c r="AA201" s="160">
        <f t="shared" ref="AA201" si="161">V201-L201</f>
        <v>8.0000000000000019E-3</v>
      </c>
      <c r="AB201" s="161">
        <f t="shared" ref="AB201" si="162">W201-M201</f>
        <v>-1.1799999999999977E-2</v>
      </c>
    </row>
    <row r="202" spans="1:31" ht="17.399999999999999" customHeight="1">
      <c r="A202" s="178">
        <v>179</v>
      </c>
      <c r="B202" s="59" t="s">
        <v>342</v>
      </c>
      <c r="C202" s="60" t="s">
        <v>121</v>
      </c>
      <c r="D202" s="146" t="s">
        <v>329</v>
      </c>
      <c r="E202" s="65">
        <v>8077169543.8299999</v>
      </c>
      <c r="F202" s="66">
        <f>(E202/$E$203)</f>
        <v>5.1187868944498241E-2</v>
      </c>
      <c r="G202" s="146" t="s">
        <v>329</v>
      </c>
      <c r="H202" s="65">
        <v>46.684399999999997</v>
      </c>
      <c r="I202" s="146" t="s">
        <v>329</v>
      </c>
      <c r="J202" s="65">
        <v>47.2667</v>
      </c>
      <c r="K202" s="67">
        <v>6329</v>
      </c>
      <c r="L202" s="68">
        <v>-8.0000000000000004E-4</v>
      </c>
      <c r="M202" s="68">
        <v>0.37619999999999998</v>
      </c>
      <c r="N202" s="146" t="s">
        <v>329</v>
      </c>
      <c r="O202" s="65">
        <v>8054790880.1400003</v>
      </c>
      <c r="P202" s="88">
        <f>(O202/$O$203)</f>
        <v>5.1095055396224658E-2</v>
      </c>
      <c r="Q202" s="146" t="s">
        <v>329</v>
      </c>
      <c r="R202" s="65">
        <v>46.523099999999999</v>
      </c>
      <c r="S202" s="146" t="s">
        <v>329</v>
      </c>
      <c r="T202" s="65">
        <v>47.100700000000003</v>
      </c>
      <c r="U202" s="67">
        <v>6330</v>
      </c>
      <c r="V202" s="68">
        <v>2.7000000000000001E-3</v>
      </c>
      <c r="W202" s="68">
        <v>0.37140000000000001</v>
      </c>
      <c r="X202" s="160">
        <f>((O202-E202)/E202)</f>
        <v>-2.7706071500126213E-3</v>
      </c>
      <c r="Y202" s="160">
        <f>((T202-J202)/J202)</f>
        <v>-3.5119862397839665E-3</v>
      </c>
      <c r="Z202" s="160">
        <f>((U202-K202)/K202)</f>
        <v>1.5800284405119292E-4</v>
      </c>
      <c r="AA202" s="160">
        <f>V202-L202</f>
        <v>3.5000000000000001E-3</v>
      </c>
      <c r="AB202" s="161">
        <f>W202-M202</f>
        <v>-4.799999999999971E-3</v>
      </c>
    </row>
    <row r="203" spans="1:31">
      <c r="B203" s="74"/>
      <c r="C203" s="75" t="s">
        <v>52</v>
      </c>
      <c r="D203" s="120" t="s">
        <v>329</v>
      </c>
      <c r="E203" s="104">
        <f>SUM(E173:E202)</f>
        <v>157794604666.74005</v>
      </c>
      <c r="F203" s="77">
        <f>(E203/$E$238)</f>
        <v>1.7405446365746407E-2</v>
      </c>
      <c r="G203" s="146"/>
      <c r="H203" s="78"/>
      <c r="I203" s="146" t="s">
        <v>329</v>
      </c>
      <c r="J203" s="105"/>
      <c r="K203" s="80">
        <f>SUM(K173:K202)</f>
        <v>97014</v>
      </c>
      <c r="L203" s="106"/>
      <c r="M203" s="106"/>
      <c r="N203" s="146" t="s">
        <v>329</v>
      </c>
      <c r="O203" s="104">
        <f>SUM(O173:O202)</f>
        <v>157643255647.30002</v>
      </c>
      <c r="P203" s="77">
        <f>(O203/$O$238)</f>
        <v>1.7319829692004979E-2</v>
      </c>
      <c r="Q203" s="146" t="s">
        <v>329</v>
      </c>
      <c r="R203" s="78"/>
      <c r="S203" s="146" t="s">
        <v>329</v>
      </c>
      <c r="T203" s="105"/>
      <c r="U203" s="80">
        <f>SUM(U173:U202)</f>
        <v>97856</v>
      </c>
      <c r="V203" s="106"/>
      <c r="W203" s="106"/>
      <c r="X203" s="160">
        <f t="shared" ref="X203" si="163">((O203-E203)/E203)</f>
        <v>-9.591520556718648E-4</v>
      </c>
      <c r="Y203" s="160" t="e">
        <f t="shared" ref="Y203" si="164">((T203-J203)/J203)</f>
        <v>#DIV/0!</v>
      </c>
      <c r="Z203" s="160">
        <f t="shared" ref="Z203" si="165">((U203-K203)/K203)</f>
        <v>8.6791597089079919E-3</v>
      </c>
      <c r="AA203" s="160">
        <f t="shared" ref="AA203" si="166">V203-L203</f>
        <v>0</v>
      </c>
      <c r="AB203" s="161">
        <f t="shared" ref="AB203" si="167">W203-M203</f>
        <v>0</v>
      </c>
    </row>
    <row r="204" spans="1:31" ht="5.25" customHeight="1">
      <c r="B204" s="215"/>
      <c r="C204" s="215"/>
      <c r="D204" s="215"/>
      <c r="E204" s="215"/>
      <c r="F204" s="215"/>
      <c r="G204" s="215"/>
      <c r="H204" s="215"/>
      <c r="I204" s="215"/>
      <c r="J204" s="215"/>
      <c r="K204" s="215"/>
      <c r="L204" s="215"/>
      <c r="M204" s="215"/>
      <c r="N204" s="215"/>
      <c r="O204" s="215"/>
      <c r="P204" s="215"/>
      <c r="Q204" s="215"/>
      <c r="R204" s="215"/>
      <c r="S204" s="215"/>
      <c r="T204" s="215"/>
      <c r="U204" s="215"/>
      <c r="V204" s="215"/>
      <c r="W204" s="215"/>
      <c r="X204" s="215"/>
      <c r="Y204" s="215"/>
      <c r="Z204" s="215"/>
      <c r="AA204" s="215"/>
      <c r="AB204" s="215"/>
    </row>
    <row r="205" spans="1:31" ht="15" customHeight="1">
      <c r="A205" s="166"/>
      <c r="B205" s="217" t="s">
        <v>233</v>
      </c>
      <c r="C205" s="217"/>
      <c r="D205" s="217"/>
      <c r="E205" s="217"/>
      <c r="F205" s="217"/>
      <c r="G205" s="217"/>
      <c r="H205" s="217"/>
      <c r="I205" s="217"/>
      <c r="J205" s="217"/>
      <c r="K205" s="217"/>
      <c r="L205" s="217"/>
      <c r="M205" s="217"/>
      <c r="N205" s="217"/>
      <c r="O205" s="217"/>
      <c r="P205" s="217"/>
      <c r="Q205" s="217"/>
      <c r="R205" s="217"/>
      <c r="S205" s="217"/>
      <c r="T205" s="217"/>
      <c r="U205" s="217"/>
      <c r="V205" s="217"/>
      <c r="W205" s="217"/>
      <c r="X205" s="217"/>
      <c r="Y205" s="217"/>
      <c r="Z205" s="217"/>
      <c r="AA205" s="217"/>
      <c r="AB205" s="217"/>
    </row>
    <row r="206" spans="1:31" ht="15" customHeight="1">
      <c r="A206" s="178">
        <v>180</v>
      </c>
      <c r="B206" s="59" t="s">
        <v>305</v>
      </c>
      <c r="C206" s="60" t="s">
        <v>130</v>
      </c>
      <c r="D206" s="146" t="s">
        <v>329</v>
      </c>
      <c r="E206" s="107">
        <v>614668571.78999996</v>
      </c>
      <c r="F206" s="66">
        <v>0</v>
      </c>
      <c r="G206" s="146" t="s">
        <v>329</v>
      </c>
      <c r="H206" s="108">
        <v>1058.19</v>
      </c>
      <c r="I206" s="146" t="s">
        <v>329</v>
      </c>
      <c r="J206" s="108">
        <v>1058.19</v>
      </c>
      <c r="K206" s="67">
        <v>34</v>
      </c>
      <c r="L206" s="68">
        <v>1.97E-3</v>
      </c>
      <c r="M206" s="68">
        <v>5.706E-2</v>
      </c>
      <c r="N206" s="146" t="s">
        <v>329</v>
      </c>
      <c r="O206" s="107">
        <v>616181288.82000005</v>
      </c>
      <c r="P206" s="88">
        <f>(O206/$O$209)</f>
        <v>2.897129136934621E-2</v>
      </c>
      <c r="Q206" s="146" t="s">
        <v>329</v>
      </c>
      <c r="R206" s="108">
        <v>1060.76</v>
      </c>
      <c r="S206" s="146" t="s">
        <v>329</v>
      </c>
      <c r="T206" s="108">
        <v>1060.76</v>
      </c>
      <c r="U206" s="67">
        <v>34</v>
      </c>
      <c r="V206" s="68">
        <v>1.6100000000000001E-3</v>
      </c>
      <c r="W206" s="68">
        <v>5.9619999999999999E-2</v>
      </c>
      <c r="X206" s="160">
        <f>((O206-E206)/E206)</f>
        <v>2.461028755049E-3</v>
      </c>
      <c r="Y206" s="160">
        <f t="shared" ref="Y206" si="168">((T206-J206)/J206)</f>
        <v>2.4286753796576572E-3</v>
      </c>
      <c r="Z206" s="160">
        <f t="shared" ref="Z206" si="169">((U206-K206)/K206)</f>
        <v>0</v>
      </c>
      <c r="AA206" s="160">
        <f t="shared" ref="AA206" si="170">V206-L206</f>
        <v>-3.5999999999999986E-4</v>
      </c>
      <c r="AB206" s="161">
        <f t="shared" ref="AB206" si="171">W206-M206</f>
        <v>2.5599999999999998E-3</v>
      </c>
    </row>
    <row r="207" spans="1:31">
      <c r="A207" s="178">
        <v>181</v>
      </c>
      <c r="B207" s="59" t="s">
        <v>234</v>
      </c>
      <c r="C207" s="60" t="s">
        <v>235</v>
      </c>
      <c r="D207" s="146" t="s">
        <v>329</v>
      </c>
      <c r="E207" s="107">
        <v>1960085125.1099999</v>
      </c>
      <c r="F207" s="66">
        <f>(E207/$E$209)</f>
        <v>9.2107764002312312E-2</v>
      </c>
      <c r="G207" s="146" t="s">
        <v>329</v>
      </c>
      <c r="H207" s="108">
        <v>53.684899999999999</v>
      </c>
      <c r="I207" s="146" t="s">
        <v>329</v>
      </c>
      <c r="J207" s="108">
        <v>54.227499999999999</v>
      </c>
      <c r="K207" s="67">
        <v>1552</v>
      </c>
      <c r="L207" s="68">
        <v>-0.4249</v>
      </c>
      <c r="M207" s="68">
        <v>0.34289999999999998</v>
      </c>
      <c r="N207" s="146" t="s">
        <v>329</v>
      </c>
      <c r="O207" s="107">
        <v>1967191714.1700001</v>
      </c>
      <c r="P207" s="88">
        <f>(O207/$O$209)</f>
        <v>9.2492396904365143E-2</v>
      </c>
      <c r="Q207" s="146" t="s">
        <v>329</v>
      </c>
      <c r="R207" s="108">
        <v>53.819299999999998</v>
      </c>
      <c r="S207" s="146" t="s">
        <v>329</v>
      </c>
      <c r="T207" s="108">
        <v>54.363199999999999</v>
      </c>
      <c r="U207" s="67">
        <v>1550</v>
      </c>
      <c r="V207" s="68">
        <v>-0.4098</v>
      </c>
      <c r="W207" s="68">
        <v>0.3463</v>
      </c>
      <c r="X207" s="160">
        <f>((O207-E207)/E207)</f>
        <v>3.6256532785030752E-3</v>
      </c>
      <c r="Y207" s="160">
        <f t="shared" ref="Y207:Z209" si="172">((T207-J207)/J207)</f>
        <v>2.5024203586741034E-3</v>
      </c>
      <c r="Z207" s="160">
        <f t="shared" si="172"/>
        <v>-1.288659793814433E-3</v>
      </c>
      <c r="AA207" s="160">
        <f t="shared" ref="AA207:AB209" si="173">V207-L207</f>
        <v>1.5100000000000002E-2</v>
      </c>
      <c r="AB207" s="161">
        <f t="shared" si="173"/>
        <v>3.4000000000000141E-3</v>
      </c>
    </row>
    <row r="208" spans="1:31">
      <c r="A208" s="178">
        <v>182</v>
      </c>
      <c r="B208" s="59" t="s">
        <v>236</v>
      </c>
      <c r="C208" s="60" t="s">
        <v>46</v>
      </c>
      <c r="D208" s="146" t="s">
        <v>329</v>
      </c>
      <c r="E208" s="82">
        <v>18705592714.080002</v>
      </c>
      <c r="F208" s="66">
        <f>(E208/$E$209)</f>
        <v>0.87900790489145852</v>
      </c>
      <c r="G208" s="146" t="s">
        <v>329</v>
      </c>
      <c r="H208" s="108">
        <v>7.03</v>
      </c>
      <c r="I208" s="146" t="s">
        <v>329</v>
      </c>
      <c r="J208" s="108">
        <v>7.14</v>
      </c>
      <c r="K208" s="67">
        <v>16645</v>
      </c>
      <c r="L208" s="68">
        <v>-2.7199999999999998E-2</v>
      </c>
      <c r="M208" s="68">
        <v>0.57620000000000005</v>
      </c>
      <c r="N208" s="146" t="s">
        <v>329</v>
      </c>
      <c r="O208" s="82">
        <v>18685312640.48</v>
      </c>
      <c r="P208" s="88">
        <f>(O208/$O$209)</f>
        <v>0.87853631172628854</v>
      </c>
      <c r="Q208" s="146" t="s">
        <v>329</v>
      </c>
      <c r="R208" s="108">
        <v>7.02</v>
      </c>
      <c r="S208" s="146" t="s">
        <v>329</v>
      </c>
      <c r="T208" s="108">
        <v>7.13</v>
      </c>
      <c r="U208" s="67">
        <v>16815</v>
      </c>
      <c r="V208" s="68">
        <v>-2.8E-3</v>
      </c>
      <c r="W208" s="68">
        <v>0.57169999999999999</v>
      </c>
      <c r="X208" s="160">
        <f>((O208-E208)/E208)</f>
        <v>-1.0841716651265026E-3</v>
      </c>
      <c r="Y208" s="160">
        <f t="shared" si="172"/>
        <v>-1.4005602240896062E-3</v>
      </c>
      <c r="Z208" s="160">
        <f t="shared" si="172"/>
        <v>1.021327726043857E-2</v>
      </c>
      <c r="AA208" s="160">
        <f t="shared" si="173"/>
        <v>2.4399999999999998E-2</v>
      </c>
      <c r="AB208" s="161">
        <f t="shared" si="173"/>
        <v>-4.5000000000000595E-3</v>
      </c>
    </row>
    <row r="209" spans="1:30">
      <c r="B209" s="74"/>
      <c r="C209" s="98" t="s">
        <v>52</v>
      </c>
      <c r="D209" s="98"/>
      <c r="E209" s="104">
        <f>SUM(E206:E208)</f>
        <v>21280346410.980003</v>
      </c>
      <c r="F209" s="77">
        <f>(E209/$E$238)</f>
        <v>2.3473168102488874E-3</v>
      </c>
      <c r="G209" s="120"/>
      <c r="H209" s="78"/>
      <c r="I209" s="78"/>
      <c r="J209" s="105"/>
      <c r="K209" s="80">
        <f>SUM(K206:K208)</f>
        <v>18231</v>
      </c>
      <c r="L209" s="106"/>
      <c r="M209" s="106"/>
      <c r="N209" s="146" t="s">
        <v>329</v>
      </c>
      <c r="O209" s="104">
        <f>SUM(O206:O208)</f>
        <v>21268685643.470001</v>
      </c>
      <c r="P209" s="77">
        <f>(O209/$O$238)</f>
        <v>2.3367318291234547E-3</v>
      </c>
      <c r="Q209" s="146" t="s">
        <v>329</v>
      </c>
      <c r="R209" s="78"/>
      <c r="S209" s="146" t="s">
        <v>329</v>
      </c>
      <c r="T209" s="105"/>
      <c r="U209" s="80">
        <f>SUM(U206:U208)</f>
        <v>18399</v>
      </c>
      <c r="V209" s="106"/>
      <c r="W209" s="106"/>
      <c r="X209" s="160">
        <f>((O209-E209)/E209)</f>
        <v>-5.4795947795217934E-4</v>
      </c>
      <c r="Y209" s="160" t="e">
        <f t="shared" si="172"/>
        <v>#DIV/0!</v>
      </c>
      <c r="Z209" s="160">
        <f t="shared" si="172"/>
        <v>9.2150732269211787E-3</v>
      </c>
      <c r="AA209" s="160">
        <f t="shared" si="173"/>
        <v>0</v>
      </c>
      <c r="AB209" s="161">
        <f t="shared" si="173"/>
        <v>0</v>
      </c>
    </row>
    <row r="210" spans="1:30" ht="6" customHeight="1">
      <c r="B210" s="215"/>
      <c r="C210" s="215"/>
      <c r="D210" s="215"/>
      <c r="E210" s="215"/>
      <c r="F210" s="215"/>
      <c r="G210" s="215"/>
      <c r="H210" s="215"/>
      <c r="I210" s="215"/>
      <c r="J210" s="215"/>
      <c r="K210" s="215"/>
      <c r="L210" s="215"/>
      <c r="M210" s="215"/>
      <c r="N210" s="215"/>
      <c r="O210" s="215"/>
      <c r="P210" s="215"/>
      <c r="Q210" s="215"/>
      <c r="R210" s="215"/>
      <c r="S210" s="215"/>
      <c r="T210" s="215"/>
      <c r="U210" s="215"/>
      <c r="V210" s="215"/>
      <c r="W210" s="215"/>
      <c r="X210" s="215"/>
      <c r="Y210" s="215"/>
      <c r="Z210" s="215"/>
      <c r="AA210" s="215"/>
      <c r="AB210" s="215"/>
    </row>
    <row r="211" spans="1:30" ht="15" customHeight="1">
      <c r="A211" s="166"/>
      <c r="B211" s="213" t="s">
        <v>335</v>
      </c>
      <c r="C211" s="213"/>
      <c r="D211" s="213"/>
      <c r="E211" s="213"/>
      <c r="F211" s="213"/>
      <c r="G211" s="213"/>
      <c r="H211" s="213"/>
      <c r="I211" s="213"/>
      <c r="J211" s="213"/>
      <c r="K211" s="213"/>
      <c r="L211" s="213"/>
      <c r="M211" s="213"/>
      <c r="N211" s="213"/>
      <c r="O211" s="213"/>
      <c r="P211" s="213"/>
      <c r="Q211" s="213"/>
      <c r="R211" s="213"/>
      <c r="S211" s="213"/>
      <c r="T211" s="213"/>
      <c r="U211" s="213"/>
      <c r="V211" s="213"/>
      <c r="W211" s="213"/>
      <c r="X211" s="213"/>
      <c r="Y211" s="213"/>
      <c r="Z211" s="213"/>
      <c r="AA211" s="213"/>
      <c r="AB211" s="213"/>
    </row>
    <row r="212" spans="1:30">
      <c r="A212" s="170"/>
      <c r="B212" s="216" t="s">
        <v>334</v>
      </c>
      <c r="C212" s="216"/>
      <c r="D212" s="216"/>
      <c r="E212" s="216"/>
      <c r="F212" s="216"/>
      <c r="G212" s="216"/>
      <c r="H212" s="216"/>
      <c r="I212" s="216"/>
      <c r="J212" s="216"/>
      <c r="K212" s="216"/>
      <c r="L212" s="216"/>
      <c r="M212" s="216"/>
      <c r="N212" s="216"/>
      <c r="O212" s="216"/>
      <c r="P212" s="216"/>
      <c r="Q212" s="216"/>
      <c r="R212" s="216"/>
      <c r="S212" s="216"/>
      <c r="T212" s="216"/>
      <c r="U212" s="216"/>
      <c r="V212" s="216"/>
      <c r="W212" s="216"/>
      <c r="X212" s="216"/>
      <c r="Y212" s="216"/>
      <c r="Z212" s="216"/>
      <c r="AA212" s="216"/>
      <c r="AB212" s="216"/>
    </row>
    <row r="213" spans="1:30">
      <c r="A213" s="178">
        <v>183</v>
      </c>
      <c r="B213" s="59" t="s">
        <v>237</v>
      </c>
      <c r="C213" s="60" t="s">
        <v>238</v>
      </c>
      <c r="D213" s="146" t="s">
        <v>329</v>
      </c>
      <c r="E213" s="84">
        <v>17335066723.59</v>
      </c>
      <c r="F213" s="66">
        <f>(E213/$E$237)</f>
        <v>0.11695261822229498</v>
      </c>
      <c r="G213" s="146" t="s">
        <v>329</v>
      </c>
      <c r="H213" s="109">
        <v>3.93</v>
      </c>
      <c r="I213" s="146" t="s">
        <v>329</v>
      </c>
      <c r="J213" s="109">
        <v>4</v>
      </c>
      <c r="K213" s="85">
        <v>16798</v>
      </c>
      <c r="L213" s="86">
        <v>-1.7600000000000001E-2</v>
      </c>
      <c r="M213" s="86">
        <v>0.41710000000000003</v>
      </c>
      <c r="N213" s="146" t="s">
        <v>329</v>
      </c>
      <c r="O213" s="84">
        <v>17441931193.419998</v>
      </c>
      <c r="P213" s="66">
        <f>(O213/$O$237)</f>
        <v>0.12140809751064138</v>
      </c>
      <c r="Q213" s="146" t="s">
        <v>329</v>
      </c>
      <c r="R213" s="109">
        <v>3.92</v>
      </c>
      <c r="S213" s="146" t="s">
        <v>329</v>
      </c>
      <c r="T213" s="109">
        <v>3.99</v>
      </c>
      <c r="U213" s="85">
        <v>16863</v>
      </c>
      <c r="V213" s="86">
        <v>-2.3999999999999998E-3</v>
      </c>
      <c r="W213" s="86">
        <v>0.41399999999999998</v>
      </c>
      <c r="X213" s="162">
        <f>((O213-E213)/E213)</f>
        <v>6.1646413904236164E-3</v>
      </c>
      <c r="Y213" s="162">
        <f>((T213-J213)/J213)</f>
        <v>-2.4999999999999467E-3</v>
      </c>
      <c r="Z213" s="162">
        <f>((U213-K213)/K213)</f>
        <v>3.8695082747946183E-3</v>
      </c>
      <c r="AA213" s="162">
        <f>V213-L213</f>
        <v>1.5200000000000002E-2</v>
      </c>
      <c r="AB213" s="163">
        <f>W213-M213</f>
        <v>-3.1000000000000472E-3</v>
      </c>
    </row>
    <row r="214" spans="1:30">
      <c r="A214" s="178">
        <v>184</v>
      </c>
      <c r="B214" s="59" t="s">
        <v>239</v>
      </c>
      <c r="C214" s="60" t="s">
        <v>46</v>
      </c>
      <c r="D214" s="146" t="s">
        <v>329</v>
      </c>
      <c r="E214" s="84">
        <v>41670587365.900002</v>
      </c>
      <c r="F214" s="66">
        <f>(E214/$E$237)</f>
        <v>0.28113444113087432</v>
      </c>
      <c r="G214" s="146" t="s">
        <v>329</v>
      </c>
      <c r="H214" s="109">
        <v>1546.93</v>
      </c>
      <c r="I214" s="146" t="s">
        <v>329</v>
      </c>
      <c r="J214" s="109">
        <v>1567.22</v>
      </c>
      <c r="K214" s="85">
        <v>9453</v>
      </c>
      <c r="L214" s="86">
        <v>-2.3699999999999999E-2</v>
      </c>
      <c r="M214" s="86">
        <v>0.64829999999999999</v>
      </c>
      <c r="N214" s="146" t="s">
        <v>329</v>
      </c>
      <c r="O214" s="84">
        <v>36095059748.910004</v>
      </c>
      <c r="P214" s="66">
        <f>(O214/$O$237)</f>
        <v>0.25124697976685623</v>
      </c>
      <c r="Q214" s="146" t="s">
        <v>329</v>
      </c>
      <c r="R214" s="109">
        <v>1535.26</v>
      </c>
      <c r="S214" s="146" t="s">
        <v>329</v>
      </c>
      <c r="T214" s="109">
        <v>1555.94</v>
      </c>
      <c r="U214" s="85">
        <v>9721</v>
      </c>
      <c r="V214" s="86">
        <v>-7.1999999999999998E-3</v>
      </c>
      <c r="W214" s="86">
        <v>0.63649999999999995</v>
      </c>
      <c r="X214" s="162">
        <f>((O214-E214)/E214)</f>
        <v>-0.13380007265154559</v>
      </c>
      <c r="Y214" s="162">
        <f>((T214-J214)/J214)</f>
        <v>-7.1974579191179111E-3</v>
      </c>
      <c r="Z214" s="162">
        <f>((U214-K214)/K214)</f>
        <v>2.8350788109594838E-2</v>
      </c>
      <c r="AA214" s="162">
        <f>V214-L214</f>
        <v>1.6500000000000001E-2</v>
      </c>
      <c r="AB214" s="163">
        <f>W214-M214</f>
        <v>-1.1800000000000033E-2</v>
      </c>
    </row>
    <row r="215" spans="1:30" ht="6" customHeight="1">
      <c r="B215" s="215"/>
      <c r="C215" s="215"/>
      <c r="D215" s="215"/>
      <c r="E215" s="215"/>
      <c r="F215" s="215"/>
      <c r="G215" s="215"/>
      <c r="H215" s="215"/>
      <c r="I215" s="215"/>
      <c r="J215" s="215"/>
      <c r="K215" s="215"/>
      <c r="L215" s="215"/>
      <c r="M215" s="215"/>
      <c r="N215" s="215"/>
      <c r="O215" s="215"/>
      <c r="P215" s="215"/>
      <c r="Q215" s="215"/>
      <c r="R215" s="215"/>
      <c r="S215" s="215"/>
      <c r="T215" s="215"/>
      <c r="U215" s="215"/>
      <c r="V215" s="215"/>
      <c r="W215" s="215"/>
      <c r="X215" s="215"/>
      <c r="Y215" s="215"/>
      <c r="Z215" s="215"/>
      <c r="AA215" s="215"/>
      <c r="AB215" s="215"/>
    </row>
    <row r="216" spans="1:30" ht="15" customHeight="1">
      <c r="A216" s="170"/>
      <c r="B216" s="216" t="s">
        <v>332</v>
      </c>
      <c r="C216" s="216"/>
      <c r="D216" s="216"/>
      <c r="E216" s="216"/>
      <c r="F216" s="216"/>
      <c r="G216" s="216"/>
      <c r="H216" s="216"/>
      <c r="I216" s="216"/>
      <c r="J216" s="216"/>
      <c r="K216" s="216"/>
      <c r="L216" s="216"/>
      <c r="M216" s="216"/>
      <c r="N216" s="216"/>
      <c r="O216" s="216"/>
      <c r="P216" s="216"/>
      <c r="Q216" s="216"/>
      <c r="R216" s="216"/>
      <c r="S216" s="216"/>
      <c r="T216" s="216"/>
      <c r="U216" s="216"/>
      <c r="V216" s="216"/>
      <c r="W216" s="216"/>
      <c r="X216" s="216"/>
      <c r="Y216" s="216"/>
      <c r="Z216" s="216"/>
      <c r="AA216" s="216"/>
      <c r="AB216" s="216"/>
    </row>
    <row r="217" spans="1:30">
      <c r="A217" s="178">
        <v>185</v>
      </c>
      <c r="B217" s="59" t="s">
        <v>240</v>
      </c>
      <c r="C217" s="60" t="s">
        <v>23</v>
      </c>
      <c r="D217" s="146" t="s">
        <v>329</v>
      </c>
      <c r="E217" s="71">
        <v>1518008135.6099999</v>
      </c>
      <c r="F217" s="66">
        <f>(E217/$E$237)</f>
        <v>1.024138117107677E-2</v>
      </c>
      <c r="G217" s="146" t="s">
        <v>329</v>
      </c>
      <c r="H217" s="108">
        <v>1.1924999999999999</v>
      </c>
      <c r="I217" s="146" t="s">
        <v>329</v>
      </c>
      <c r="J217" s="108">
        <v>1.1924999999999999</v>
      </c>
      <c r="K217" s="67">
        <v>903</v>
      </c>
      <c r="L217" s="68">
        <v>0.13589999999999999</v>
      </c>
      <c r="M217" s="68">
        <v>0.1192</v>
      </c>
      <c r="N217" s="146" t="s">
        <v>329</v>
      </c>
      <c r="O217" s="71">
        <v>1521991795.8399999</v>
      </c>
      <c r="P217" s="66">
        <f t="shared" ref="P217:P230" si="174">(O217/$O$237)</f>
        <v>1.0594132399137562E-2</v>
      </c>
      <c r="Q217" s="146" t="s">
        <v>329</v>
      </c>
      <c r="R217" s="108">
        <v>1.1955</v>
      </c>
      <c r="S217" s="146" t="s">
        <v>329</v>
      </c>
      <c r="T217" s="108">
        <v>1.9550000000000001</v>
      </c>
      <c r="U217" s="67">
        <v>898</v>
      </c>
      <c r="V217" s="68">
        <v>0.13120000000000001</v>
      </c>
      <c r="W217" s="68">
        <v>0.12</v>
      </c>
      <c r="X217" s="160">
        <f>((O217-E217)/E217)</f>
        <v>2.6242680368766375E-3</v>
      </c>
      <c r="Y217" s="160">
        <f>((T217-J217)/J217)</f>
        <v>0.6394129979035641</v>
      </c>
      <c r="Z217" s="160">
        <f>((U217-K217)/K217)</f>
        <v>-5.5370985603543747E-3</v>
      </c>
      <c r="AA217" s="160">
        <f>V217-L217</f>
        <v>-4.699999999999982E-3</v>
      </c>
      <c r="AB217" s="161">
        <f>W217-M217</f>
        <v>7.9999999999999516E-4</v>
      </c>
      <c r="AD217" s="31"/>
    </row>
    <row r="218" spans="1:30" ht="15" customHeight="1">
      <c r="A218" s="178">
        <v>186</v>
      </c>
      <c r="B218" s="59" t="s">
        <v>241</v>
      </c>
      <c r="C218" s="60" t="s">
        <v>242</v>
      </c>
      <c r="D218" s="146" t="s">
        <v>329</v>
      </c>
      <c r="E218" s="71">
        <v>326617539.39999998</v>
      </c>
      <c r="F218" s="66">
        <f>(E218/$E$237)</f>
        <v>2.203555198214018E-3</v>
      </c>
      <c r="G218" s="146" t="s">
        <v>329</v>
      </c>
      <c r="H218" s="108">
        <v>1151.05</v>
      </c>
      <c r="I218" s="146" t="s">
        <v>329</v>
      </c>
      <c r="J218" s="108">
        <v>1151.05</v>
      </c>
      <c r="K218" s="67">
        <v>19</v>
      </c>
      <c r="L218" s="68">
        <v>1.8E-3</v>
      </c>
      <c r="M218" s="68">
        <v>5.7700000000000001E-2</v>
      </c>
      <c r="N218" s="146" t="s">
        <v>329</v>
      </c>
      <c r="O218" s="71">
        <v>297954346.66000003</v>
      </c>
      <c r="P218" s="66">
        <f t="shared" si="174"/>
        <v>2.0739716245792477E-3</v>
      </c>
      <c r="Q218" s="146" t="s">
        <v>329</v>
      </c>
      <c r="R218" s="108">
        <v>1148.03</v>
      </c>
      <c r="S218" s="146" t="s">
        <v>329</v>
      </c>
      <c r="T218" s="108">
        <v>1148.03</v>
      </c>
      <c r="U218" s="67">
        <v>19</v>
      </c>
      <c r="V218" s="68">
        <v>7.0000000000000001E-3</v>
      </c>
      <c r="W218" s="68">
        <v>6.13E-2</v>
      </c>
      <c r="X218" s="160">
        <f>((O218-E218)/E218)</f>
        <v>-8.775766541091011E-2</v>
      </c>
      <c r="Y218" s="160">
        <f>((T218-J218)/J218)</f>
        <v>-2.6236914121888551E-3</v>
      </c>
      <c r="Z218" s="160">
        <f>((U218-K218)/K218)</f>
        <v>0</v>
      </c>
      <c r="AA218" s="160">
        <f>V218-L218</f>
        <v>5.1999999999999998E-3</v>
      </c>
      <c r="AB218" s="161">
        <f>W218-M218</f>
        <v>3.599999999999999E-3</v>
      </c>
      <c r="AD218" s="31"/>
    </row>
    <row r="219" spans="1:30">
      <c r="A219" s="178">
        <v>187</v>
      </c>
      <c r="B219" s="59" t="s">
        <v>243</v>
      </c>
      <c r="C219" s="60" t="s">
        <v>69</v>
      </c>
      <c r="D219" s="146" t="s">
        <v>329</v>
      </c>
      <c r="E219" s="71">
        <v>369096064.16000003</v>
      </c>
      <c r="F219" s="66">
        <f>(E219/$E$237)</f>
        <v>2.4901404631061364E-3</v>
      </c>
      <c r="G219" s="146" t="s">
        <v>329</v>
      </c>
      <c r="H219" s="108">
        <v>125.27</v>
      </c>
      <c r="I219" s="146" t="s">
        <v>329</v>
      </c>
      <c r="J219" s="108">
        <v>125.27</v>
      </c>
      <c r="K219" s="67">
        <v>85</v>
      </c>
      <c r="L219" s="68">
        <v>2.8999999999999998E-3</v>
      </c>
      <c r="M219" s="68">
        <v>0.15609999999999999</v>
      </c>
      <c r="N219" s="146" t="s">
        <v>329</v>
      </c>
      <c r="O219" s="71">
        <v>370133456.99000001</v>
      </c>
      <c r="P219" s="66">
        <f t="shared" si="174"/>
        <v>2.5763889525688161E-3</v>
      </c>
      <c r="Q219" s="146" t="s">
        <v>329</v>
      </c>
      <c r="R219" s="108">
        <v>125.58</v>
      </c>
      <c r="S219" s="146" t="s">
        <v>329</v>
      </c>
      <c r="T219" s="108">
        <v>125.58</v>
      </c>
      <c r="U219" s="67">
        <v>86</v>
      </c>
      <c r="V219" s="68">
        <v>2.5000000000000001E-3</v>
      </c>
      <c r="W219" s="68">
        <v>0.15609999999999999</v>
      </c>
      <c r="X219" s="160">
        <f t="shared" ref="X219:X238" si="175">((O219-E219)/E219)</f>
        <v>2.8106309731611829E-3</v>
      </c>
      <c r="Y219" s="160">
        <f t="shared" ref="Y219:Y237" si="176">((T219-J219)/J219)</f>
        <v>2.4746547457492E-3</v>
      </c>
      <c r="Z219" s="160">
        <f t="shared" ref="Z219:Z237" si="177">((U219-K219)/K219)</f>
        <v>1.1764705882352941E-2</v>
      </c>
      <c r="AA219" s="160">
        <f t="shared" ref="AA219:AA237" si="178">V219-L219</f>
        <v>-3.9999999999999975E-4</v>
      </c>
      <c r="AB219" s="161">
        <f t="shared" ref="AB219:AB237" si="179">W219-M219</f>
        <v>0</v>
      </c>
    </row>
    <row r="220" spans="1:30">
      <c r="A220" s="178">
        <v>188</v>
      </c>
      <c r="B220" s="182" t="s">
        <v>244</v>
      </c>
      <c r="C220" s="60" t="s">
        <v>245</v>
      </c>
      <c r="D220" s="146" t="s">
        <v>329</v>
      </c>
      <c r="E220" s="71">
        <v>54636797.460000001</v>
      </c>
      <c r="F220" s="66">
        <v>0</v>
      </c>
      <c r="G220" s="146" t="s">
        <v>329</v>
      </c>
      <c r="H220" s="108">
        <v>106.84</v>
      </c>
      <c r="I220" s="146" t="s">
        <v>329</v>
      </c>
      <c r="J220" s="108">
        <v>106.84</v>
      </c>
      <c r="K220" s="67">
        <v>14</v>
      </c>
      <c r="L220" s="68">
        <v>3.3999999999999998E-3</v>
      </c>
      <c r="M220" s="68">
        <v>6.8400000000000002E-2</v>
      </c>
      <c r="N220" s="146" t="s">
        <v>329</v>
      </c>
      <c r="O220" s="71">
        <v>54795675.020000003</v>
      </c>
      <c r="P220" s="66">
        <f t="shared" si="174"/>
        <v>3.8141640293245149E-4</v>
      </c>
      <c r="Q220" s="146" t="s">
        <v>329</v>
      </c>
      <c r="R220" s="108">
        <v>107.15</v>
      </c>
      <c r="S220" s="146" t="s">
        <v>329</v>
      </c>
      <c r="T220" s="108">
        <v>107.15</v>
      </c>
      <c r="U220" s="67">
        <v>14</v>
      </c>
      <c r="V220" s="68">
        <v>3.0999999999999999E-3</v>
      </c>
      <c r="W220" s="68">
        <v>7.1499999999999994E-2</v>
      </c>
      <c r="X220" s="160">
        <f t="shared" si="175"/>
        <v>2.9078856628871378E-3</v>
      </c>
      <c r="Y220" s="160">
        <f t="shared" si="176"/>
        <v>2.9015350056158956E-3</v>
      </c>
      <c r="Z220" s="160">
        <f t="shared" si="177"/>
        <v>0</v>
      </c>
      <c r="AA220" s="160">
        <f t="shared" si="178"/>
        <v>-2.9999999999999992E-4</v>
      </c>
      <c r="AB220" s="161">
        <f t="shared" si="179"/>
        <v>3.0999999999999917E-3</v>
      </c>
    </row>
    <row r="221" spans="1:30">
      <c r="A221" s="178">
        <v>189</v>
      </c>
      <c r="B221" s="182" t="s">
        <v>246</v>
      </c>
      <c r="C221" s="60" t="s">
        <v>75</v>
      </c>
      <c r="D221" s="146" t="s">
        <v>329</v>
      </c>
      <c r="E221" s="82">
        <v>119439263.23999999</v>
      </c>
      <c r="F221" s="66">
        <f>(E221/$E$237)</f>
        <v>8.0580794854691275E-4</v>
      </c>
      <c r="G221" s="146" t="s">
        <v>329</v>
      </c>
      <c r="H221" s="108">
        <v>114.04</v>
      </c>
      <c r="I221" s="146" t="s">
        <v>329</v>
      </c>
      <c r="J221" s="108">
        <v>114.04</v>
      </c>
      <c r="K221" s="67">
        <v>20</v>
      </c>
      <c r="L221" s="68">
        <v>-1.03E-2</v>
      </c>
      <c r="M221" s="68">
        <v>0.15559999999999999</v>
      </c>
      <c r="N221" s="146" t="s">
        <v>329</v>
      </c>
      <c r="O221" s="82">
        <v>235707564.5</v>
      </c>
      <c r="P221" s="66">
        <f t="shared" si="174"/>
        <v>1.6406902800767578E-3</v>
      </c>
      <c r="Q221" s="146" t="s">
        <v>329</v>
      </c>
      <c r="R221" s="108">
        <v>112.53</v>
      </c>
      <c r="S221" s="146" t="s">
        <v>329</v>
      </c>
      <c r="T221" s="108">
        <v>112.53</v>
      </c>
      <c r="U221" s="67">
        <v>20</v>
      </c>
      <c r="V221" s="68">
        <v>-1.5299999999999999E-2</v>
      </c>
      <c r="W221" s="68">
        <v>0.14030000000000001</v>
      </c>
      <c r="X221" s="160">
        <f t="shared" si="175"/>
        <v>0.97345125971157165</v>
      </c>
      <c r="Y221" s="160">
        <f t="shared" si="176"/>
        <v>-1.3240968081375001E-2</v>
      </c>
      <c r="Z221" s="160">
        <f t="shared" si="177"/>
        <v>0</v>
      </c>
      <c r="AA221" s="160">
        <f t="shared" si="178"/>
        <v>-4.9999999999999992E-3</v>
      </c>
      <c r="AB221" s="161">
        <f t="shared" si="179"/>
        <v>-1.529999999999998E-2</v>
      </c>
    </row>
    <row r="222" spans="1:30">
      <c r="A222" s="178">
        <v>190</v>
      </c>
      <c r="B222" s="59" t="s">
        <v>247</v>
      </c>
      <c r="C222" s="60" t="s">
        <v>78</v>
      </c>
      <c r="D222" s="146" t="s">
        <v>329</v>
      </c>
      <c r="E222" s="82">
        <v>333592653.55000001</v>
      </c>
      <c r="F222" s="66">
        <v>0</v>
      </c>
      <c r="G222" s="146" t="s">
        <v>329</v>
      </c>
      <c r="H222" s="108">
        <v>1.22</v>
      </c>
      <c r="I222" s="146" t="s">
        <v>329</v>
      </c>
      <c r="J222" s="108">
        <v>1.22</v>
      </c>
      <c r="K222" s="67">
        <v>58</v>
      </c>
      <c r="L222" s="68">
        <v>-6.0000000000000001E-3</v>
      </c>
      <c r="M222" s="68">
        <v>0.1353</v>
      </c>
      <c r="N222" s="146" t="s">
        <v>329</v>
      </c>
      <c r="O222" s="82">
        <v>333592653.55000001</v>
      </c>
      <c r="P222" s="66">
        <f t="shared" si="174"/>
        <v>2.3220392834889195E-3</v>
      </c>
      <c r="Q222" s="146" t="s">
        <v>329</v>
      </c>
      <c r="R222" s="108">
        <v>1.22</v>
      </c>
      <c r="S222" s="146" t="s">
        <v>329</v>
      </c>
      <c r="T222" s="108">
        <v>1.22</v>
      </c>
      <c r="U222" s="67">
        <v>59</v>
      </c>
      <c r="V222" s="68">
        <v>1.1999999999999999E-3</v>
      </c>
      <c r="W222" s="68">
        <v>0.13469999999999999</v>
      </c>
      <c r="X222" s="160">
        <f t="shared" ref="X222:X223" si="180">((O222-E222)/E222)</f>
        <v>0</v>
      </c>
      <c r="Y222" s="160">
        <f t="shared" ref="Y222:Y223" si="181">((T222-J222)/J222)</f>
        <v>0</v>
      </c>
      <c r="Z222" s="160">
        <f t="shared" ref="Z222" si="182">((U222-K222)/K222)</f>
        <v>1.7241379310344827E-2</v>
      </c>
      <c r="AA222" s="160">
        <f t="shared" ref="AA222" si="183">V222-L222</f>
        <v>7.1999999999999998E-3</v>
      </c>
      <c r="AB222" s="161">
        <f t="shared" ref="AB222" si="184">W222-M222</f>
        <v>-6.0000000000001719E-4</v>
      </c>
    </row>
    <row r="223" spans="1:30">
      <c r="A223" s="178">
        <v>191</v>
      </c>
      <c r="B223" s="59" t="s">
        <v>326</v>
      </c>
      <c r="C223" s="60" t="s">
        <v>79</v>
      </c>
      <c r="D223" s="146" t="s">
        <v>329</v>
      </c>
      <c r="E223" s="71">
        <v>5755931838.2200003</v>
      </c>
      <c r="F223" s="66">
        <f t="shared" ref="F223:F230" si="185">(E223/$E$237)</f>
        <v>3.8832922279602632E-2</v>
      </c>
      <c r="G223" s="146" t="s">
        <v>329</v>
      </c>
      <c r="H223" s="108">
        <v>150.66999999999999</v>
      </c>
      <c r="I223" s="146" t="s">
        <v>329</v>
      </c>
      <c r="J223" s="108">
        <v>150.66999999999999</v>
      </c>
      <c r="K223" s="67">
        <v>957</v>
      </c>
      <c r="L223" s="68">
        <v>2.7000000000000001E-3</v>
      </c>
      <c r="M223" s="68">
        <v>5.8900000000000001E-2</v>
      </c>
      <c r="N223" s="146" t="s">
        <v>329</v>
      </c>
      <c r="O223" s="71">
        <v>5741374357.4499998</v>
      </c>
      <c r="P223" s="66">
        <f t="shared" si="174"/>
        <v>3.9963999978244888E-2</v>
      </c>
      <c r="Q223" s="146" t="s">
        <v>329</v>
      </c>
      <c r="R223" s="108">
        <v>151.01</v>
      </c>
      <c r="S223" s="146" t="s">
        <v>329</v>
      </c>
      <c r="T223" s="108">
        <v>151.01</v>
      </c>
      <c r="U223" s="67">
        <v>961</v>
      </c>
      <c r="V223" s="68">
        <v>2.3E-3</v>
      </c>
      <c r="W223" s="68">
        <v>6.13E-2</v>
      </c>
      <c r="X223" s="160">
        <f t="shared" si="180"/>
        <v>-2.5291266782099878E-3</v>
      </c>
      <c r="Y223" s="160">
        <f t="shared" si="181"/>
        <v>2.256587243645075E-3</v>
      </c>
      <c r="Z223" s="160">
        <f t="shared" si="177"/>
        <v>4.1797283176593526E-3</v>
      </c>
      <c r="AA223" s="160">
        <f t="shared" si="178"/>
        <v>-4.0000000000000018E-4</v>
      </c>
      <c r="AB223" s="161">
        <f t="shared" si="179"/>
        <v>2.3999999999999994E-3</v>
      </c>
    </row>
    <row r="224" spans="1:30">
      <c r="A224" s="178">
        <v>192</v>
      </c>
      <c r="B224" s="59" t="s">
        <v>248</v>
      </c>
      <c r="C224" s="60" t="s">
        <v>67</v>
      </c>
      <c r="D224" s="146" t="s">
        <v>329</v>
      </c>
      <c r="E224" s="71">
        <v>988309659.35000002</v>
      </c>
      <c r="F224" s="66">
        <f t="shared" si="185"/>
        <v>6.6677217987327038E-3</v>
      </c>
      <c r="G224" s="146" t="s">
        <v>329</v>
      </c>
      <c r="H224" s="70">
        <v>1394.92</v>
      </c>
      <c r="I224" s="146" t="s">
        <v>329</v>
      </c>
      <c r="J224" s="70">
        <v>1394.92</v>
      </c>
      <c r="K224" s="67">
        <v>341</v>
      </c>
      <c r="L224" s="68">
        <v>0.14269999999999999</v>
      </c>
      <c r="M224" s="68">
        <v>0.1237</v>
      </c>
      <c r="N224" s="146" t="s">
        <v>329</v>
      </c>
      <c r="O224" s="71">
        <v>990016719.17999995</v>
      </c>
      <c r="P224" s="66">
        <f t="shared" si="174"/>
        <v>6.8912120479362338E-3</v>
      </c>
      <c r="Q224" s="146" t="s">
        <v>329</v>
      </c>
      <c r="R224" s="70">
        <v>13988.38</v>
      </c>
      <c r="S224" s="146" t="s">
        <v>329</v>
      </c>
      <c r="T224" s="70">
        <v>1398.38</v>
      </c>
      <c r="U224" s="67">
        <v>340</v>
      </c>
      <c r="V224" s="68">
        <v>0.12920000000000001</v>
      </c>
      <c r="W224" s="68">
        <v>0.12429999999999999</v>
      </c>
      <c r="X224" s="160">
        <f t="shared" si="175"/>
        <v>1.7272519942005196E-3</v>
      </c>
      <c r="Y224" s="160">
        <f t="shared" si="176"/>
        <v>2.4804289851748031E-3</v>
      </c>
      <c r="Z224" s="160">
        <f t="shared" si="177"/>
        <v>-2.9325513196480938E-3</v>
      </c>
      <c r="AA224" s="160">
        <f t="shared" si="178"/>
        <v>-1.3499999999999984E-2</v>
      </c>
      <c r="AB224" s="161">
        <f t="shared" si="179"/>
        <v>5.9999999999998943E-4</v>
      </c>
    </row>
    <row r="225" spans="1:32">
      <c r="A225" s="178">
        <v>193</v>
      </c>
      <c r="B225" s="59" t="s">
        <v>249</v>
      </c>
      <c r="C225" s="60" t="s">
        <v>238</v>
      </c>
      <c r="D225" s="146" t="s">
        <v>329</v>
      </c>
      <c r="E225" s="71">
        <v>46374494615.160004</v>
      </c>
      <c r="F225" s="66">
        <f t="shared" si="185"/>
        <v>0.31286978299299445</v>
      </c>
      <c r="G225" s="146" t="s">
        <v>329</v>
      </c>
      <c r="H225" s="70">
        <v>1306.07</v>
      </c>
      <c r="I225" s="146" t="s">
        <v>329</v>
      </c>
      <c r="J225" s="70">
        <v>1306.07</v>
      </c>
      <c r="K225" s="67">
        <v>13530</v>
      </c>
      <c r="L225" s="68">
        <v>3.5999999999999999E-3</v>
      </c>
      <c r="M225" s="68">
        <v>6.59E-2</v>
      </c>
      <c r="N225" s="146" t="s">
        <v>329</v>
      </c>
      <c r="O225" s="71">
        <v>46947769815.800003</v>
      </c>
      <c r="P225" s="66">
        <f t="shared" si="174"/>
        <v>0.32678946800650543</v>
      </c>
      <c r="Q225" s="146" t="s">
        <v>329</v>
      </c>
      <c r="R225" s="70">
        <v>1308.27</v>
      </c>
      <c r="S225" s="146" t="s">
        <v>329</v>
      </c>
      <c r="T225" s="70">
        <v>1308.27</v>
      </c>
      <c r="U225" s="67">
        <v>13589</v>
      </c>
      <c r="V225" s="68">
        <v>1.6999999999999999E-3</v>
      </c>
      <c r="W225" s="68">
        <v>6.7599999999999993E-2</v>
      </c>
      <c r="X225" s="160">
        <f t="shared" si="175"/>
        <v>1.2361864110807872E-2</v>
      </c>
      <c r="Y225" s="160">
        <f t="shared" si="176"/>
        <v>1.6844426408998336E-3</v>
      </c>
      <c r="Z225" s="160">
        <f t="shared" si="177"/>
        <v>4.3606799704360684E-3</v>
      </c>
      <c r="AA225" s="160">
        <f t="shared" si="178"/>
        <v>-1.9E-3</v>
      </c>
      <c r="AB225" s="161">
        <f t="shared" si="179"/>
        <v>1.6999999999999932E-3</v>
      </c>
    </row>
    <row r="226" spans="1:32">
      <c r="A226" s="178">
        <v>194</v>
      </c>
      <c r="B226" s="59" t="s">
        <v>250</v>
      </c>
      <c r="C226" s="60" t="s">
        <v>251</v>
      </c>
      <c r="D226" s="146" t="s">
        <v>329</v>
      </c>
      <c r="E226" s="71">
        <v>593359750.41999996</v>
      </c>
      <c r="F226" s="66">
        <f t="shared" si="185"/>
        <v>4.00315599967735E-3</v>
      </c>
      <c r="G226" s="146" t="s">
        <v>329</v>
      </c>
      <c r="H226" s="109">
        <v>141.85</v>
      </c>
      <c r="I226" s="146" t="s">
        <v>329</v>
      </c>
      <c r="J226" s="109">
        <v>142.31</v>
      </c>
      <c r="K226" s="85">
        <v>145</v>
      </c>
      <c r="L226" s="68">
        <v>2.2000000000000001E-3</v>
      </c>
      <c r="M226" s="68">
        <v>0.1663</v>
      </c>
      <c r="N226" s="146" t="s">
        <v>329</v>
      </c>
      <c r="O226" s="71">
        <v>594427424.03999996</v>
      </c>
      <c r="P226" s="66">
        <f t="shared" si="174"/>
        <v>4.1376325740852208E-3</v>
      </c>
      <c r="Q226" s="146" t="s">
        <v>329</v>
      </c>
      <c r="R226" s="109">
        <v>141.77000000000001</v>
      </c>
      <c r="S226" s="146" t="s">
        <v>329</v>
      </c>
      <c r="T226" s="109">
        <v>142.22999999999999</v>
      </c>
      <c r="U226" s="85">
        <v>145</v>
      </c>
      <c r="V226" s="68">
        <v>-5.9999999999999995E-4</v>
      </c>
      <c r="W226" s="68">
        <v>0.16589999999999999</v>
      </c>
      <c r="X226" s="160">
        <f>((O226-E226)/E226)</f>
        <v>1.7993698076828931E-3</v>
      </c>
      <c r="Y226" s="160">
        <f t="shared" si="176"/>
        <v>-5.621530461669068E-4</v>
      </c>
      <c r="Z226" s="160">
        <f t="shared" si="177"/>
        <v>0</v>
      </c>
      <c r="AA226" s="160">
        <f t="shared" si="178"/>
        <v>-2.8E-3</v>
      </c>
      <c r="AB226" s="161">
        <f t="shared" si="179"/>
        <v>-4.0000000000001146E-4</v>
      </c>
    </row>
    <row r="227" spans="1:32">
      <c r="A227" s="178">
        <v>195</v>
      </c>
      <c r="B227" s="59" t="s">
        <v>252</v>
      </c>
      <c r="C227" s="60" t="s">
        <v>251</v>
      </c>
      <c r="D227" s="146" t="s">
        <v>329</v>
      </c>
      <c r="E227" s="71">
        <v>1029913825.0700001</v>
      </c>
      <c r="F227" s="66">
        <f t="shared" si="185"/>
        <v>6.9484081201350249E-3</v>
      </c>
      <c r="G227" s="146" t="s">
        <v>329</v>
      </c>
      <c r="H227" s="109">
        <v>148.25</v>
      </c>
      <c r="I227" s="146" t="s">
        <v>329</v>
      </c>
      <c r="J227" s="109">
        <v>148.25</v>
      </c>
      <c r="K227" s="85">
        <v>140</v>
      </c>
      <c r="L227" s="68">
        <v>6.1000000000000004E-3</v>
      </c>
      <c r="M227" s="68">
        <v>9.2399999999999996E-2</v>
      </c>
      <c r="N227" s="146" t="s">
        <v>329</v>
      </c>
      <c r="O227" s="71">
        <v>1034731744.5700001</v>
      </c>
      <c r="P227" s="66">
        <f t="shared" si="174"/>
        <v>7.2024600457948626E-3</v>
      </c>
      <c r="Q227" s="146" t="s">
        <v>329</v>
      </c>
      <c r="R227" s="109">
        <v>148.86000000000001</v>
      </c>
      <c r="S227" s="146" t="s">
        <v>329</v>
      </c>
      <c r="T227" s="109">
        <v>148.86000000000001</v>
      </c>
      <c r="U227" s="85">
        <v>141</v>
      </c>
      <c r="V227" s="68">
        <v>4.1000000000000003E-3</v>
      </c>
      <c r="W227" s="68">
        <v>9.7600000000000006E-2</v>
      </c>
      <c r="X227" s="160">
        <f t="shared" si="175"/>
        <v>4.6779831309406309E-3</v>
      </c>
      <c r="Y227" s="160">
        <f t="shared" si="176"/>
        <v>4.1146711635751338E-3</v>
      </c>
      <c r="Z227" s="160">
        <f t="shared" si="177"/>
        <v>7.1428571428571426E-3</v>
      </c>
      <c r="AA227" s="160">
        <f t="shared" si="178"/>
        <v>-2E-3</v>
      </c>
      <c r="AB227" s="161">
        <f t="shared" si="179"/>
        <v>5.2000000000000102E-3</v>
      </c>
    </row>
    <row r="228" spans="1:32" ht="13.5" customHeight="1">
      <c r="A228" s="178">
        <v>196</v>
      </c>
      <c r="B228" s="59" t="s">
        <v>253</v>
      </c>
      <c r="C228" s="60" t="s">
        <v>98</v>
      </c>
      <c r="D228" s="146" t="s">
        <v>329</v>
      </c>
      <c r="E228" s="71">
        <v>3261738453</v>
      </c>
      <c r="F228" s="66">
        <f t="shared" si="185"/>
        <v>2.2005617752574067E-2</v>
      </c>
      <c r="G228" s="146" t="s">
        <v>329</v>
      </c>
      <c r="H228" s="91">
        <v>108.13</v>
      </c>
      <c r="I228" s="146" t="s">
        <v>329</v>
      </c>
      <c r="J228" s="91">
        <v>108.13</v>
      </c>
      <c r="K228" s="67">
        <v>936</v>
      </c>
      <c r="L228" s="68">
        <v>3.5000000000000001E-3</v>
      </c>
      <c r="M228" s="68">
        <v>0.185</v>
      </c>
      <c r="N228" s="146" t="s">
        <v>329</v>
      </c>
      <c r="O228" s="71">
        <v>3608854775</v>
      </c>
      <c r="P228" s="66">
        <f t="shared" si="174"/>
        <v>2.5120165167847614E-2</v>
      </c>
      <c r="Q228" s="146" t="s">
        <v>329</v>
      </c>
      <c r="R228" s="91">
        <v>108.51</v>
      </c>
      <c r="S228" s="146" t="s">
        <v>329</v>
      </c>
      <c r="T228" s="91">
        <v>108.51</v>
      </c>
      <c r="U228" s="67">
        <v>948</v>
      </c>
      <c r="V228" s="68">
        <v>3.5000000000000001E-3</v>
      </c>
      <c r="W228" s="68">
        <v>0.1852</v>
      </c>
      <c r="X228" s="160">
        <f t="shared" si="175"/>
        <v>0.10642064868221977</v>
      </c>
      <c r="Y228" s="160">
        <f t="shared" si="176"/>
        <v>3.5142883566078764E-3</v>
      </c>
      <c r="Z228" s="160">
        <f t="shared" si="177"/>
        <v>1.282051282051282E-2</v>
      </c>
      <c r="AA228" s="160">
        <f t="shared" si="178"/>
        <v>0</v>
      </c>
      <c r="AB228" s="161">
        <f t="shared" si="179"/>
        <v>2.0000000000000573E-4</v>
      </c>
    </row>
    <row r="229" spans="1:32" ht="15.75" customHeight="1">
      <c r="A229" s="178">
        <v>197</v>
      </c>
      <c r="B229" s="59" t="s">
        <v>254</v>
      </c>
      <c r="C229" s="60" t="s">
        <v>46</v>
      </c>
      <c r="D229" s="146" t="s">
        <v>329</v>
      </c>
      <c r="E229" s="71">
        <v>2583619889.0900002</v>
      </c>
      <c r="F229" s="66">
        <f t="shared" si="185"/>
        <v>1.7430628640677938E-2</v>
      </c>
      <c r="G229" s="146" t="s">
        <v>329</v>
      </c>
      <c r="H229" s="91">
        <v>153.97</v>
      </c>
      <c r="I229" s="146" t="s">
        <v>329</v>
      </c>
      <c r="J229" s="91">
        <v>153.97</v>
      </c>
      <c r="K229" s="67">
        <v>3135</v>
      </c>
      <c r="L229" s="68">
        <v>2.5000000000000001E-3</v>
      </c>
      <c r="M229" s="68">
        <v>0.1547</v>
      </c>
      <c r="N229" s="146" t="s">
        <v>329</v>
      </c>
      <c r="O229" s="71">
        <v>2606472990.4400001</v>
      </c>
      <c r="P229" s="66">
        <f t="shared" si="174"/>
        <v>1.8142883575963928E-2</v>
      </c>
      <c r="Q229" s="146" t="s">
        <v>329</v>
      </c>
      <c r="R229" s="91">
        <v>153.6</v>
      </c>
      <c r="S229" s="146" t="s">
        <v>329</v>
      </c>
      <c r="T229" s="91">
        <v>153.6</v>
      </c>
      <c r="U229" s="67">
        <v>3224</v>
      </c>
      <c r="V229" s="68">
        <v>-2E-3</v>
      </c>
      <c r="W229" s="68">
        <v>0.14319999999999999</v>
      </c>
      <c r="X229" s="160">
        <f t="shared" si="175"/>
        <v>8.8453806407447957E-3</v>
      </c>
      <c r="Y229" s="160">
        <f t="shared" si="176"/>
        <v>-2.4030655322465713E-3</v>
      </c>
      <c r="Z229" s="160">
        <f t="shared" si="177"/>
        <v>2.8389154704944179E-2</v>
      </c>
      <c r="AA229" s="160">
        <f t="shared" si="178"/>
        <v>-4.5000000000000005E-3</v>
      </c>
      <c r="AB229" s="161">
        <f t="shared" si="179"/>
        <v>-1.150000000000001E-2</v>
      </c>
    </row>
    <row r="230" spans="1:32">
      <c r="A230" s="178">
        <v>198</v>
      </c>
      <c r="B230" s="59" t="s">
        <v>255</v>
      </c>
      <c r="C230" s="60" t="s">
        <v>49</v>
      </c>
      <c r="D230" s="146" t="s">
        <v>329</v>
      </c>
      <c r="E230" s="71">
        <v>4163764253.0999999</v>
      </c>
      <c r="F230" s="66">
        <f t="shared" si="185"/>
        <v>2.809121757793823E-2</v>
      </c>
      <c r="G230" s="146" t="s">
        <v>329</v>
      </c>
      <c r="H230" s="91">
        <v>1.2745</v>
      </c>
      <c r="I230" s="146" t="s">
        <v>329</v>
      </c>
      <c r="J230" s="91">
        <v>1.2745</v>
      </c>
      <c r="K230" s="67">
        <v>2250</v>
      </c>
      <c r="L230" s="68">
        <v>2.2000000000000001E-3</v>
      </c>
      <c r="M230" s="68">
        <v>9.5000000000000001E-2</v>
      </c>
      <c r="N230" s="146" t="s">
        <v>329</v>
      </c>
      <c r="O230" s="71">
        <v>4140785579.9299998</v>
      </c>
      <c r="P230" s="66">
        <f t="shared" si="174"/>
        <v>2.8822777356698501E-2</v>
      </c>
      <c r="Q230" s="146" t="s">
        <v>329</v>
      </c>
      <c r="R230" s="91">
        <v>1.2823</v>
      </c>
      <c r="S230" s="146" t="s">
        <v>329</v>
      </c>
      <c r="T230" s="91">
        <v>1.2823</v>
      </c>
      <c r="U230" s="67">
        <v>2279</v>
      </c>
      <c r="V230" s="68">
        <v>1.8E-3</v>
      </c>
      <c r="W230" s="68">
        <v>9.7799999999999998E-2</v>
      </c>
      <c r="X230" s="160">
        <f t="shared" si="175"/>
        <v>-5.5187257907053757E-3</v>
      </c>
      <c r="Y230" s="160">
        <f t="shared" si="176"/>
        <v>6.1200470772852329E-3</v>
      </c>
      <c r="Z230" s="160">
        <f t="shared" si="177"/>
        <v>1.2888888888888889E-2</v>
      </c>
      <c r="AA230" s="160">
        <f t="shared" si="178"/>
        <v>-4.0000000000000018E-4</v>
      </c>
      <c r="AB230" s="161">
        <f t="shared" si="179"/>
        <v>2.7999999999999969E-3</v>
      </c>
    </row>
    <row r="231" spans="1:32" ht="4.8" customHeight="1">
      <c r="B231" s="215"/>
      <c r="C231" s="215"/>
      <c r="D231" s="215"/>
      <c r="E231" s="215"/>
      <c r="F231" s="215"/>
      <c r="G231" s="215"/>
      <c r="H231" s="215"/>
      <c r="I231" s="215"/>
      <c r="J231" s="215"/>
      <c r="K231" s="215"/>
      <c r="L231" s="215"/>
      <c r="M231" s="215"/>
      <c r="N231" s="215"/>
      <c r="O231" s="215"/>
      <c r="P231" s="215"/>
      <c r="Q231" s="215"/>
      <c r="R231" s="215"/>
      <c r="S231" s="215"/>
      <c r="T231" s="215"/>
      <c r="U231" s="215"/>
      <c r="V231" s="215"/>
      <c r="W231" s="215"/>
      <c r="X231" s="215"/>
      <c r="Y231" s="215"/>
      <c r="Z231" s="215"/>
      <c r="AA231" s="215"/>
      <c r="AB231" s="215"/>
    </row>
    <row r="232" spans="1:32">
      <c r="A232" s="170"/>
      <c r="B232" s="216" t="s">
        <v>333</v>
      </c>
      <c r="C232" s="216"/>
      <c r="D232" s="216"/>
      <c r="E232" s="216"/>
      <c r="F232" s="216"/>
      <c r="G232" s="216"/>
      <c r="H232" s="216"/>
      <c r="I232" s="216"/>
      <c r="J232" s="216"/>
      <c r="K232" s="216"/>
      <c r="L232" s="216"/>
      <c r="M232" s="216"/>
      <c r="N232" s="216"/>
      <c r="O232" s="216"/>
      <c r="P232" s="216"/>
      <c r="Q232" s="216"/>
      <c r="R232" s="216"/>
      <c r="S232" s="216"/>
      <c r="T232" s="216"/>
      <c r="U232" s="216"/>
      <c r="V232" s="216"/>
      <c r="W232" s="216"/>
      <c r="X232" s="216"/>
      <c r="Y232" s="216"/>
      <c r="Z232" s="216"/>
      <c r="AA232" s="216"/>
      <c r="AB232" s="216"/>
    </row>
    <row r="233" spans="1:32">
      <c r="A233" s="178">
        <v>199</v>
      </c>
      <c r="B233" s="59" t="s">
        <v>256</v>
      </c>
      <c r="C233" s="60" t="s">
        <v>19</v>
      </c>
      <c r="D233" s="146" t="s">
        <v>329</v>
      </c>
      <c r="E233" s="107">
        <v>660281266.39999998</v>
      </c>
      <c r="F233" s="66">
        <f>(E233/$E$209)</f>
        <v>3.1027749908211794E-2</v>
      </c>
      <c r="G233" s="146" t="s">
        <v>329</v>
      </c>
      <c r="H233" s="108">
        <v>120.20959999999999</v>
      </c>
      <c r="I233" s="146" t="s">
        <v>329</v>
      </c>
      <c r="J233" s="108">
        <v>120.20959999999999</v>
      </c>
      <c r="K233" s="63">
        <v>110</v>
      </c>
      <c r="L233" s="64">
        <v>-2.8E-3</v>
      </c>
      <c r="M233" s="64">
        <v>0.1462</v>
      </c>
      <c r="N233" s="146" t="s">
        <v>329</v>
      </c>
      <c r="O233" s="107">
        <v>661095761.94000006</v>
      </c>
      <c r="P233" s="88">
        <f>(O233/O234)</f>
        <v>3.2422807090723399E-2</v>
      </c>
      <c r="Q233" s="146" t="s">
        <v>329</v>
      </c>
      <c r="R233" s="108">
        <v>119.3562</v>
      </c>
      <c r="S233" s="146" t="s">
        <v>329</v>
      </c>
      <c r="T233" s="108">
        <v>119.3562</v>
      </c>
      <c r="U233" s="63">
        <v>110</v>
      </c>
      <c r="V233" s="64">
        <v>-7.1000000000000004E-3</v>
      </c>
      <c r="W233" s="64">
        <v>0.13800000000000001</v>
      </c>
      <c r="X233" s="160">
        <f>((O233-E233)/E233)</f>
        <v>1.2335584567481242E-3</v>
      </c>
      <c r="Y233" s="160">
        <f t="shared" ref="Y233" si="186">((T233-J233)/J233)</f>
        <v>-7.099266614313612E-3</v>
      </c>
      <c r="Z233" s="160">
        <f t="shared" ref="Z233" si="187">((U233-K233)/K233)</f>
        <v>0</v>
      </c>
      <c r="AA233" s="160">
        <f t="shared" ref="AA233" si="188">V233-L233</f>
        <v>-4.3E-3</v>
      </c>
      <c r="AB233" s="161">
        <f t="shared" ref="AB233" si="189">W233-M233</f>
        <v>-8.1999999999999851E-3</v>
      </c>
      <c r="AD233" s="52"/>
      <c r="AE233" s="52"/>
    </row>
    <row r="234" spans="1:32">
      <c r="A234" s="181">
        <v>200</v>
      </c>
      <c r="B234" s="59" t="s">
        <v>257</v>
      </c>
      <c r="C234" s="60" t="s">
        <v>23</v>
      </c>
      <c r="D234" s="146" t="s">
        <v>329</v>
      </c>
      <c r="E234" s="107">
        <v>20499996026.209999</v>
      </c>
      <c r="F234" s="66">
        <f>(E234/$E$209)</f>
        <v>0.96332999615234804</v>
      </c>
      <c r="G234" s="146" t="s">
        <v>329</v>
      </c>
      <c r="H234" s="108">
        <v>151.19839999999999</v>
      </c>
      <c r="I234" s="146" t="s">
        <v>329</v>
      </c>
      <c r="J234" s="108">
        <v>155.75720000000001</v>
      </c>
      <c r="K234" s="63">
        <v>7465</v>
      </c>
      <c r="L234" s="64">
        <v>-1.8327900510004658E-2</v>
      </c>
      <c r="M234" s="64">
        <v>0.45197291391666861</v>
      </c>
      <c r="N234" s="146" t="s">
        <v>329</v>
      </c>
      <c r="O234" s="107">
        <v>20389837316.990002</v>
      </c>
      <c r="P234" s="88">
        <f>(O234/$O$209)</f>
        <v>0.95867876646388694</v>
      </c>
      <c r="Q234" s="146" t="s">
        <v>329</v>
      </c>
      <c r="R234" s="108">
        <v>150.85589999999999</v>
      </c>
      <c r="S234" s="146" t="s">
        <v>329</v>
      </c>
      <c r="T234" s="108">
        <v>155.38951890000001</v>
      </c>
      <c r="U234" s="63">
        <v>7525</v>
      </c>
      <c r="V234" s="64">
        <v>-2.3999999999999998E-3</v>
      </c>
      <c r="W234" s="64">
        <v>-0.1231</v>
      </c>
      <c r="X234" s="160">
        <f>((O234-E234)/E234)</f>
        <v>-5.3735966133435075E-3</v>
      </c>
      <c r="Y234" s="160">
        <f t="shared" ref="Y234" si="190">((T234-J234)/J234)</f>
        <v>-2.3606041967883257E-3</v>
      </c>
      <c r="Z234" s="160">
        <f t="shared" ref="Z234" si="191">((U234-K234)/K234)</f>
        <v>8.0375083724045539E-3</v>
      </c>
      <c r="AA234" s="160">
        <f t="shared" ref="AA234" si="192">V234-L234</f>
        <v>1.5927900510004658E-2</v>
      </c>
      <c r="AB234" s="161">
        <f t="shared" ref="AB234" si="193">W234-M234</f>
        <v>-0.57507291391666859</v>
      </c>
      <c r="AC234" s="41"/>
      <c r="AD234" s="41"/>
      <c r="AE234" s="41"/>
      <c r="AF234" s="52"/>
    </row>
    <row r="235" spans="1:32">
      <c r="A235" s="178">
        <v>201</v>
      </c>
      <c r="B235" s="59" t="s">
        <v>258</v>
      </c>
      <c r="C235" s="60" t="s">
        <v>238</v>
      </c>
      <c r="D235" s="146" t="s">
        <v>329</v>
      </c>
      <c r="E235" s="71">
        <v>412845308.33999997</v>
      </c>
      <c r="F235" s="66">
        <f t="shared" ref="F235" si="194">(E235/$E$237)</f>
        <v>2.7852987531595983E-3</v>
      </c>
      <c r="G235" s="146" t="s">
        <v>329</v>
      </c>
      <c r="H235" s="70">
        <v>1686.51</v>
      </c>
      <c r="I235" s="146" t="s">
        <v>329</v>
      </c>
      <c r="J235" s="70">
        <v>1686.51</v>
      </c>
      <c r="K235" s="67">
        <v>183</v>
      </c>
      <c r="L235" s="68">
        <v>-3.3700000000000001E-2</v>
      </c>
      <c r="M235" s="68">
        <v>0.3513</v>
      </c>
      <c r="N235" s="146" t="s">
        <v>329</v>
      </c>
      <c r="O235" s="71">
        <v>412616244.06999999</v>
      </c>
      <c r="P235" s="66">
        <f t="shared" ref="P235" si="195">(O235/$O$237)</f>
        <v>2.872099003201181E-3</v>
      </c>
      <c r="Q235" s="146" t="s">
        <v>329</v>
      </c>
      <c r="R235" s="70">
        <v>1685.34</v>
      </c>
      <c r="S235" s="146" t="s">
        <v>329</v>
      </c>
      <c r="T235" s="70">
        <v>1685.34</v>
      </c>
      <c r="U235" s="67">
        <v>183</v>
      </c>
      <c r="V235" s="68">
        <v>-6.9999999999999999E-4</v>
      </c>
      <c r="W235" s="68">
        <v>0.35039999999999999</v>
      </c>
      <c r="X235" s="160">
        <f t="shared" ref="X235" si="196">((O235-E235)/E235)</f>
        <v>-5.5484285608335985E-4</v>
      </c>
      <c r="Y235" s="160">
        <f t="shared" ref="Y235" si="197">((T235-J235)/J235)</f>
        <v>-6.9374032765893631E-4</v>
      </c>
      <c r="Z235" s="160">
        <f t="shared" ref="Z235" si="198">((U235-K235)/K235)</f>
        <v>0</v>
      </c>
      <c r="AA235" s="160">
        <f t="shared" ref="AA235" si="199">V235-L235</f>
        <v>3.3000000000000002E-2</v>
      </c>
      <c r="AB235" s="161">
        <f t="shared" ref="AB235" si="200">W235-M235</f>
        <v>-9.000000000000119E-4</v>
      </c>
      <c r="AD235" s="175"/>
    </row>
    <row r="236" spans="1:32">
      <c r="A236" s="178">
        <v>202</v>
      </c>
      <c r="B236" s="59" t="s">
        <v>259</v>
      </c>
      <c r="C236" s="60" t="s">
        <v>260</v>
      </c>
      <c r="D236" s="146" t="s">
        <v>329</v>
      </c>
      <c r="E236" s="71">
        <v>171690250.83000001</v>
      </c>
      <c r="F236" s="66">
        <f t="shared" ref="F236" si="201">(E236/$E$237)</f>
        <v>1.1583240305897519E-3</v>
      </c>
      <c r="G236" s="146" t="s">
        <v>329</v>
      </c>
      <c r="H236" s="70">
        <v>128.46</v>
      </c>
      <c r="I236" s="146" t="s">
        <v>329</v>
      </c>
      <c r="J236" s="70">
        <v>131.1</v>
      </c>
      <c r="K236" s="67">
        <v>313</v>
      </c>
      <c r="L236" s="68">
        <v>8.5000000000000006E-3</v>
      </c>
      <c r="M236" s="68">
        <v>0.18060000000000001</v>
      </c>
      <c r="N236" s="146" t="s">
        <v>329</v>
      </c>
      <c r="O236" s="71">
        <v>184507140.75999999</v>
      </c>
      <c r="P236" s="66">
        <f t="shared" ref="P236" si="202">(O236/$O$237)</f>
        <v>1.2842993524278096E-3</v>
      </c>
      <c r="Q236" s="146" t="s">
        <v>329</v>
      </c>
      <c r="R236" s="70">
        <v>136.59</v>
      </c>
      <c r="S236" s="146" t="s">
        <v>329</v>
      </c>
      <c r="T236" s="70">
        <v>139.4</v>
      </c>
      <c r="U236" s="67">
        <v>316</v>
      </c>
      <c r="V236" s="68">
        <v>6.3299999999999995E-2</v>
      </c>
      <c r="W236" s="68">
        <v>0.25269999999999998</v>
      </c>
      <c r="X236" s="160">
        <f t="shared" ref="X236" si="203">((O236-E236)/E236)</f>
        <v>7.4651238891197652E-2</v>
      </c>
      <c r="Y236" s="160">
        <f t="shared" ref="Y236" si="204">((T236-J236)/J236)</f>
        <v>6.3310450038138913E-2</v>
      </c>
      <c r="Z236" s="160">
        <f t="shared" ref="Z236" si="205">((U236-K236)/K236)</f>
        <v>9.5846645367412137E-3</v>
      </c>
      <c r="AA236" s="160">
        <f t="shared" ref="AA236" si="206">V236-L236</f>
        <v>5.4799999999999995E-2</v>
      </c>
      <c r="AB236" s="161">
        <f t="shared" ref="AB236" si="207">W236-M236</f>
        <v>7.209999999999997E-2</v>
      </c>
    </row>
    <row r="237" spans="1:32">
      <c r="B237" s="74"/>
      <c r="C237" s="98" t="s">
        <v>52</v>
      </c>
      <c r="D237" s="120" t="s">
        <v>329</v>
      </c>
      <c r="E237" s="89">
        <f>SUM(E213:E236)</f>
        <v>148222989678.10001</v>
      </c>
      <c r="F237" s="77">
        <f>(E237/$E$238)</f>
        <v>1.6349654682182815E-2</v>
      </c>
      <c r="G237" s="120" t="s">
        <v>329</v>
      </c>
      <c r="H237" s="78"/>
      <c r="I237" s="120" t="s">
        <v>329</v>
      </c>
      <c r="J237" s="102"/>
      <c r="K237" s="110">
        <f>SUM(K213:K236)</f>
        <v>56855</v>
      </c>
      <c r="L237" s="103"/>
      <c r="M237" s="103"/>
      <c r="N237" s="146" t="s">
        <v>329</v>
      </c>
      <c r="O237" s="89">
        <f>SUM(O213:O236)</f>
        <v>143663656305.06003</v>
      </c>
      <c r="P237" s="77">
        <f>(O237/$O$238)</f>
        <v>1.5783929670301716E-2</v>
      </c>
      <c r="Q237" s="146" t="s">
        <v>329</v>
      </c>
      <c r="R237" s="78"/>
      <c r="S237" s="146" t="s">
        <v>329</v>
      </c>
      <c r="T237" s="102"/>
      <c r="U237" s="80">
        <f>SUM(U213:U236)</f>
        <v>57441</v>
      </c>
      <c r="V237" s="103"/>
      <c r="W237" s="103"/>
      <c r="X237" s="160">
        <f t="shared" si="175"/>
        <v>-3.0759960940887843E-2</v>
      </c>
      <c r="Y237" s="160" t="e">
        <f t="shared" si="176"/>
        <v>#DIV/0!</v>
      </c>
      <c r="Z237" s="160">
        <f t="shared" si="177"/>
        <v>1.0306921115117404E-2</v>
      </c>
      <c r="AA237" s="160">
        <f t="shared" si="178"/>
        <v>0</v>
      </c>
      <c r="AB237" s="161">
        <f t="shared" si="179"/>
        <v>0</v>
      </c>
    </row>
    <row r="238" spans="1:32">
      <c r="A238" s="171"/>
      <c r="B238" s="111"/>
      <c r="C238" s="112" t="s">
        <v>261</v>
      </c>
      <c r="D238" s="112"/>
      <c r="E238" s="113">
        <f>SUM(E26,E76,E117,E161,E170,E203,E209,E237)</f>
        <v>9065817753302.6035</v>
      </c>
      <c r="F238" s="114"/>
      <c r="G238" s="114"/>
      <c r="H238" s="114"/>
      <c r="I238" s="114"/>
      <c r="J238" s="115"/>
      <c r="K238" s="113">
        <f>SUM(K26,K76,K117,K161,K170,K203,K209,K237)</f>
        <v>1383613</v>
      </c>
      <c r="L238" s="116"/>
      <c r="M238" s="116"/>
      <c r="N238" s="116"/>
      <c r="O238" s="113">
        <f>SUM(O26,O76,O117,O161,O170,O203,O209,O237)</f>
        <v>9101894097727.1758</v>
      </c>
      <c r="P238" s="114"/>
      <c r="Q238" s="114"/>
      <c r="R238" s="114"/>
      <c r="S238" s="114"/>
      <c r="T238" s="115"/>
      <c r="U238" s="113">
        <f>SUM(U26,U76,U117,U161,U170,U203,U209,U237)</f>
        <v>1396478</v>
      </c>
      <c r="V238" s="117"/>
      <c r="W238" s="113"/>
      <c r="X238" s="118">
        <f t="shared" si="175"/>
        <v>3.9793811662968788E-3</v>
      </c>
      <c r="Y238" s="118"/>
      <c r="Z238" s="118"/>
      <c r="AA238" s="118"/>
      <c r="AB238" s="118"/>
    </row>
    <row r="239" spans="1:32" ht="6.75" customHeight="1">
      <c r="B239" s="215"/>
      <c r="C239" s="215"/>
      <c r="D239" s="215"/>
      <c r="E239" s="215"/>
      <c r="F239" s="215"/>
      <c r="G239" s="215"/>
      <c r="H239" s="215"/>
      <c r="I239" s="215"/>
      <c r="J239" s="215"/>
      <c r="K239" s="215"/>
      <c r="L239" s="215"/>
      <c r="M239" s="215"/>
      <c r="N239" s="215"/>
      <c r="O239" s="215"/>
      <c r="P239" s="215"/>
      <c r="Q239" s="215"/>
      <c r="R239" s="215"/>
      <c r="S239" s="215"/>
      <c r="T239" s="215"/>
      <c r="U239" s="215"/>
      <c r="V239" s="215"/>
      <c r="W239" s="215"/>
      <c r="X239" s="215"/>
      <c r="Y239" s="215"/>
      <c r="Z239" s="215"/>
      <c r="AA239" s="215"/>
      <c r="AB239" s="74"/>
    </row>
    <row r="240" spans="1:32" ht="14.4" customHeight="1">
      <c r="A240" s="166"/>
      <c r="B240" s="213" t="s">
        <v>262</v>
      </c>
      <c r="C240" s="213"/>
      <c r="D240" s="213"/>
      <c r="E240" s="213"/>
      <c r="F240" s="213"/>
      <c r="G240" s="213"/>
      <c r="H240" s="213"/>
      <c r="I240" s="213"/>
      <c r="J240" s="213"/>
      <c r="K240" s="213"/>
      <c r="L240" s="213"/>
      <c r="M240" s="213"/>
      <c r="N240" s="213"/>
      <c r="O240" s="213"/>
      <c r="P240" s="213"/>
      <c r="Q240" s="213"/>
      <c r="R240" s="213"/>
      <c r="S240" s="213"/>
      <c r="T240" s="213"/>
      <c r="U240" s="213"/>
      <c r="V240" s="213"/>
      <c r="W240" s="213"/>
      <c r="X240" s="213"/>
      <c r="Y240" s="213"/>
      <c r="Z240" s="213"/>
      <c r="AA240" s="213"/>
      <c r="AB240" s="213"/>
    </row>
    <row r="241" spans="1:33" ht="14.4" customHeight="1">
      <c r="A241" s="178">
        <v>1</v>
      </c>
      <c r="B241" s="59" t="s">
        <v>263</v>
      </c>
      <c r="C241" s="60" t="s">
        <v>23</v>
      </c>
      <c r="D241" s="149">
        <v>1881365.43</v>
      </c>
      <c r="E241" s="71">
        <v>2561059676.5906529</v>
      </c>
      <c r="F241" s="66">
        <f t="shared" ref="F241" si="208">(E241/$E$237)</f>
        <v>1.7278424097048491E-2</v>
      </c>
      <c r="G241" s="149">
        <v>1.0581</v>
      </c>
      <c r="H241" s="70">
        <v>1440.3672995100001</v>
      </c>
      <c r="I241" s="70">
        <v>1.0581</v>
      </c>
      <c r="J241" s="70">
        <v>1440.3672995100001</v>
      </c>
      <c r="K241" s="67">
        <v>60</v>
      </c>
      <c r="L241" s="68">
        <v>2.47E-2</v>
      </c>
      <c r="M241" s="68">
        <v>4.8500000000000001E-2</v>
      </c>
      <c r="N241" s="149">
        <v>1882723.94</v>
      </c>
      <c r="O241" s="71">
        <f>1882723.94*1360.8346</f>
        <v>2562075879.800324</v>
      </c>
      <c r="P241" s="66">
        <f t="shared" ref="P241:P246" si="209">(O241/$O$247)</f>
        <v>8.2789124166238959E-2</v>
      </c>
      <c r="Q241" s="149">
        <v>1.0589</v>
      </c>
      <c r="R241" s="70">
        <f>1.0589*1360.8346</f>
        <v>1440.9877579399999</v>
      </c>
      <c r="S241" s="149">
        <v>1.0589</v>
      </c>
      <c r="T241" s="70">
        <f>1.0589*1360.8346</f>
        <v>1440.9877579399999</v>
      </c>
      <c r="U241" s="67">
        <v>60</v>
      </c>
      <c r="V241" s="68">
        <v>3.9399999999999998E-2</v>
      </c>
      <c r="W241" s="68">
        <v>4.82E-2</v>
      </c>
      <c r="X241" s="160">
        <f t="shared" ref="X241" si="210">((O241-E241)/E241)</f>
        <v>3.9679013299050327E-4</v>
      </c>
      <c r="Y241" s="160">
        <f t="shared" ref="Y241" si="211">((T241-J241)/J241)</f>
        <v>4.3076403512558623E-4</v>
      </c>
      <c r="Z241" s="160">
        <f t="shared" ref="Z241" si="212">((U241-K241)/K241)</f>
        <v>0</v>
      </c>
      <c r="AA241" s="160">
        <f t="shared" ref="AA241" si="213">V241-L241</f>
        <v>1.4699999999999998E-2</v>
      </c>
      <c r="AB241" s="161">
        <f t="shared" ref="AB241" si="214">W241-M241</f>
        <v>-3.0000000000000165E-4</v>
      </c>
    </row>
    <row r="242" spans="1:33" ht="14.4" customHeight="1">
      <c r="A242" s="181">
        <v>2</v>
      </c>
      <c r="B242" s="59" t="s">
        <v>264</v>
      </c>
      <c r="C242" s="60" t="s">
        <v>198</v>
      </c>
      <c r="D242" s="147" t="s">
        <v>329</v>
      </c>
      <c r="E242" s="71">
        <v>15142843870.51</v>
      </c>
      <c r="F242" s="66">
        <f t="shared" ref="F242" si="215">(E242/$E$237)</f>
        <v>0.10216258559752529</v>
      </c>
      <c r="G242" s="147" t="s">
        <v>329</v>
      </c>
      <c r="H242" s="70">
        <v>123.2</v>
      </c>
      <c r="I242" s="70" t="s">
        <v>329</v>
      </c>
      <c r="J242" s="70">
        <v>123.2</v>
      </c>
      <c r="K242" s="67">
        <v>11</v>
      </c>
      <c r="L242" s="68">
        <v>3.5000000000000001E-3</v>
      </c>
      <c r="M242" s="68">
        <v>2.6812999999999998</v>
      </c>
      <c r="N242" s="147" t="s">
        <v>329</v>
      </c>
      <c r="O242" s="71">
        <v>15193808127.870001</v>
      </c>
      <c r="P242" s="66">
        <f t="shared" si="209"/>
        <v>0.4909620661798173</v>
      </c>
      <c r="Q242" s="147" t="s">
        <v>329</v>
      </c>
      <c r="R242" s="70">
        <v>123.2</v>
      </c>
      <c r="S242" s="147" t="s">
        <v>329</v>
      </c>
      <c r="T242" s="70">
        <v>123.2</v>
      </c>
      <c r="U242" s="67">
        <v>11</v>
      </c>
      <c r="V242" s="68">
        <v>3.3999999999999998E-3</v>
      </c>
      <c r="W242" s="68">
        <v>2.6937000000000002</v>
      </c>
      <c r="X242" s="160">
        <f t="shared" ref="X242" si="216">((O242-E242)/E242)</f>
        <v>3.3655671151210363E-3</v>
      </c>
      <c r="Y242" s="160">
        <f t="shared" ref="Y242" si="217">((T242-J242)/J242)</f>
        <v>0</v>
      </c>
      <c r="Z242" s="160">
        <f t="shared" ref="Z242" si="218">((U242-K242)/K242)</f>
        <v>0</v>
      </c>
      <c r="AA242" s="160">
        <f t="shared" ref="AA242" si="219">V242-L242</f>
        <v>-1.0000000000000026E-4</v>
      </c>
      <c r="AB242" s="161">
        <f t="shared" ref="AB242" si="220">W242-M242</f>
        <v>1.2400000000000411E-2</v>
      </c>
      <c r="AD242" s="50"/>
      <c r="AE242" s="34"/>
      <c r="AG242" s="50"/>
    </row>
    <row r="243" spans="1:33" ht="14.4" customHeight="1">
      <c r="A243" s="178">
        <v>3</v>
      </c>
      <c r="B243" s="59" t="s">
        <v>265</v>
      </c>
      <c r="C243" s="60" t="s">
        <v>38</v>
      </c>
      <c r="D243" s="147" t="s">
        <v>329</v>
      </c>
      <c r="E243" s="71">
        <v>11887925126.219999</v>
      </c>
      <c r="F243" s="66">
        <f>(E243/$E$237)</f>
        <v>8.0202977635502673E-2</v>
      </c>
      <c r="G243" s="147" t="s">
        <v>329</v>
      </c>
      <c r="H243" s="70">
        <v>1.47</v>
      </c>
      <c r="I243" s="70" t="s">
        <v>329</v>
      </c>
      <c r="J243" s="70">
        <v>1.47</v>
      </c>
      <c r="K243" s="67">
        <v>16</v>
      </c>
      <c r="L243" s="68">
        <v>3.0000000000000001E-3</v>
      </c>
      <c r="M243" s="68">
        <v>0.34399999999999997</v>
      </c>
      <c r="N243" s="147" t="s">
        <v>329</v>
      </c>
      <c r="O243" s="71">
        <v>10885509975.219999</v>
      </c>
      <c r="P243" s="66">
        <f t="shared" si="209"/>
        <v>0.35174673945314872</v>
      </c>
      <c r="Q243" s="147" t="s">
        <v>329</v>
      </c>
      <c r="R243" s="70">
        <v>1.04</v>
      </c>
      <c r="S243" s="147" t="s">
        <v>329</v>
      </c>
      <c r="T243" s="70">
        <v>1.04</v>
      </c>
      <c r="U243" s="67">
        <v>16</v>
      </c>
      <c r="V243" s="68">
        <v>0.19170000000000001</v>
      </c>
      <c r="W243" s="68">
        <v>0.25009999999999999</v>
      </c>
      <c r="X243" s="160">
        <f>((O243-E243)/E243)</f>
        <v>-8.4322128576421962E-2</v>
      </c>
      <c r="Y243" s="160">
        <f>((T243-J243)/J243)</f>
        <v>-0.29251700680272102</v>
      </c>
      <c r="Z243" s="160">
        <f>((U243-K243)/K243)</f>
        <v>0</v>
      </c>
      <c r="AA243" s="160">
        <f>V243-L243</f>
        <v>0.18870000000000001</v>
      </c>
      <c r="AB243" s="161">
        <f>W243-M243</f>
        <v>-9.3899999999999983E-2</v>
      </c>
      <c r="AD243" s="174"/>
      <c r="AE243" s="34"/>
      <c r="AG243" s="174"/>
    </row>
    <row r="244" spans="1:33" ht="14.4" customHeight="1">
      <c r="A244" s="181">
        <v>4</v>
      </c>
      <c r="B244" s="59" t="s">
        <v>327</v>
      </c>
      <c r="C244" s="60" t="s">
        <v>79</v>
      </c>
      <c r="D244" s="149">
        <v>926271.51</v>
      </c>
      <c r="E244" s="71">
        <v>1261174237.1556001</v>
      </c>
      <c r="F244" s="66">
        <f>(E244/$E$237)</f>
        <v>8.5086277094702199E-3</v>
      </c>
      <c r="G244" s="149">
        <v>112.37</v>
      </c>
      <c r="H244" s="70">
        <v>152998.49720000001</v>
      </c>
      <c r="I244" s="70">
        <v>112.37</v>
      </c>
      <c r="J244" s="70">
        <v>152998.49720000001</v>
      </c>
      <c r="K244" s="67">
        <v>18</v>
      </c>
      <c r="L244" s="68">
        <v>-8.8999999999999999E-3</v>
      </c>
      <c r="M244" s="68">
        <v>5.1999999999999998E-3</v>
      </c>
      <c r="N244" s="149">
        <v>927133.63</v>
      </c>
      <c r="O244" s="71">
        <f>927133.63*1362.44</f>
        <v>1263163942.8572001</v>
      </c>
      <c r="P244" s="66">
        <f t="shared" si="209"/>
        <v>4.0816994270938961E-2</v>
      </c>
      <c r="Q244" s="70">
        <v>112.47</v>
      </c>
      <c r="R244" s="70">
        <f>Q244*1362.44</f>
        <v>153233.6268</v>
      </c>
      <c r="S244" s="70">
        <v>112.47</v>
      </c>
      <c r="T244" s="70">
        <f>S244*1362.44</f>
        <v>153233.6268</v>
      </c>
      <c r="U244" s="67">
        <v>18</v>
      </c>
      <c r="V244" s="68">
        <v>8.9999999999999993E-3</v>
      </c>
      <c r="W244" s="68">
        <v>6.1000000000000004E-3</v>
      </c>
      <c r="X244" s="160">
        <f t="shared" ref="X244" si="221">((O244-E244)/E244)</f>
        <v>1.5776612326680367E-3</v>
      </c>
      <c r="Y244" s="160">
        <f t="shared" ref="Y244" si="222">((T244-J244)/J244)</f>
        <v>1.5368098661297546E-3</v>
      </c>
      <c r="Z244" s="160">
        <f t="shared" ref="Z244" si="223">((U244-K244)/K244)</f>
        <v>0</v>
      </c>
      <c r="AA244" s="160">
        <f t="shared" ref="AA244" si="224">V244-L244</f>
        <v>1.7899999999999999E-2</v>
      </c>
      <c r="AB244" s="161">
        <f t="shared" ref="AB244" si="225">W244-M244</f>
        <v>9.0000000000000063E-4</v>
      </c>
      <c r="AD244" s="41"/>
    </row>
    <row r="245" spans="1:33" ht="14.4" customHeight="1">
      <c r="A245" s="178">
        <v>5</v>
      </c>
      <c r="B245" s="59" t="s">
        <v>266</v>
      </c>
      <c r="C245" s="60" t="s">
        <v>49</v>
      </c>
      <c r="D245" s="147" t="s">
        <v>329</v>
      </c>
      <c r="E245" s="71">
        <v>423829285.99000001</v>
      </c>
      <c r="F245" s="66">
        <f t="shared" ref="F245" si="226">(E245/$E$237)</f>
        <v>2.8594031662054712E-3</v>
      </c>
      <c r="G245" s="147" t="s">
        <v>329</v>
      </c>
      <c r="H245" s="70">
        <v>1.5386599999999999</v>
      </c>
      <c r="I245" s="70" t="s">
        <v>329</v>
      </c>
      <c r="J245" s="70">
        <v>1.5386599999999999</v>
      </c>
      <c r="K245" s="67">
        <v>28</v>
      </c>
      <c r="L245" s="68">
        <v>-1.6999999999999999E-3</v>
      </c>
      <c r="M245" s="68">
        <v>0.37980000000000003</v>
      </c>
      <c r="N245" s="147" t="s">
        <v>329</v>
      </c>
      <c r="O245" s="71">
        <v>461580135.85000002</v>
      </c>
      <c r="P245" s="66">
        <f t="shared" si="209"/>
        <v>1.4915176978494994E-2</v>
      </c>
      <c r="Q245" s="147" t="s">
        <v>329</v>
      </c>
      <c r="R245" s="70">
        <v>1.5256000000000001</v>
      </c>
      <c r="S245" s="147" t="s">
        <v>329</v>
      </c>
      <c r="T245" s="70">
        <v>1.5256000000000001</v>
      </c>
      <c r="U245" s="67">
        <v>55</v>
      </c>
      <c r="V245" s="68">
        <v>6.9999999999999999E-4</v>
      </c>
      <c r="W245" s="68">
        <v>0.36799999999999999</v>
      </c>
      <c r="X245" s="160">
        <f t="shared" ref="X245:X247" si="227">((O245-E245)/E245)</f>
        <v>8.9070885632218252E-2</v>
      </c>
      <c r="Y245" s="160">
        <f t="shared" ref="Y245" si="228">((T245-J245)/J245)</f>
        <v>-8.4879050602471307E-3</v>
      </c>
      <c r="Z245" s="160">
        <f t="shared" ref="Z245" si="229">((U245-K245)/K245)</f>
        <v>0.9642857142857143</v>
      </c>
      <c r="AA245" s="160">
        <f t="shared" ref="AA245" si="230">V245-L245</f>
        <v>2.3999999999999998E-3</v>
      </c>
      <c r="AB245" s="161">
        <f t="shared" ref="AB245" si="231">W245-M245</f>
        <v>-1.1800000000000033E-2</v>
      </c>
      <c r="AD245" s="31"/>
    </row>
    <row r="246" spans="1:33" ht="14.4" customHeight="1">
      <c r="A246" s="181">
        <v>6</v>
      </c>
      <c r="B246" s="59" t="s">
        <v>315</v>
      </c>
      <c r="C246" s="60" t="s">
        <v>115</v>
      </c>
      <c r="D246" s="149">
        <v>421461.57</v>
      </c>
      <c r="E246" s="71">
        <v>574120134.63131094</v>
      </c>
      <c r="F246" s="66">
        <v>0</v>
      </c>
      <c r="G246" s="149">
        <v>9.85</v>
      </c>
      <c r="H246" s="70">
        <v>13417.791154999999</v>
      </c>
      <c r="I246" s="70">
        <v>9.85</v>
      </c>
      <c r="J246" s="70">
        <v>13417.791154999999</v>
      </c>
      <c r="K246" s="67">
        <v>12</v>
      </c>
      <c r="L246" s="68">
        <v>-5.4000000000000003E-3</v>
      </c>
      <c r="M246" s="68">
        <v>-1.49E-2</v>
      </c>
      <c r="N246" s="149">
        <v>425914.07</v>
      </c>
      <c r="O246" s="71">
        <f>425914.07*C269</f>
        <v>580872256.51775002</v>
      </c>
      <c r="P246" s="66">
        <f t="shared" si="209"/>
        <v>1.8769898951361001E-2</v>
      </c>
      <c r="Q246" s="149">
        <v>9.9600000000000009</v>
      </c>
      <c r="R246" s="70">
        <f>9.96*C269</f>
        <v>13583.697000000002</v>
      </c>
      <c r="S246" s="149">
        <v>9.9600000000000009</v>
      </c>
      <c r="T246" s="70">
        <f>9.96*C269</f>
        <v>13583.697000000002</v>
      </c>
      <c r="U246" s="67">
        <v>12</v>
      </c>
      <c r="V246" s="68">
        <v>1.06E-2</v>
      </c>
      <c r="W246" s="68">
        <v>-4.4999999999999997E-3</v>
      </c>
      <c r="X246" s="160">
        <f t="shared" ref="X246" si="232">((O246-E246)/E246)</f>
        <v>1.1760817081907725E-2</v>
      </c>
      <c r="Y246" s="160">
        <f t="shared" ref="Y246" si="233">((T246-J246)/J246)</f>
        <v>1.2364616730390821E-2</v>
      </c>
      <c r="Z246" s="160">
        <f t="shared" ref="Z246" si="234">((U246-K246)/K246)</f>
        <v>0</v>
      </c>
      <c r="AA246" s="160">
        <f t="shared" ref="AA246" si="235">V246-L246</f>
        <v>1.6E-2</v>
      </c>
      <c r="AB246" s="161">
        <f t="shared" ref="AB246" si="236">W246-M246</f>
        <v>1.04E-2</v>
      </c>
    </row>
    <row r="247" spans="1:33" ht="14.4" customHeight="1">
      <c r="A247" s="171"/>
      <c r="B247" s="119"/>
      <c r="C247" s="119" t="s">
        <v>52</v>
      </c>
      <c r="D247" s="119"/>
      <c r="E247" s="119">
        <f>SUM(E241:E246)</f>
        <v>31850952331.097569</v>
      </c>
      <c r="F247" s="119"/>
      <c r="G247" s="119"/>
      <c r="H247" s="119"/>
      <c r="I247" s="119"/>
      <c r="J247" s="119"/>
      <c r="K247" s="119">
        <f>SUM(K241:K246)</f>
        <v>145</v>
      </c>
      <c r="L247" s="119"/>
      <c r="M247" s="119"/>
      <c r="N247" s="119"/>
      <c r="O247" s="119">
        <f>SUM(O241:O246)</f>
        <v>30947010318.115276</v>
      </c>
      <c r="P247" s="119"/>
      <c r="Q247" s="119"/>
      <c r="R247" s="119"/>
      <c r="S247" s="119"/>
      <c r="T247" s="119"/>
      <c r="U247" s="119">
        <f>SUM(U241:U246)</f>
        <v>172</v>
      </c>
      <c r="V247" s="119"/>
      <c r="W247" s="119"/>
      <c r="X247" s="118">
        <f t="shared" si="227"/>
        <v>-2.8380376309807588E-2</v>
      </c>
      <c r="Y247" s="119"/>
      <c r="Z247" s="119"/>
      <c r="AA247" s="119"/>
      <c r="AB247" s="119"/>
    </row>
    <row r="248" spans="1:33" ht="6" customHeight="1">
      <c r="B248" s="120"/>
      <c r="C248" s="98"/>
      <c r="D248" s="98"/>
      <c r="E248" s="120"/>
      <c r="F248" s="120"/>
      <c r="G248" s="120"/>
      <c r="H248" s="120"/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120"/>
      <c r="Z248" s="120"/>
      <c r="AA248" s="120"/>
      <c r="AB248" s="74"/>
    </row>
    <row r="249" spans="1:33" ht="15.6">
      <c r="A249" s="166"/>
      <c r="B249" s="213"/>
      <c r="C249" s="213"/>
      <c r="D249" s="213"/>
      <c r="E249" s="213"/>
      <c r="F249" s="213"/>
      <c r="G249" s="213"/>
      <c r="H249" s="213"/>
      <c r="I249" s="213"/>
      <c r="J249" s="213"/>
      <c r="K249" s="213"/>
      <c r="L249" s="213"/>
      <c r="M249" s="213"/>
      <c r="N249" s="213"/>
      <c r="O249" s="213"/>
      <c r="P249" s="213"/>
      <c r="Q249" s="213"/>
      <c r="R249" s="213"/>
      <c r="S249" s="213"/>
      <c r="T249" s="213"/>
      <c r="U249" s="213"/>
      <c r="V249" s="213"/>
      <c r="W249" s="213"/>
      <c r="X249" s="213"/>
      <c r="Y249" s="213"/>
      <c r="Z249" s="213"/>
      <c r="AA249" s="213"/>
      <c r="AB249" s="213"/>
    </row>
    <row r="250" spans="1:33">
      <c r="A250" s="178">
        <v>1</v>
      </c>
      <c r="B250" s="59" t="s">
        <v>267</v>
      </c>
      <c r="C250" s="60" t="s">
        <v>268</v>
      </c>
      <c r="D250" s="147" t="s">
        <v>329</v>
      </c>
      <c r="E250" s="71">
        <v>132424914636</v>
      </c>
      <c r="F250" s="66">
        <f>(E250/$E$252)</f>
        <v>0.91044137922080948</v>
      </c>
      <c r="G250" s="147" t="s">
        <v>329</v>
      </c>
      <c r="H250" s="87">
        <v>129</v>
      </c>
      <c r="I250" s="147" t="s">
        <v>329</v>
      </c>
      <c r="J250" s="165">
        <v>129</v>
      </c>
      <c r="K250" s="67">
        <v>8081</v>
      </c>
      <c r="L250" s="68" t="s">
        <v>297</v>
      </c>
      <c r="M250" s="68">
        <v>2.1840000000000002E-3</v>
      </c>
      <c r="N250" s="147" t="s">
        <v>329</v>
      </c>
      <c r="O250" s="71">
        <v>132424914636</v>
      </c>
      <c r="P250" s="66">
        <f>(O250/$O$252)</f>
        <v>0.90962696300454715</v>
      </c>
      <c r="Q250" s="147" t="s">
        <v>329</v>
      </c>
      <c r="R250" s="87">
        <v>129</v>
      </c>
      <c r="S250" s="147" t="s">
        <v>329</v>
      </c>
      <c r="T250" s="165">
        <v>129</v>
      </c>
      <c r="U250" s="67">
        <v>8081</v>
      </c>
      <c r="V250" s="68" t="s">
        <v>297</v>
      </c>
      <c r="W250" s="68">
        <v>2.1840000000000002E-3</v>
      </c>
      <c r="X250" s="160">
        <f>((O250-E250)/E250)</f>
        <v>0</v>
      </c>
      <c r="Y250" s="160">
        <f>((T250-J250)/J250)</f>
        <v>0</v>
      </c>
      <c r="Z250" s="160">
        <f>((U250-K250)/K250)</f>
        <v>0</v>
      </c>
      <c r="AA250" s="160" t="e">
        <f>V250-L250</f>
        <v>#VALUE!</v>
      </c>
      <c r="AB250" s="161">
        <f>W250-M250</f>
        <v>0</v>
      </c>
    </row>
    <row r="251" spans="1:33" ht="14.4" customHeight="1">
      <c r="A251" s="178">
        <v>2</v>
      </c>
      <c r="B251" s="59" t="s">
        <v>269</v>
      </c>
      <c r="C251" s="60" t="s">
        <v>49</v>
      </c>
      <c r="D251" s="147" t="s">
        <v>329</v>
      </c>
      <c r="E251" s="71">
        <v>13026421011.040001</v>
      </c>
      <c r="F251" s="66">
        <f>(E251/$E$252)</f>
        <v>8.955862077919044E-2</v>
      </c>
      <c r="G251" s="147" t="s">
        <v>329</v>
      </c>
      <c r="H251" s="121">
        <v>1000000</v>
      </c>
      <c r="I251" s="147" t="s">
        <v>329</v>
      </c>
      <c r="J251" s="121">
        <v>1000000</v>
      </c>
      <c r="K251" s="67">
        <v>26</v>
      </c>
      <c r="L251" s="68">
        <v>0.1774</v>
      </c>
      <c r="M251" s="68">
        <v>0.1774</v>
      </c>
      <c r="N251" s="147" t="s">
        <v>329</v>
      </c>
      <c r="O251" s="71">
        <v>13156647940.59</v>
      </c>
      <c r="P251" s="66">
        <f>(O251/$O$252)</f>
        <v>9.0373036995452835E-2</v>
      </c>
      <c r="Q251" s="147" t="s">
        <v>329</v>
      </c>
      <c r="R251" s="121">
        <v>1000000</v>
      </c>
      <c r="S251" s="147" t="s">
        <v>329</v>
      </c>
      <c r="T251" s="121">
        <v>1000000</v>
      </c>
      <c r="U251" s="67">
        <v>26</v>
      </c>
      <c r="V251" s="68">
        <v>0.18149999999999999</v>
      </c>
      <c r="W251" s="68">
        <v>0.18149999999999999</v>
      </c>
      <c r="X251" s="160">
        <f>((O251-E251)/E251)</f>
        <v>9.9971380811069155E-3</v>
      </c>
      <c r="Y251" s="160">
        <f>((T251-J251)/J251)</f>
        <v>0</v>
      </c>
      <c r="Z251" s="160">
        <f>((U251-K251)/K251)</f>
        <v>0</v>
      </c>
      <c r="AA251" s="160">
        <f>V251-L251</f>
        <v>4.0999999999999925E-3</v>
      </c>
      <c r="AB251" s="161">
        <f>W251-M251</f>
        <v>4.0999999999999925E-3</v>
      </c>
    </row>
    <row r="252" spans="1:33" ht="15" customHeight="1">
      <c r="A252" s="171"/>
      <c r="B252" s="111"/>
      <c r="C252" s="112" t="s">
        <v>270</v>
      </c>
      <c r="D252" s="112"/>
      <c r="E252" s="119">
        <f>SUM(E250:E251)</f>
        <v>145451335647.04001</v>
      </c>
      <c r="F252" s="122"/>
      <c r="G252" s="122"/>
      <c r="H252" s="123"/>
      <c r="I252" s="123"/>
      <c r="J252" s="123"/>
      <c r="K252" s="119">
        <f>SUM(K250:K251)</f>
        <v>8107</v>
      </c>
      <c r="L252" s="124"/>
      <c r="M252" s="124"/>
      <c r="N252" s="124"/>
      <c r="O252" s="119">
        <f>SUM(O250:O251)</f>
        <v>145581562576.59</v>
      </c>
      <c r="P252" s="122"/>
      <c r="Q252" s="122"/>
      <c r="R252" s="123"/>
      <c r="S252" s="123"/>
      <c r="T252" s="123"/>
      <c r="U252" s="119">
        <f>SUM(U250:U251)</f>
        <v>8107</v>
      </c>
      <c r="V252" s="124"/>
      <c r="W252" s="119"/>
      <c r="X252" s="118">
        <f>((O252-E252)/E252)</f>
        <v>8.9532989828297919E-4</v>
      </c>
      <c r="Y252" s="125"/>
      <c r="Z252" s="125"/>
      <c r="AA252" s="118"/>
      <c r="AB252" s="126"/>
    </row>
    <row r="253" spans="1:33" ht="4.5" customHeight="1">
      <c r="B253" s="214"/>
      <c r="C253" s="214"/>
      <c r="D253" s="214"/>
      <c r="E253" s="214"/>
      <c r="F253" s="214"/>
      <c r="G253" s="214"/>
      <c r="H253" s="214"/>
      <c r="I253" s="214"/>
      <c r="J253" s="214"/>
      <c r="K253" s="214"/>
      <c r="L253" s="214"/>
      <c r="M253" s="214"/>
      <c r="N253" s="214"/>
      <c r="O253" s="214"/>
      <c r="P253" s="214"/>
      <c r="Q253" s="214"/>
      <c r="R253" s="214"/>
      <c r="S253" s="214"/>
      <c r="T253" s="214"/>
      <c r="U253" s="214"/>
      <c r="V253" s="214"/>
      <c r="W253" s="214"/>
      <c r="X253" s="214"/>
      <c r="Y253" s="214"/>
      <c r="Z253" s="214"/>
      <c r="AA253" s="214"/>
      <c r="AB253" s="214"/>
    </row>
    <row r="254" spans="1:33" ht="15.6">
      <c r="A254" s="166"/>
      <c r="B254" s="213"/>
      <c r="C254" s="213"/>
      <c r="D254" s="213"/>
      <c r="E254" s="213"/>
      <c r="F254" s="213"/>
      <c r="G254" s="213"/>
      <c r="H254" s="213"/>
      <c r="I254" s="213"/>
      <c r="J254" s="213"/>
      <c r="K254" s="213"/>
      <c r="L254" s="213"/>
      <c r="M254" s="213"/>
      <c r="N254" s="213"/>
      <c r="O254" s="213"/>
      <c r="P254" s="213"/>
      <c r="Q254" s="213"/>
      <c r="R254" s="213"/>
      <c r="S254" s="213"/>
      <c r="T254" s="213"/>
      <c r="U254" s="213"/>
      <c r="V254" s="213"/>
      <c r="W254" s="213"/>
      <c r="X254" s="213"/>
      <c r="Y254" s="213"/>
      <c r="Z254" s="213"/>
      <c r="AA254" s="213"/>
      <c r="AB254" s="213"/>
      <c r="AD254" s="30"/>
    </row>
    <row r="255" spans="1:33">
      <c r="A255" s="181">
        <v>1</v>
      </c>
      <c r="B255" s="59" t="s">
        <v>271</v>
      </c>
      <c r="C255" s="60" t="s">
        <v>89</v>
      </c>
      <c r="D255" s="147" t="s">
        <v>329</v>
      </c>
      <c r="E255" s="127">
        <v>2307830420.7800002</v>
      </c>
      <c r="F255" s="128">
        <f t="shared" ref="F255:F266" si="237">(E255/$E$267)</f>
        <v>7.4389850284847472E-2</v>
      </c>
      <c r="G255" s="147" t="s">
        <v>329</v>
      </c>
      <c r="H255" s="173">
        <v>563.9</v>
      </c>
      <c r="I255" s="147" t="s">
        <v>329</v>
      </c>
      <c r="J255" s="173">
        <v>563.9</v>
      </c>
      <c r="K255" s="129">
        <v>2477</v>
      </c>
      <c r="L255" s="81">
        <v>-2.5499999999999998E-2</v>
      </c>
      <c r="M255" s="81">
        <v>0.59781253541879176</v>
      </c>
      <c r="N255" s="147" t="s">
        <v>329</v>
      </c>
      <c r="O255" s="127">
        <v>2331135079.1999998</v>
      </c>
      <c r="P255" s="128">
        <f t="shared" ref="P255:P266" si="238">(O255/$O$267)</f>
        <v>7.4532822947334862E-2</v>
      </c>
      <c r="Q255" s="147" t="s">
        <v>329</v>
      </c>
      <c r="R255" s="173">
        <v>569.6</v>
      </c>
      <c r="S255" s="147" t="s">
        <v>329</v>
      </c>
      <c r="T255" s="173">
        <v>569.6</v>
      </c>
      <c r="U255" s="129">
        <v>2466</v>
      </c>
      <c r="V255" s="81">
        <v>1.01E-2</v>
      </c>
      <c r="W255" s="81">
        <v>0.61399999999999999</v>
      </c>
      <c r="X255" s="160">
        <f>((O255-E255)/E255)</f>
        <v>1.0098080955238944E-2</v>
      </c>
      <c r="Y255" s="160">
        <f>((T255-J255)/J255)</f>
        <v>1.010817520837036E-2</v>
      </c>
      <c r="Z255" s="160">
        <f>((U255-K255)/K255)</f>
        <v>-4.4408558740411785E-3</v>
      </c>
      <c r="AA255" s="160">
        <f>V255-L255</f>
        <v>3.56E-2</v>
      </c>
      <c r="AB255" s="161">
        <f>W255-M255</f>
        <v>1.6187464581208233E-2</v>
      </c>
      <c r="AD255" s="168"/>
      <c r="AF255" s="30"/>
    </row>
    <row r="256" spans="1:33">
      <c r="A256" s="178">
        <v>2</v>
      </c>
      <c r="B256" s="59" t="s">
        <v>272</v>
      </c>
      <c r="C256" s="60" t="s">
        <v>238</v>
      </c>
      <c r="D256" s="147" t="s">
        <v>329</v>
      </c>
      <c r="E256" s="127">
        <v>3706005292.2399998</v>
      </c>
      <c r="F256" s="128">
        <f t="shared" si="237"/>
        <v>0.11945816138059596</v>
      </c>
      <c r="G256" s="147" t="s">
        <v>329</v>
      </c>
      <c r="H256" s="121">
        <v>105.41</v>
      </c>
      <c r="I256" s="147" t="s">
        <v>329</v>
      </c>
      <c r="J256" s="121">
        <v>116.51</v>
      </c>
      <c r="K256" s="129">
        <v>2649</v>
      </c>
      <c r="L256" s="81">
        <v>-4.19E-2</v>
      </c>
      <c r="M256" s="81">
        <v>0.79769999999999996</v>
      </c>
      <c r="N256" s="147" t="s">
        <v>329</v>
      </c>
      <c r="O256" s="127">
        <v>3700973328.1399999</v>
      </c>
      <c r="P256" s="128">
        <f t="shared" si="238"/>
        <v>0.11833033283242066</v>
      </c>
      <c r="Q256" s="147" t="s">
        <v>329</v>
      </c>
      <c r="R256" s="121">
        <v>105.27</v>
      </c>
      <c r="S256" s="147" t="s">
        <v>329</v>
      </c>
      <c r="T256" s="121">
        <v>116.35</v>
      </c>
      <c r="U256" s="129">
        <v>3214</v>
      </c>
      <c r="V256" s="81">
        <v>-1.4E-3</v>
      </c>
      <c r="W256" s="81">
        <v>0.79520000000000002</v>
      </c>
      <c r="X256" s="160">
        <f t="shared" ref="X256:X267" si="239">((O256-E256)/E256)</f>
        <v>-1.3577865391979683E-3</v>
      </c>
      <c r="Y256" s="160">
        <f t="shared" ref="Y256:Y267" si="240">((T256-J256)/J256)</f>
        <v>-1.3732726804567058E-3</v>
      </c>
      <c r="Z256" s="160">
        <f t="shared" ref="Z256:Z267" si="241">((U256-K256)/K256)</f>
        <v>0.21328803322008305</v>
      </c>
      <c r="AA256" s="160">
        <f t="shared" ref="AA256:AA267" si="242">V256-L256</f>
        <v>4.0500000000000001E-2</v>
      </c>
      <c r="AB256" s="161">
        <f t="shared" ref="AB256:AB267" si="243">W256-M256</f>
        <v>-2.4999999999999467E-3</v>
      </c>
      <c r="AD256" s="169"/>
    </row>
    <row r="257" spans="1:32">
      <c r="A257" s="178">
        <v>3</v>
      </c>
      <c r="B257" s="59" t="s">
        <v>273</v>
      </c>
      <c r="C257" s="60" t="s">
        <v>40</v>
      </c>
      <c r="D257" s="147" t="s">
        <v>329</v>
      </c>
      <c r="E257" s="127">
        <v>795381072</v>
      </c>
      <c r="F257" s="128">
        <f t="shared" si="237"/>
        <v>2.5638053096415897E-2</v>
      </c>
      <c r="G257" s="147" t="s">
        <v>329</v>
      </c>
      <c r="H257" s="121">
        <v>66.2</v>
      </c>
      <c r="I257" s="147" t="s">
        <v>329</v>
      </c>
      <c r="J257" s="121">
        <v>66.599999999999994</v>
      </c>
      <c r="K257" s="129">
        <v>1645</v>
      </c>
      <c r="L257" s="81">
        <v>-3.9E-2</v>
      </c>
      <c r="M257" s="81">
        <v>0.6391</v>
      </c>
      <c r="N257" s="147" t="s">
        <v>329</v>
      </c>
      <c r="O257" s="127">
        <v>813490598.39999998</v>
      </c>
      <c r="P257" s="128">
        <f t="shared" si="238"/>
        <v>2.6009539850722133E-2</v>
      </c>
      <c r="Q257" s="147" t="s">
        <v>329</v>
      </c>
      <c r="R257" s="121">
        <v>67.78</v>
      </c>
      <c r="S257" s="147" t="s">
        <v>329</v>
      </c>
      <c r="T257" s="121">
        <v>68.180000000000007</v>
      </c>
      <c r="U257" s="129">
        <v>1645</v>
      </c>
      <c r="V257" s="81">
        <v>2.2800000000000001E-2</v>
      </c>
      <c r="W257" s="81">
        <v>0.6764</v>
      </c>
      <c r="X257" s="160">
        <f t="shared" si="239"/>
        <v>2.2768364797094362E-2</v>
      </c>
      <c r="Y257" s="160">
        <f t="shared" si="240"/>
        <v>2.3723723723723913E-2</v>
      </c>
      <c r="Z257" s="160">
        <f t="shared" si="241"/>
        <v>0</v>
      </c>
      <c r="AA257" s="160">
        <f t="shared" si="242"/>
        <v>6.1800000000000001E-2</v>
      </c>
      <c r="AB257" s="161">
        <f t="shared" si="243"/>
        <v>3.73E-2</v>
      </c>
    </row>
    <row r="258" spans="1:32">
      <c r="A258" s="178">
        <v>4</v>
      </c>
      <c r="B258" s="59" t="s">
        <v>274</v>
      </c>
      <c r="C258" s="60" t="s">
        <v>40</v>
      </c>
      <c r="D258" s="147" t="s">
        <v>329</v>
      </c>
      <c r="E258" s="127">
        <v>1561399712.9100001</v>
      </c>
      <c r="F258" s="128">
        <f t="shared" si="237"/>
        <v>5.0329647201253887E-2</v>
      </c>
      <c r="G258" s="147" t="s">
        <v>329</v>
      </c>
      <c r="H258" s="121">
        <v>132.52000000000001</v>
      </c>
      <c r="I258" s="147" t="s">
        <v>329</v>
      </c>
      <c r="J258" s="121">
        <v>133.24</v>
      </c>
      <c r="K258" s="129">
        <v>1376</v>
      </c>
      <c r="L258" s="81">
        <v>-5.4000000000000003E-3</v>
      </c>
      <c r="M258" s="81">
        <v>0.59160000000000001</v>
      </c>
      <c r="N258" s="147" t="s">
        <v>329</v>
      </c>
      <c r="O258" s="127">
        <v>1551115072.48</v>
      </c>
      <c r="P258" s="128">
        <f t="shared" si="238"/>
        <v>4.9593430299100932E-2</v>
      </c>
      <c r="Q258" s="147" t="s">
        <v>329</v>
      </c>
      <c r="R258" s="121">
        <v>131.72</v>
      </c>
      <c r="S258" s="147" t="s">
        <v>329</v>
      </c>
      <c r="T258" s="121">
        <v>132.47</v>
      </c>
      <c r="U258" s="129">
        <v>1376</v>
      </c>
      <c r="V258" s="81">
        <v>-6.6E-3</v>
      </c>
      <c r="W258" s="81">
        <v>0.58109999999999995</v>
      </c>
      <c r="X258" s="160">
        <f t="shared" si="239"/>
        <v>-6.5868081984160574E-3</v>
      </c>
      <c r="Y258" s="160">
        <f t="shared" si="240"/>
        <v>-5.7790453317322892E-3</v>
      </c>
      <c r="Z258" s="160">
        <f t="shared" si="241"/>
        <v>0</v>
      </c>
      <c r="AA258" s="160">
        <f t="shared" si="242"/>
        <v>-1.1999999999999997E-3</v>
      </c>
      <c r="AB258" s="161">
        <f t="shared" si="243"/>
        <v>-1.0500000000000065E-2</v>
      </c>
    </row>
    <row r="259" spans="1:32">
      <c r="A259" s="178">
        <v>5</v>
      </c>
      <c r="B259" s="59" t="s">
        <v>275</v>
      </c>
      <c r="C259" s="60" t="s">
        <v>276</v>
      </c>
      <c r="D259" s="147" t="s">
        <v>329</v>
      </c>
      <c r="E259" s="127">
        <v>1986687972.55</v>
      </c>
      <c r="F259" s="128">
        <f t="shared" si="237"/>
        <v>6.4038249738796585E-2</v>
      </c>
      <c r="G259" s="147" t="s">
        <v>329</v>
      </c>
      <c r="H259" s="121">
        <v>52550</v>
      </c>
      <c r="I259" s="147" t="s">
        <v>329</v>
      </c>
      <c r="J259" s="121">
        <v>58300</v>
      </c>
      <c r="K259" s="129">
        <v>855</v>
      </c>
      <c r="L259" s="81">
        <v>0.01</v>
      </c>
      <c r="M259" s="81">
        <v>-0.01</v>
      </c>
      <c r="N259" s="147" t="s">
        <v>329</v>
      </c>
      <c r="O259" s="127">
        <v>1891717368.04</v>
      </c>
      <c r="P259" s="128">
        <f t="shared" si="238"/>
        <v>6.0483425828292359E-2</v>
      </c>
      <c r="Q259" s="147" t="s">
        <v>329</v>
      </c>
      <c r="R259" s="121">
        <v>52930</v>
      </c>
      <c r="S259" s="147" t="s">
        <v>329</v>
      </c>
      <c r="T259" s="121">
        <v>58700</v>
      </c>
      <c r="U259" s="129">
        <v>855</v>
      </c>
      <c r="V259" s="81">
        <v>0</v>
      </c>
      <c r="W259" s="81">
        <v>0.04</v>
      </c>
      <c r="X259" s="160">
        <f t="shared" si="239"/>
        <v>-4.7803482893240205E-2</v>
      </c>
      <c r="Y259" s="160">
        <f t="shared" si="240"/>
        <v>6.8610634648370496E-3</v>
      </c>
      <c r="Z259" s="160">
        <f t="shared" si="241"/>
        <v>0</v>
      </c>
      <c r="AA259" s="160">
        <f t="shared" si="242"/>
        <v>-0.01</v>
      </c>
      <c r="AB259" s="161">
        <f t="shared" si="243"/>
        <v>0.05</v>
      </c>
    </row>
    <row r="260" spans="1:32">
      <c r="A260" s="178">
        <v>6</v>
      </c>
      <c r="B260" s="59" t="s">
        <v>277</v>
      </c>
      <c r="C260" s="60" t="s">
        <v>278</v>
      </c>
      <c r="D260" s="147" t="s">
        <v>329</v>
      </c>
      <c r="E260" s="127">
        <v>1614296965.28</v>
      </c>
      <c r="F260" s="128">
        <f t="shared" si="237"/>
        <v>5.2034719917538705E-2</v>
      </c>
      <c r="G260" s="147" t="s">
        <v>329</v>
      </c>
      <c r="H260" s="121">
        <v>6250.02</v>
      </c>
      <c r="I260" s="147" t="s">
        <v>329</v>
      </c>
      <c r="J260" s="121">
        <v>6250.02</v>
      </c>
      <c r="K260" s="129">
        <v>1499</v>
      </c>
      <c r="L260" s="81">
        <v>-3.2000000000000001E-2</v>
      </c>
      <c r="M260" s="81">
        <v>0.61499999999999999</v>
      </c>
      <c r="N260" s="147" t="s">
        <v>329</v>
      </c>
      <c r="O260" s="127">
        <v>1677963557.01</v>
      </c>
      <c r="P260" s="128">
        <f t="shared" si="238"/>
        <v>5.3649126480317853E-2</v>
      </c>
      <c r="Q260" s="147" t="s">
        <v>329</v>
      </c>
      <c r="R260" s="121">
        <v>7350</v>
      </c>
      <c r="S260" s="147" t="s">
        <v>329</v>
      </c>
      <c r="T260" s="121">
        <v>7350</v>
      </c>
      <c r="U260" s="129">
        <v>1499</v>
      </c>
      <c r="V260" s="81">
        <v>3.0000000000000001E-3</v>
      </c>
      <c r="W260" s="81">
        <v>0.61980000000000002</v>
      </c>
      <c r="X260" s="160">
        <f t="shared" si="239"/>
        <v>3.9439206725484392E-2</v>
      </c>
      <c r="Y260" s="160">
        <f t="shared" si="240"/>
        <v>0.17599623681204213</v>
      </c>
      <c r="Z260" s="160">
        <f t="shared" si="241"/>
        <v>0</v>
      </c>
      <c r="AA260" s="160">
        <f t="shared" si="242"/>
        <v>3.5000000000000003E-2</v>
      </c>
      <c r="AB260" s="161">
        <f t="shared" si="243"/>
        <v>4.8000000000000265E-3</v>
      </c>
    </row>
    <row r="261" spans="1:32">
      <c r="A261" s="178">
        <v>7</v>
      </c>
      <c r="B261" s="59" t="s">
        <v>279</v>
      </c>
      <c r="C261" s="60" t="s">
        <v>278</v>
      </c>
      <c r="D261" s="147" t="s">
        <v>329</v>
      </c>
      <c r="E261" s="127">
        <v>1686424328.71</v>
      </c>
      <c r="F261" s="128">
        <f t="shared" si="237"/>
        <v>5.4359649738502346E-2</v>
      </c>
      <c r="G261" s="147" t="s">
        <v>329</v>
      </c>
      <c r="H261" s="121">
        <v>3565</v>
      </c>
      <c r="I261" s="147" t="s">
        <v>329</v>
      </c>
      <c r="J261" s="121">
        <v>3565</v>
      </c>
      <c r="K261" s="129">
        <v>7953</v>
      </c>
      <c r="L261" s="81">
        <v>-3.2399999999999998E-2</v>
      </c>
      <c r="M261" s="81">
        <v>0.53220000000000001</v>
      </c>
      <c r="N261" s="147" t="s">
        <v>329</v>
      </c>
      <c r="O261" s="127">
        <v>1761254639.97</v>
      </c>
      <c r="P261" s="128">
        <f t="shared" si="238"/>
        <v>5.6312172304963888E-2</v>
      </c>
      <c r="Q261" s="147" t="s">
        <v>329</v>
      </c>
      <c r="R261" s="121">
        <v>4175</v>
      </c>
      <c r="S261" s="147" t="s">
        <v>329</v>
      </c>
      <c r="T261" s="121">
        <v>4175</v>
      </c>
      <c r="U261" s="129">
        <v>7953</v>
      </c>
      <c r="V261" s="81">
        <v>1.0999999999999999E-2</v>
      </c>
      <c r="W261" s="81">
        <v>0.54910000000000003</v>
      </c>
      <c r="X261" s="160">
        <f t="shared" si="239"/>
        <v>4.4372172522700794E-2</v>
      </c>
      <c r="Y261" s="160">
        <f t="shared" si="240"/>
        <v>0.17110799438990182</v>
      </c>
      <c r="Z261" s="160">
        <f t="shared" si="241"/>
        <v>0</v>
      </c>
      <c r="AA261" s="160">
        <f t="shared" si="242"/>
        <v>4.3399999999999994E-2</v>
      </c>
      <c r="AB261" s="161">
        <f t="shared" si="243"/>
        <v>1.6900000000000026E-2</v>
      </c>
      <c r="AD261" s="121"/>
      <c r="AE261" s="176"/>
      <c r="AF261" s="176"/>
    </row>
    <row r="262" spans="1:32">
      <c r="A262" s="178">
        <v>8</v>
      </c>
      <c r="B262" s="59" t="s">
        <v>280</v>
      </c>
      <c r="C262" s="60" t="s">
        <v>281</v>
      </c>
      <c r="D262" s="147" t="s">
        <v>329</v>
      </c>
      <c r="E262" s="127">
        <v>721092671.05999994</v>
      </c>
      <c r="F262" s="128">
        <f t="shared" si="237"/>
        <v>2.3243465099798907E-2</v>
      </c>
      <c r="G262" s="147" t="s">
        <v>329</v>
      </c>
      <c r="H262" s="121">
        <v>47.94</v>
      </c>
      <c r="I262" s="147" t="s">
        <v>329</v>
      </c>
      <c r="J262" s="121">
        <v>48.04</v>
      </c>
      <c r="K262" s="129">
        <v>4326</v>
      </c>
      <c r="L262" s="81">
        <v>5.3600000000000002E-2</v>
      </c>
      <c r="M262" s="81">
        <v>0.51280000000000003</v>
      </c>
      <c r="N262" s="147" t="s">
        <v>329</v>
      </c>
      <c r="O262" s="127">
        <v>717045413.29999995</v>
      </c>
      <c r="P262" s="128">
        <f t="shared" si="238"/>
        <v>2.2925921072333651E-2</v>
      </c>
      <c r="Q262" s="147" t="s">
        <v>329</v>
      </c>
      <c r="R262" s="121">
        <v>47.69</v>
      </c>
      <c r="S262" s="147" t="s">
        <v>329</v>
      </c>
      <c r="T262" s="121">
        <v>47.79</v>
      </c>
      <c r="U262" s="129">
        <v>4508</v>
      </c>
      <c r="V262" s="81">
        <v>-1.9E-3</v>
      </c>
      <c r="W262" s="81">
        <v>0.51</v>
      </c>
      <c r="X262" s="160">
        <f t="shared" si="239"/>
        <v>-5.6126735472856173E-3</v>
      </c>
      <c r="Y262" s="160">
        <f t="shared" si="240"/>
        <v>-5.2039966694421317E-3</v>
      </c>
      <c r="Z262" s="160">
        <f t="shared" si="241"/>
        <v>4.2071197411003236E-2</v>
      </c>
      <c r="AA262" s="160">
        <f t="shared" si="242"/>
        <v>-5.5500000000000001E-2</v>
      </c>
      <c r="AB262" s="161">
        <f t="shared" si="243"/>
        <v>-2.8000000000000247E-3</v>
      </c>
      <c r="AD262" s="121"/>
      <c r="AE262" s="176"/>
      <c r="AF262" s="176"/>
    </row>
    <row r="263" spans="1:32">
      <c r="A263" s="178">
        <v>9</v>
      </c>
      <c r="B263" s="59" t="s">
        <v>282</v>
      </c>
      <c r="C263" s="60" t="s">
        <v>281</v>
      </c>
      <c r="D263" s="147" t="s">
        <v>329</v>
      </c>
      <c r="E263" s="130">
        <v>1992900261.5999999</v>
      </c>
      <c r="F263" s="128">
        <f t="shared" si="237"/>
        <v>6.4238494630359938E-2</v>
      </c>
      <c r="G263" s="147" t="s">
        <v>329</v>
      </c>
      <c r="H263" s="121">
        <v>22.73</v>
      </c>
      <c r="I263" s="147" t="s">
        <v>329</v>
      </c>
      <c r="J263" s="121">
        <v>22.83</v>
      </c>
      <c r="K263" s="129">
        <v>4956</v>
      </c>
      <c r="L263" s="81">
        <v>0.1555</v>
      </c>
      <c r="M263" s="81">
        <v>0.92669999999999997</v>
      </c>
      <c r="N263" s="147" t="s">
        <v>329</v>
      </c>
      <c r="O263" s="130">
        <v>2011331760.6199999</v>
      </c>
      <c r="P263" s="128">
        <f t="shared" si="238"/>
        <v>6.4307828122121533E-2</v>
      </c>
      <c r="Q263" s="147" t="s">
        <v>329</v>
      </c>
      <c r="R263" s="121">
        <v>22.94</v>
      </c>
      <c r="S263" s="147" t="s">
        <v>329</v>
      </c>
      <c r="T263" s="121">
        <v>23.04</v>
      </c>
      <c r="U263" s="129">
        <v>5218</v>
      </c>
      <c r="V263" s="81">
        <v>1.6299999999999999E-2</v>
      </c>
      <c r="W263" s="81">
        <v>0.95799999999999996</v>
      </c>
      <c r="X263" s="160">
        <f t="shared" si="239"/>
        <v>9.2485807619906938E-3</v>
      </c>
      <c r="Y263" s="160">
        <f t="shared" si="240"/>
        <v>9.1984231274639013E-3</v>
      </c>
      <c r="Z263" s="160">
        <f t="shared" si="241"/>
        <v>5.2865213882163031E-2</v>
      </c>
      <c r="AA263" s="160">
        <f t="shared" si="242"/>
        <v>-0.13919999999999999</v>
      </c>
      <c r="AB263" s="161">
        <f t="shared" si="243"/>
        <v>3.1299999999999994E-2</v>
      </c>
      <c r="AD263" s="176"/>
      <c r="AE263" s="176"/>
      <c r="AF263" s="176"/>
    </row>
    <row r="264" spans="1:32" ht="15" customHeight="1">
      <c r="A264" s="178">
        <v>10</v>
      </c>
      <c r="B264" s="59" t="s">
        <v>283</v>
      </c>
      <c r="C264" s="60" t="s">
        <v>281</v>
      </c>
      <c r="D264" s="147" t="s">
        <v>329</v>
      </c>
      <c r="E264" s="127">
        <v>383968372.18000001</v>
      </c>
      <c r="F264" s="128">
        <f t="shared" si="237"/>
        <v>1.2376710811764478E-2</v>
      </c>
      <c r="G264" s="147" t="s">
        <v>329</v>
      </c>
      <c r="H264" s="121">
        <v>142.61000000000001</v>
      </c>
      <c r="I264" s="147" t="s">
        <v>329</v>
      </c>
      <c r="J264" s="121">
        <v>144.61000000000001</v>
      </c>
      <c r="K264" s="129">
        <v>2266</v>
      </c>
      <c r="L264" s="81">
        <v>7.9799999999999996E-2</v>
      </c>
      <c r="M264" s="81">
        <v>0.46179999999999999</v>
      </c>
      <c r="N264" s="147" t="s">
        <v>329</v>
      </c>
      <c r="O264" s="127">
        <v>426431945.54000002</v>
      </c>
      <c r="P264" s="128">
        <f t="shared" si="238"/>
        <v>1.3634206348491711E-2</v>
      </c>
      <c r="Q264" s="147" t="s">
        <v>329</v>
      </c>
      <c r="R264" s="121">
        <v>142.4</v>
      </c>
      <c r="S264" s="147" t="s">
        <v>329</v>
      </c>
      <c r="T264" s="121">
        <v>144</v>
      </c>
      <c r="U264" s="129">
        <v>2377</v>
      </c>
      <c r="V264" s="81">
        <v>-0.27329999999999999</v>
      </c>
      <c r="W264" s="81">
        <v>6.2399999999999997E-2</v>
      </c>
      <c r="X264" s="160">
        <f t="shared" si="239"/>
        <v>0.11059133104872912</v>
      </c>
      <c r="Y264" s="160">
        <f t="shared" si="240"/>
        <v>-4.2182421685914772E-3</v>
      </c>
      <c r="Z264" s="160">
        <f t="shared" si="241"/>
        <v>4.8984995586937335E-2</v>
      </c>
      <c r="AA264" s="160">
        <f t="shared" si="242"/>
        <v>-0.35309999999999997</v>
      </c>
      <c r="AB264" s="161">
        <f t="shared" si="243"/>
        <v>-0.39939999999999998</v>
      </c>
      <c r="AD264" s="176"/>
      <c r="AE264" s="121"/>
      <c r="AF264" s="121"/>
    </row>
    <row r="265" spans="1:32">
      <c r="A265" s="181">
        <v>11</v>
      </c>
      <c r="B265" s="59" t="s">
        <v>284</v>
      </c>
      <c r="C265" s="60" t="s">
        <v>281</v>
      </c>
      <c r="D265" s="147" t="s">
        <v>329</v>
      </c>
      <c r="E265" s="127">
        <v>13593825928.98</v>
      </c>
      <c r="F265" s="128">
        <f t="shared" si="237"/>
        <v>0.43817893487742487</v>
      </c>
      <c r="G265" s="147" t="s">
        <v>329</v>
      </c>
      <c r="H265" s="121">
        <v>88.1</v>
      </c>
      <c r="I265" s="147" t="s">
        <v>329</v>
      </c>
      <c r="J265" s="121">
        <v>88.3</v>
      </c>
      <c r="K265" s="129">
        <v>6785</v>
      </c>
      <c r="L265" s="81">
        <v>0.152</v>
      </c>
      <c r="M265" s="81">
        <v>0.53672119735468149</v>
      </c>
      <c r="N265" s="147" t="s">
        <v>329</v>
      </c>
      <c r="O265" s="127">
        <v>13727247243.92</v>
      </c>
      <c r="P265" s="128">
        <f t="shared" si="238"/>
        <v>0.43889798472617825</v>
      </c>
      <c r="Q265" s="147" t="s">
        <v>329</v>
      </c>
      <c r="R265" s="121">
        <v>89.02</v>
      </c>
      <c r="S265" s="147" t="s">
        <v>329</v>
      </c>
      <c r="T265" s="121">
        <v>89.22</v>
      </c>
      <c r="U265" s="129">
        <v>7254</v>
      </c>
      <c r="V265" s="81">
        <v>-4.3E-3</v>
      </c>
      <c r="W265" s="81">
        <v>0.55269999999999997</v>
      </c>
      <c r="X265" s="160">
        <f t="shared" si="239"/>
        <v>9.8148465073078714E-3</v>
      </c>
      <c r="Y265" s="160">
        <f t="shared" si="240"/>
        <v>1.0419026047565139E-2</v>
      </c>
      <c r="Z265" s="160">
        <f t="shared" si="241"/>
        <v>6.9123065585851143E-2</v>
      </c>
      <c r="AA265" s="160">
        <f t="shared" si="242"/>
        <v>-0.15629999999999999</v>
      </c>
      <c r="AB265" s="161">
        <f t="shared" si="243"/>
        <v>1.5978802645318479E-2</v>
      </c>
      <c r="AD265" s="30"/>
      <c r="AE265" s="30"/>
      <c r="AF265" s="176"/>
    </row>
    <row r="266" spans="1:32">
      <c r="A266" s="181">
        <v>12</v>
      </c>
      <c r="B266" s="59" t="s">
        <v>285</v>
      </c>
      <c r="C266" s="60" t="s">
        <v>281</v>
      </c>
      <c r="D266" s="147" t="s">
        <v>329</v>
      </c>
      <c r="E266" s="130">
        <v>673645335.64999998</v>
      </c>
      <c r="F266" s="128">
        <f t="shared" si="237"/>
        <v>2.1714063222700888E-2</v>
      </c>
      <c r="G266" s="147" t="s">
        <v>329</v>
      </c>
      <c r="H266" s="121">
        <v>116.97</v>
      </c>
      <c r="I266" s="147" t="s">
        <v>329</v>
      </c>
      <c r="J266" s="121">
        <v>117.17</v>
      </c>
      <c r="K266" s="129">
        <v>3534</v>
      </c>
      <c r="L266" s="81">
        <v>-2.1499999999999998E-2</v>
      </c>
      <c r="M266" s="81">
        <v>1.0603129945489713</v>
      </c>
      <c r="N266" s="147" t="s">
        <v>329</v>
      </c>
      <c r="O266" s="130">
        <v>666917996.29999995</v>
      </c>
      <c r="P266" s="128">
        <f t="shared" si="238"/>
        <v>2.1323209187722316E-2</v>
      </c>
      <c r="Q266" s="147" t="s">
        <v>329</v>
      </c>
      <c r="R266" s="121">
        <v>115.81</v>
      </c>
      <c r="S266" s="147" t="s">
        <v>329</v>
      </c>
      <c r="T266" s="121">
        <v>116.01</v>
      </c>
      <c r="U266" s="129">
        <v>3730</v>
      </c>
      <c r="V266" s="81">
        <v>-7.1999999999999998E-3</v>
      </c>
      <c r="W266" s="81">
        <v>1.0399</v>
      </c>
      <c r="X266" s="160">
        <f t="shared" si="239"/>
        <v>-9.9864706158899145E-3</v>
      </c>
      <c r="Y266" s="160">
        <f t="shared" si="240"/>
        <v>-9.9001450883331611E-3</v>
      </c>
      <c r="Z266" s="160">
        <f t="shared" si="241"/>
        <v>5.5461233729485006E-2</v>
      </c>
      <c r="AA266" s="160">
        <f t="shared" si="242"/>
        <v>1.4299999999999998E-2</v>
      </c>
      <c r="AB266" s="161">
        <f t="shared" si="243"/>
        <v>-2.0412994548971275E-2</v>
      </c>
      <c r="AD266" s="212"/>
      <c r="AE266" s="177"/>
      <c r="AF266" s="121"/>
    </row>
    <row r="267" spans="1:32">
      <c r="A267" s="131"/>
      <c r="B267" s="131"/>
      <c r="C267" s="132" t="s">
        <v>286</v>
      </c>
      <c r="D267" s="153"/>
      <c r="E267" s="119">
        <f>SUM(E255:E266)</f>
        <v>31023458333.940002</v>
      </c>
      <c r="F267" s="122"/>
      <c r="G267" s="122"/>
      <c r="H267" s="122"/>
      <c r="I267" s="122"/>
      <c r="J267" s="123"/>
      <c r="K267" s="119">
        <f>SUM(K255:K266)</f>
        <v>40321</v>
      </c>
      <c r="L267" s="124"/>
      <c r="M267" s="124"/>
      <c r="N267" s="124"/>
      <c r="O267" s="119">
        <f>SUM(O255:O266)</f>
        <v>31276624002.919994</v>
      </c>
      <c r="P267" s="122"/>
      <c r="Q267" s="122"/>
      <c r="R267" s="122"/>
      <c r="S267" s="122"/>
      <c r="T267" s="123"/>
      <c r="U267" s="119">
        <f>SUM(U255:U266)</f>
        <v>42095</v>
      </c>
      <c r="V267" s="124"/>
      <c r="W267" s="124"/>
      <c r="X267" s="160">
        <f t="shared" si="239"/>
        <v>8.1604592967968979E-3</v>
      </c>
      <c r="Y267" s="160" t="e">
        <f t="shared" si="240"/>
        <v>#DIV/0!</v>
      </c>
      <c r="Z267" s="160">
        <f t="shared" si="241"/>
        <v>4.3996924679447436E-2</v>
      </c>
      <c r="AA267" s="160">
        <f t="shared" si="242"/>
        <v>0</v>
      </c>
      <c r="AB267" s="161">
        <f t="shared" si="243"/>
        <v>0</v>
      </c>
      <c r="AF267" s="23"/>
    </row>
    <row r="268" spans="1:32">
      <c r="A268" s="133"/>
      <c r="B268" s="133"/>
      <c r="C268" s="134" t="s">
        <v>287</v>
      </c>
      <c r="D268" s="152"/>
      <c r="E268" s="135">
        <f>SUM(E238,E247,E252,E267)</f>
        <v>9274143499614.6797</v>
      </c>
      <c r="F268" s="136"/>
      <c r="G268" s="136"/>
      <c r="H268" s="136"/>
      <c r="I268" s="136"/>
      <c r="J268" s="137"/>
      <c r="K268" s="135">
        <f>SUM(K238,K247,K252,K267)</f>
        <v>1432186</v>
      </c>
      <c r="L268" s="138"/>
      <c r="M268" s="138"/>
      <c r="N268" s="138"/>
      <c r="O268" s="135">
        <f>SUM(O238,O247,O252,O267)</f>
        <v>9309699294624.8008</v>
      </c>
      <c r="P268" s="136"/>
      <c r="Q268" s="136"/>
      <c r="R268" s="136"/>
      <c r="S268" s="136"/>
      <c r="T268" s="135"/>
      <c r="U268" s="135">
        <f>SUM(U238,U247,U252,U267)</f>
        <v>1446852</v>
      </c>
      <c r="V268" s="139"/>
      <c r="W268" s="135"/>
      <c r="X268" s="140"/>
      <c r="Y268" s="141"/>
      <c r="Z268" s="141"/>
      <c r="AA268" s="142"/>
      <c r="AB268" s="142"/>
      <c r="AF268" s="23"/>
    </row>
    <row r="269" spans="1:32">
      <c r="A269" s="143"/>
      <c r="B269" s="143" t="s">
        <v>345</v>
      </c>
      <c r="C269" s="151">
        <v>1363.825</v>
      </c>
      <c r="D269" s="144"/>
      <c r="E269" s="144"/>
      <c r="F269" s="144"/>
      <c r="G269" s="144"/>
      <c r="H269" s="144"/>
      <c r="I269" s="144"/>
      <c r="J269" s="144"/>
      <c r="K269" s="144"/>
      <c r="L269" s="144"/>
      <c r="M269" s="144"/>
      <c r="N269" s="144"/>
      <c r="O269" s="144"/>
      <c r="P269" s="144"/>
      <c r="Q269" s="144"/>
      <c r="R269" s="144"/>
      <c r="S269" s="144"/>
      <c r="T269" s="144"/>
      <c r="U269" s="144"/>
      <c r="V269" s="144"/>
      <c r="W269" s="144"/>
      <c r="X269" s="144"/>
      <c r="Y269" s="144"/>
      <c r="Z269" s="144"/>
      <c r="AA269" s="144"/>
      <c r="AB269" s="144"/>
    </row>
    <row r="270" spans="1:32">
      <c r="B270" s="32"/>
    </row>
    <row r="271" spans="1:32">
      <c r="B271" s="32"/>
      <c r="D271" s="33"/>
      <c r="E271" s="34"/>
      <c r="O271" s="34"/>
    </row>
    <row r="272" spans="1:32" ht="15">
      <c r="B272" s="35"/>
      <c r="C272" s="36"/>
      <c r="D272" s="36"/>
      <c r="E272" s="37"/>
      <c r="H272" s="38"/>
      <c r="I272" s="38"/>
      <c r="J272" s="38"/>
      <c r="L272" s="39"/>
      <c r="M272" s="40"/>
      <c r="N272" s="40"/>
    </row>
    <row r="273" spans="2:15">
      <c r="C273" s="32"/>
      <c r="D273" s="32"/>
    </row>
    <row r="274" spans="2:15">
      <c r="O274" s="31"/>
    </row>
    <row r="275" spans="2:15">
      <c r="B275" s="33"/>
    </row>
    <row r="276" spans="2:15">
      <c r="O276" s="41"/>
    </row>
  </sheetData>
  <sheetProtection algorithmName="SHA-512" hashValue="Gk0HxZ14pIC3O0i4c2B8ujqX/krPkNhRDMYMpt+m4o1tFXLbR7P1KJcmRb1a6pkdKTEhg4Dx5YNrKmGZM4ziBQ==" saltValue="/KYQ5vbwI0xCxbuJWFrNRg==" spinCount="100000" sheet="1" objects="1" scenarios="1"/>
  <mergeCells count="34">
    <mergeCell ref="A1:AB1"/>
    <mergeCell ref="D2:M2"/>
    <mergeCell ref="N2:W2"/>
    <mergeCell ref="X2:Z2"/>
    <mergeCell ref="AA2:AB2"/>
    <mergeCell ref="B4:AB4"/>
    <mergeCell ref="B5:AB5"/>
    <mergeCell ref="B27:AB27"/>
    <mergeCell ref="B28:AB28"/>
    <mergeCell ref="B77:AB77"/>
    <mergeCell ref="B78:AB78"/>
    <mergeCell ref="B118:AB118"/>
    <mergeCell ref="B119:AB119"/>
    <mergeCell ref="B120:AB120"/>
    <mergeCell ref="B139:AB139"/>
    <mergeCell ref="B140:AB140"/>
    <mergeCell ref="B162:AB162"/>
    <mergeCell ref="B163:AB163"/>
    <mergeCell ref="B171:AB171"/>
    <mergeCell ref="B172:AB172"/>
    <mergeCell ref="B204:AB204"/>
    <mergeCell ref="B205:AB205"/>
    <mergeCell ref="B210:AB210"/>
    <mergeCell ref="B211:AB211"/>
    <mergeCell ref="B212:AB212"/>
    <mergeCell ref="B240:AB240"/>
    <mergeCell ref="B249:AB249"/>
    <mergeCell ref="B253:AB253"/>
    <mergeCell ref="B254:AB254"/>
    <mergeCell ref="B215:AB215"/>
    <mergeCell ref="B216:AB216"/>
    <mergeCell ref="B231:AB231"/>
    <mergeCell ref="B232:AB232"/>
    <mergeCell ref="B239:AA239"/>
  </mergeCells>
  <pageMargins left="0.7" right="0.7" top="0.75" bottom="0.75" header="0.3" footer="0.3"/>
  <pageSetup paperSize="9" orientation="portrait" horizontalDpi="300" verticalDpi="300" r:id="rId1"/>
  <ignoredErrors>
    <ignoredError sqref="F103 F83 P54 P37 F37 P146 F146" formula="1"/>
    <ignoredError sqref="Y170 Y26 Y76 Y117 Y161 Y203 Y209 Y237 Y267 Z250:Z251 X55:Z55 X146 X133:Z133 X50:Z50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44"/>
  <sheetViews>
    <sheetView workbookViewId="0">
      <selection activeCell="F9" sqref="F9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188"/>
      <c r="B1" s="188"/>
      <c r="C1" s="188"/>
      <c r="D1" s="188"/>
      <c r="F1" s="20"/>
      <c r="G1" s="15"/>
      <c r="H1" s="20"/>
    </row>
    <row r="2" spans="1:8" ht="27.6">
      <c r="A2" s="193" t="s">
        <v>288</v>
      </c>
      <c r="B2" s="194" t="s">
        <v>341</v>
      </c>
      <c r="C2" s="194" t="s">
        <v>346</v>
      </c>
      <c r="D2" s="195"/>
      <c r="F2" s="20"/>
      <c r="G2" s="15"/>
      <c r="H2" s="20"/>
    </row>
    <row r="3" spans="1:8">
      <c r="A3" s="196" t="s">
        <v>17</v>
      </c>
      <c r="B3" s="197">
        <f t="shared" ref="B3:C10" si="0">B13</f>
        <v>261.16452799857979</v>
      </c>
      <c r="C3" s="197">
        <f t="shared" si="0"/>
        <v>256.76497819762449</v>
      </c>
      <c r="D3" s="195"/>
      <c r="F3" s="20"/>
      <c r="G3" s="15"/>
      <c r="H3" s="20"/>
    </row>
    <row r="4" spans="1:8" ht="15.6" customHeight="1">
      <c r="A4" s="193" t="s">
        <v>53</v>
      </c>
      <c r="B4" s="198">
        <f t="shared" si="0"/>
        <v>5902.3299509160597</v>
      </c>
      <c r="C4" s="198">
        <f t="shared" si="0"/>
        <v>5945.1952461204701</v>
      </c>
      <c r="D4" s="195"/>
      <c r="F4" s="20"/>
      <c r="G4" s="15"/>
      <c r="H4" s="20"/>
    </row>
    <row r="5" spans="1:8" ht="16.2" customHeight="1">
      <c r="A5" s="193" t="s">
        <v>289</v>
      </c>
      <c r="B5" s="197">
        <f t="shared" si="0"/>
        <v>236.15950098094001</v>
      </c>
      <c r="C5" s="197">
        <f t="shared" si="0"/>
        <v>236.91658662281196</v>
      </c>
      <c r="D5" s="195"/>
      <c r="F5" s="20"/>
      <c r="G5" s="15"/>
      <c r="H5" s="20"/>
    </row>
    <row r="6" spans="1:8">
      <c r="A6" s="193" t="s">
        <v>164</v>
      </c>
      <c r="B6" s="198">
        <f t="shared" si="0"/>
        <v>1829.4160716884446</v>
      </c>
      <c r="C6" s="198">
        <f t="shared" si="0"/>
        <v>1830.6315702078184</v>
      </c>
      <c r="D6" s="195"/>
      <c r="F6" s="20"/>
      <c r="G6" s="15"/>
      <c r="H6" s="20"/>
    </row>
    <row r="7" spans="1:8">
      <c r="A7" s="193" t="s">
        <v>290</v>
      </c>
      <c r="B7" s="197">
        <f t="shared" si="0"/>
        <v>509.44976096275997</v>
      </c>
      <c r="C7" s="197">
        <f t="shared" si="0"/>
        <v>509.81011898262</v>
      </c>
      <c r="D7" s="195"/>
      <c r="F7" s="20"/>
      <c r="G7" s="15"/>
      <c r="H7" s="20"/>
    </row>
    <row r="8" spans="1:8">
      <c r="A8" s="193" t="s">
        <v>203</v>
      </c>
      <c r="B8" s="199">
        <f t="shared" si="0"/>
        <v>157.79460466674004</v>
      </c>
      <c r="C8" s="199">
        <f t="shared" si="0"/>
        <v>157.64325564730001</v>
      </c>
      <c r="D8" s="195"/>
      <c r="F8" s="20"/>
      <c r="G8" s="15"/>
      <c r="H8" s="20"/>
    </row>
    <row r="9" spans="1:8">
      <c r="A9" s="193" t="s">
        <v>233</v>
      </c>
      <c r="B9" s="197">
        <f t="shared" si="0"/>
        <v>21.280346410980002</v>
      </c>
      <c r="C9" s="197">
        <f t="shared" si="0"/>
        <v>21.26868564347</v>
      </c>
      <c r="D9" s="195"/>
      <c r="F9" s="20"/>
      <c r="G9" s="15"/>
      <c r="H9" s="20"/>
    </row>
    <row r="10" spans="1:8">
      <c r="A10" s="193" t="s">
        <v>291</v>
      </c>
      <c r="B10" s="197">
        <f t="shared" si="0"/>
        <v>148.22298967809999</v>
      </c>
      <c r="C10" s="197">
        <f t="shared" si="0"/>
        <v>143.66365630506002</v>
      </c>
      <c r="D10" s="195"/>
      <c r="F10" s="20"/>
      <c r="G10" s="15"/>
      <c r="H10" s="20"/>
    </row>
    <row r="11" spans="1:8">
      <c r="A11" s="193" t="s">
        <v>262</v>
      </c>
      <c r="B11" s="197">
        <f>B21</f>
        <v>31.85095233109757</v>
      </c>
      <c r="C11" s="197">
        <f>C21</f>
        <v>30.947010318115275</v>
      </c>
      <c r="D11" s="195"/>
      <c r="F11" s="20"/>
      <c r="G11" s="15"/>
      <c r="H11" s="20"/>
    </row>
    <row r="12" spans="1:8">
      <c r="A12" s="188"/>
      <c r="B12" s="188"/>
      <c r="C12" s="188"/>
      <c r="D12" s="188"/>
      <c r="F12" s="20"/>
      <c r="G12" s="15"/>
      <c r="H12" s="20"/>
    </row>
    <row r="13" spans="1:8">
      <c r="A13" s="200" t="s">
        <v>17</v>
      </c>
      <c r="B13" s="201">
        <f>'Weekly Valuation'!E26/1000000000</f>
        <v>261.16452799857979</v>
      </c>
      <c r="C13" s="202">
        <f>'Weekly Valuation'!O26/1000000000</f>
        <v>256.76497819762449</v>
      </c>
      <c r="D13" s="188"/>
      <c r="F13" s="20"/>
      <c r="G13" s="15"/>
      <c r="H13" s="20"/>
    </row>
    <row r="14" spans="1:8">
      <c r="A14" s="203" t="s">
        <v>53</v>
      </c>
      <c r="B14" s="201">
        <f>'Weekly Valuation'!E76/1000000000</f>
        <v>5902.3299509160597</v>
      </c>
      <c r="C14" s="204">
        <f>'Weekly Valuation'!O76/1000000000</f>
        <v>5945.1952461204701</v>
      </c>
      <c r="D14" s="188"/>
      <c r="F14" s="20"/>
      <c r="G14" s="15"/>
      <c r="H14" s="20"/>
    </row>
    <row r="15" spans="1:8">
      <c r="A15" s="203" t="s">
        <v>289</v>
      </c>
      <c r="B15" s="201">
        <f>'Weekly Valuation'!E117/1000000000</f>
        <v>236.15950098094001</v>
      </c>
      <c r="C15" s="202">
        <f>'Weekly Valuation'!O117/1000000000</f>
        <v>236.91658662281196</v>
      </c>
      <c r="D15" s="188"/>
      <c r="F15" s="20"/>
      <c r="G15" s="15"/>
      <c r="H15" s="20"/>
    </row>
    <row r="16" spans="1:8">
      <c r="A16" s="203" t="s">
        <v>164</v>
      </c>
      <c r="B16" s="201">
        <f>'Weekly Valuation'!E161/1000000000</f>
        <v>1829.4160716884446</v>
      </c>
      <c r="C16" s="204">
        <f>'Weekly Valuation'!O161/1000000000</f>
        <v>1830.6315702078184</v>
      </c>
      <c r="D16" s="188"/>
      <c r="F16" s="20"/>
      <c r="G16" s="15"/>
      <c r="H16" s="20"/>
    </row>
    <row r="17" spans="1:8">
      <c r="A17" s="203" t="s">
        <v>290</v>
      </c>
      <c r="B17" s="201">
        <f>'Weekly Valuation'!E170/1000000000</f>
        <v>509.44976096275997</v>
      </c>
      <c r="C17" s="202">
        <f>'Weekly Valuation'!O170/1000000000</f>
        <v>509.81011898262</v>
      </c>
      <c r="D17" s="188"/>
      <c r="F17" s="20"/>
      <c r="G17" s="15"/>
      <c r="H17" s="20"/>
    </row>
    <row r="18" spans="1:8">
      <c r="A18" s="203" t="s">
        <v>203</v>
      </c>
      <c r="B18" s="201">
        <f>'Weekly Valuation'!E203/1000000000</f>
        <v>157.79460466674004</v>
      </c>
      <c r="C18" s="205">
        <f>'Weekly Valuation'!O203/1000000000</f>
        <v>157.64325564730001</v>
      </c>
      <c r="D18" s="188"/>
      <c r="F18" s="20"/>
      <c r="G18" s="15"/>
      <c r="H18" s="20"/>
    </row>
    <row r="19" spans="1:8">
      <c r="A19" s="203" t="s">
        <v>233</v>
      </c>
      <c r="B19" s="201">
        <f>'Weekly Valuation'!E209/1000000000</f>
        <v>21.280346410980002</v>
      </c>
      <c r="C19" s="202">
        <f>'Weekly Valuation'!O209/1000000000</f>
        <v>21.26868564347</v>
      </c>
      <c r="D19" s="188"/>
      <c r="F19" s="20"/>
      <c r="G19" s="15"/>
      <c r="H19" s="20"/>
    </row>
    <row r="20" spans="1:8">
      <c r="A20" s="203" t="s">
        <v>291</v>
      </c>
      <c r="B20" s="201">
        <f>'Weekly Valuation'!E237/1000000000</f>
        <v>148.22298967809999</v>
      </c>
      <c r="C20" s="202">
        <f>'Weekly Valuation'!O237/1000000000</f>
        <v>143.66365630506002</v>
      </c>
      <c r="D20" s="188"/>
      <c r="F20" s="20"/>
      <c r="G20" s="15"/>
      <c r="H20" s="20"/>
    </row>
    <row r="21" spans="1:8">
      <c r="A21" s="203" t="s">
        <v>262</v>
      </c>
      <c r="B21" s="201">
        <f>'Weekly Valuation'!E247/1000000000</f>
        <v>31.85095233109757</v>
      </c>
      <c r="C21" s="202">
        <f>'Weekly Valuation'!O247/1000000000</f>
        <v>30.947010318115275</v>
      </c>
      <c r="D21" s="188"/>
      <c r="F21" s="20"/>
      <c r="G21" s="15"/>
      <c r="H21" s="20"/>
    </row>
    <row r="22" spans="1:8">
      <c r="A22" s="189"/>
      <c r="B22" s="188"/>
      <c r="C22" s="54"/>
      <c r="D22" s="188"/>
      <c r="F22" s="20"/>
      <c r="G22" s="15"/>
      <c r="H22" s="20"/>
    </row>
    <row r="23" spans="1:8">
      <c r="A23" s="55"/>
      <c r="B23" s="54"/>
      <c r="C23" s="190"/>
      <c r="F23" s="20"/>
      <c r="G23" s="15"/>
      <c r="H23" s="20"/>
    </row>
    <row r="24" spans="1:8">
      <c r="A24" s="55"/>
      <c r="B24" s="54"/>
      <c r="C24" s="54"/>
      <c r="F24" s="20"/>
      <c r="G24" s="15"/>
      <c r="H24" s="20"/>
    </row>
    <row r="25" spans="1:8">
      <c r="A25" s="55"/>
      <c r="B25" s="54"/>
      <c r="C25" s="54"/>
      <c r="F25" s="20"/>
      <c r="G25" s="15"/>
      <c r="H25" s="20"/>
    </row>
    <row r="26" spans="1:8">
      <c r="A26" s="55"/>
      <c r="B26" s="54"/>
      <c r="C26" s="54"/>
      <c r="F26" s="20"/>
      <c r="G26" s="20"/>
      <c r="H26" s="20"/>
    </row>
    <row r="27" spans="1:8">
      <c r="A27" s="55"/>
      <c r="B27" s="54"/>
      <c r="C27" s="54"/>
      <c r="F27" s="20"/>
      <c r="G27" s="20"/>
      <c r="H27" s="20"/>
    </row>
    <row r="28" spans="1:8">
      <c r="F28" s="20"/>
      <c r="G28" s="20"/>
      <c r="H28" s="20"/>
    </row>
    <row r="29" spans="1:8">
      <c r="F29" s="20"/>
      <c r="G29" s="20"/>
      <c r="H29" s="20"/>
    </row>
    <row r="30" spans="1:8">
      <c r="F30" s="206"/>
    </row>
    <row r="31" spans="1:8">
      <c r="F31" s="206"/>
    </row>
    <row r="32" spans="1:8">
      <c r="F32" s="206"/>
    </row>
    <row r="33" spans="6:6">
      <c r="F33" s="206"/>
    </row>
    <row r="34" spans="6:6">
      <c r="F34" s="206"/>
    </row>
    <row r="35" spans="6:6">
      <c r="F35" s="206"/>
    </row>
    <row r="36" spans="6:6">
      <c r="F36" s="206"/>
    </row>
    <row r="37" spans="6:6">
      <c r="F37" s="206"/>
    </row>
    <row r="38" spans="6:6">
      <c r="F38" s="206"/>
    </row>
    <row r="39" spans="6:6">
      <c r="F39" s="206"/>
    </row>
    <row r="40" spans="6:6">
      <c r="F40" s="206"/>
    </row>
    <row r="41" spans="6:6">
      <c r="F41" s="206"/>
    </row>
    <row r="42" spans="6:6">
      <c r="F42" s="206"/>
    </row>
    <row r="43" spans="6:6">
      <c r="F43" s="206"/>
    </row>
    <row r="44" spans="6:6">
      <c r="F44" s="206"/>
    </row>
  </sheetData>
  <sheetProtection algorithmName="SHA-512" hashValue="pLA1RSKT+ECeHys2u7TV2bAJ0I3xNqjDQgszCRU9cNgAbc7eyjf2BYqXwqzPw4jHpACuWXSDljMUO7S8uD9PWQ==" saltValue="pcuiBGsolUZsHNUHjvZp8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8"/>
  <sheetViews>
    <sheetView zoomScale="85" zoomScaleNormal="85" workbookViewId="0">
      <selection activeCell="I13" sqref="I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186" t="s">
        <v>288</v>
      </c>
      <c r="B1" s="187">
        <v>46184</v>
      </c>
      <c r="C1" s="188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89" t="s">
        <v>233</v>
      </c>
      <c r="B2" s="54">
        <f>'Weekly Valuation'!O209</f>
        <v>21268685643.470001</v>
      </c>
      <c r="C2" s="188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89" t="s">
        <v>262</v>
      </c>
      <c r="B3" s="54">
        <f>'Weekly Valuation'!O247</f>
        <v>30947010318.115276</v>
      </c>
      <c r="C3" s="188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89" t="s">
        <v>291</v>
      </c>
      <c r="B4" s="54">
        <f>'Weekly Valuation'!O237</f>
        <v>143663656305.06003</v>
      </c>
      <c r="C4" s="188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89" t="s">
        <v>203</v>
      </c>
      <c r="B5" s="190">
        <f>'Weekly Valuation'!O203</f>
        <v>157643255647.30002</v>
      </c>
      <c r="C5" s="188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89" t="s">
        <v>17</v>
      </c>
      <c r="B6" s="54">
        <f>'Weekly Valuation'!O26</f>
        <v>256764978197.62451</v>
      </c>
      <c r="C6" s="188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89" t="s">
        <v>289</v>
      </c>
      <c r="B7" s="54">
        <f>'Weekly Valuation'!O117</f>
        <v>236916586622.81195</v>
      </c>
      <c r="C7" s="188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89" t="s">
        <v>290</v>
      </c>
      <c r="B8" s="54">
        <f>'Weekly Valuation'!O170</f>
        <v>509810118982.62</v>
      </c>
      <c r="C8" s="188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89" t="s">
        <v>164</v>
      </c>
      <c r="B9" s="191">
        <f>'Weekly Valuation'!O161</f>
        <v>1830631570207.8184</v>
      </c>
      <c r="C9" s="188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89" t="s">
        <v>53</v>
      </c>
      <c r="B10" s="191">
        <f>'Weekly Valuation'!O76</f>
        <v>5945195246120.4697</v>
      </c>
      <c r="C10" s="188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88"/>
      <c r="B11" s="188"/>
      <c r="C11" s="188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89"/>
      <c r="B12" s="192"/>
      <c r="C12" s="188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189"/>
      <c r="B13" s="188"/>
      <c r="C13" s="188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54"/>
      <c r="B14" s="54"/>
      <c r="C14" s="188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184"/>
      <c r="B15" s="18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47"/>
      <c r="B16" s="18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184"/>
      <c r="B17" s="18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184"/>
      <c r="B18" s="18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48"/>
      <c r="B19" s="18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48"/>
      <c r="B20" s="4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48"/>
      <c r="B21" s="4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47"/>
      <c r="B22" s="48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48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226"/>
      <c r="B33" s="226"/>
      <c r="C33" s="226"/>
      <c r="D33" s="226"/>
      <c r="E33" s="226"/>
      <c r="F33" s="226"/>
      <c r="G33" s="226"/>
      <c r="H33" s="226"/>
      <c r="I33" s="226"/>
      <c r="J33" s="226"/>
      <c r="K33" s="226"/>
      <c r="L33" s="226"/>
      <c r="M33" s="226"/>
      <c r="N33" s="226"/>
      <c r="O33" s="226"/>
      <c r="P33" s="226"/>
      <c r="Q33" s="21"/>
    </row>
    <row r="34" spans="1:17" ht="15" customHeight="1">
      <c r="A34" s="226"/>
      <c r="B34" s="226"/>
      <c r="C34" s="226"/>
      <c r="D34" s="226"/>
      <c r="E34" s="226"/>
      <c r="F34" s="226"/>
      <c r="G34" s="226"/>
      <c r="H34" s="226"/>
      <c r="I34" s="226"/>
      <c r="J34" s="226"/>
      <c r="K34" s="226"/>
      <c r="L34" s="226"/>
      <c r="M34" s="226"/>
      <c r="N34" s="226"/>
      <c r="O34" s="226"/>
      <c r="P34" s="226"/>
      <c r="Q34" s="21"/>
    </row>
    <row r="35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</sheetData>
  <sheetProtection algorithmName="SHA-512" hashValue="AVxWRq8PK5KU+XgVBUxTUcjqjxxmpFLc1pP7cO17hHxcdAtQvTQqho97dNdjPSComO3PMCx1/W8YbEJuR30jrw==" saltValue="FGFv5qg9K3vVpkrxhM5DiQ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E9" sqref="E9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15"/>
      <c r="L1" s="15"/>
      <c r="M1" s="15"/>
      <c r="N1" s="15"/>
      <c r="O1" s="46"/>
    </row>
    <row r="2" spans="1:15">
      <c r="A2" s="207" t="s">
        <v>292</v>
      </c>
      <c r="B2" s="208">
        <v>46136</v>
      </c>
      <c r="C2" s="208">
        <v>46142</v>
      </c>
      <c r="D2" s="208">
        <v>46150</v>
      </c>
      <c r="E2" s="208">
        <v>46157</v>
      </c>
      <c r="F2" s="208">
        <v>46164</v>
      </c>
      <c r="G2" s="208">
        <v>46171</v>
      </c>
      <c r="H2" s="208">
        <v>46178</v>
      </c>
      <c r="I2" s="208">
        <v>46184</v>
      </c>
      <c r="J2" s="20"/>
      <c r="K2" s="15"/>
      <c r="L2" s="15"/>
      <c r="M2" s="15"/>
      <c r="N2" s="15"/>
      <c r="O2" s="46"/>
    </row>
    <row r="3" spans="1:15">
      <c r="A3" s="207" t="s">
        <v>293</v>
      </c>
      <c r="B3" s="209">
        <f t="shared" ref="B3:I3" si="0">B4</f>
        <v>8768.912163579158</v>
      </c>
      <c r="C3" s="209">
        <f t="shared" si="0"/>
        <v>8856.6861092070776</v>
      </c>
      <c r="D3" s="209">
        <f t="shared" si="0"/>
        <v>8864.3846705940268</v>
      </c>
      <c r="E3" s="209">
        <f t="shared" si="0"/>
        <v>8907.3133261368821</v>
      </c>
      <c r="F3" s="209">
        <f t="shared" si="0"/>
        <v>8965.7623097914948</v>
      </c>
      <c r="G3" s="209">
        <f t="shared" si="0"/>
        <v>9018.1202536705168</v>
      </c>
      <c r="H3" s="209">
        <f t="shared" si="0"/>
        <v>9097.6687056337014</v>
      </c>
      <c r="I3" s="209">
        <f t="shared" si="0"/>
        <v>9132.8411080452915</v>
      </c>
      <c r="J3" s="20"/>
      <c r="K3" s="15"/>
      <c r="L3" s="15"/>
      <c r="M3" s="15"/>
      <c r="N3" s="15"/>
      <c r="O3" s="46"/>
    </row>
    <row r="4" spans="1:15">
      <c r="A4" s="20"/>
      <c r="B4" s="210">
        <f>'NAV Trend'!C11/1000000000</f>
        <v>8768.912163579158</v>
      </c>
      <c r="C4" s="210">
        <f>'NAV Trend'!D11/1000000000</f>
        <v>8856.6861092070776</v>
      </c>
      <c r="D4" s="210">
        <f>'NAV Trend'!E11/1000000000</f>
        <v>8864.3846705940268</v>
      </c>
      <c r="E4" s="210">
        <f>'NAV Trend'!F11/1000000000</f>
        <v>8907.3133261368821</v>
      </c>
      <c r="F4" s="210">
        <f>'NAV Trend'!G11/1000000000</f>
        <v>8965.7623097914948</v>
      </c>
      <c r="G4" s="210">
        <f>'NAV Trend'!H11/1000000000</f>
        <v>9018.1202536705168</v>
      </c>
      <c r="H4" s="211">
        <f>'NAV Trend'!I11/1000000000</f>
        <v>9097.6687056337014</v>
      </c>
      <c r="I4" s="211">
        <f>'NAV Trend'!J11/1000000000</f>
        <v>9132.8411080452915</v>
      </c>
      <c r="J4" s="20"/>
      <c r="K4" s="15"/>
      <c r="L4" s="15"/>
      <c r="M4" s="15"/>
      <c r="N4" s="15"/>
      <c r="O4" s="46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15"/>
      <c r="L5" s="15"/>
      <c r="M5" s="15"/>
      <c r="N5" s="15"/>
      <c r="O5" s="46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15"/>
      <c r="L6" s="15"/>
      <c r="M6" s="15"/>
      <c r="N6" s="15"/>
      <c r="O6" s="46"/>
    </row>
    <row r="7" spans="1:1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46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46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46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46"/>
      <c r="O10" s="46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46"/>
      <c r="O11" s="46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46"/>
      <c r="O12" s="46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46"/>
      <c r="O13" s="46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46"/>
      <c r="O14" s="46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46"/>
      <c r="O15" s="46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46"/>
      <c r="N16" s="46"/>
      <c r="O16" s="46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46"/>
      <c r="N17" s="46"/>
      <c r="O17" s="46"/>
    </row>
    <row r="18" spans="1:15"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pans="1:15"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1:15"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</sheetData>
  <sheetProtection algorithmName="SHA-512" hashValue="sUwLvNe+TPSWR6164y3FP3dUD9yVTWzGk7fDl06n394piH2k9Vo8E3LWH/cLFDxBcE8fbbKpxE+bOz0tv4YsDw==" saltValue="xECjb2BmmkvbHMSzvudwf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D9" sqref="D9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15"/>
      <c r="O1" s="20"/>
      <c r="P1" s="44"/>
    </row>
    <row r="2" spans="1:16">
      <c r="A2" s="207" t="s">
        <v>292</v>
      </c>
      <c r="B2" s="208">
        <v>46136</v>
      </c>
      <c r="C2" s="208">
        <v>46142</v>
      </c>
      <c r="D2" s="208">
        <v>46150</v>
      </c>
      <c r="E2" s="208">
        <v>46157</v>
      </c>
      <c r="F2" s="208">
        <v>46164</v>
      </c>
      <c r="G2" s="208">
        <v>46171</v>
      </c>
      <c r="H2" s="208">
        <v>46178</v>
      </c>
      <c r="I2" s="208">
        <v>46184</v>
      </c>
      <c r="J2" s="20"/>
      <c r="K2" s="20"/>
      <c r="L2" s="15"/>
      <c r="M2" s="15"/>
      <c r="N2" s="15"/>
      <c r="O2" s="20"/>
      <c r="P2" s="44"/>
    </row>
    <row r="3" spans="1:16">
      <c r="A3" s="207" t="s">
        <v>294</v>
      </c>
      <c r="B3" s="209">
        <f t="shared" ref="B3:I3" si="0">B4</f>
        <v>28.90522929934</v>
      </c>
      <c r="C3" s="209">
        <f t="shared" si="0"/>
        <v>30.630921333499995</v>
      </c>
      <c r="D3" s="209">
        <f t="shared" si="0"/>
        <v>30.807819494499999</v>
      </c>
      <c r="E3" s="209">
        <f t="shared" si="0"/>
        <v>31.798755539750001</v>
      </c>
      <c r="F3" s="209">
        <f t="shared" si="0"/>
        <v>31.648596766119997</v>
      </c>
      <c r="G3" s="209">
        <f t="shared" si="0"/>
        <v>31.957060014499998</v>
      </c>
      <c r="H3" s="209">
        <f t="shared" si="0"/>
        <v>31.023458333940003</v>
      </c>
      <c r="I3" s="209">
        <f t="shared" si="0"/>
        <v>31.276624002919995</v>
      </c>
      <c r="J3" s="20"/>
      <c r="K3" s="20"/>
      <c r="L3" s="15"/>
      <c r="M3" s="15"/>
      <c r="N3" s="15"/>
      <c r="O3" s="20"/>
      <c r="P3" s="44"/>
    </row>
    <row r="4" spans="1:16">
      <c r="A4" s="20"/>
      <c r="B4" s="210">
        <f>'NAV Trend'!C17/1000000000</f>
        <v>28.90522929934</v>
      </c>
      <c r="C4" s="210">
        <f>'NAV Trend'!D17/1000000000</f>
        <v>30.630921333499995</v>
      </c>
      <c r="D4" s="210">
        <f>'NAV Trend'!E17/1000000000</f>
        <v>30.807819494499999</v>
      </c>
      <c r="E4" s="210">
        <f>'NAV Trend'!F17/1000000000</f>
        <v>31.798755539750001</v>
      </c>
      <c r="F4" s="210">
        <f>'NAV Trend'!G17/1000000000</f>
        <v>31.648596766119997</v>
      </c>
      <c r="G4" s="210">
        <f>'NAV Trend'!H17/1000000000</f>
        <v>31.957060014499998</v>
      </c>
      <c r="H4" s="210">
        <f>'NAV Trend'!I17/1000000000</f>
        <v>31.023458333940003</v>
      </c>
      <c r="I4" s="211">
        <f>'NAV Trend'!J17/1000000000</f>
        <v>31.276624002919995</v>
      </c>
      <c r="J4" s="20"/>
      <c r="K4" s="20"/>
      <c r="L4" s="15"/>
      <c r="M4" s="15"/>
      <c r="N4" s="15"/>
      <c r="O4" s="20"/>
      <c r="P4" s="44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  <c r="N5" s="15"/>
      <c r="O5" s="20"/>
      <c r="P5" s="44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  <c r="N6" s="15"/>
      <c r="O6" s="20"/>
    </row>
    <row r="7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15"/>
      <c r="M7" s="15"/>
      <c r="N7" s="15"/>
      <c r="O7" s="20"/>
    </row>
    <row r="8" spans="1:1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15"/>
      <c r="M8" s="15"/>
      <c r="N8" s="15"/>
      <c r="O8" s="20"/>
    </row>
    <row r="9" spans="1:1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15"/>
      <c r="M9" s="15"/>
      <c r="N9" s="15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43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43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43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43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43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43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43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43"/>
    </row>
    <row r="18" spans="1:1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</row>
    <row r="20" spans="1:1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</row>
  </sheetData>
  <sheetProtection algorithmName="SHA-512" hashValue="+1VoiclhbxTLdTVrSAP9oY0psnJAaDlqe8VicaE7Euv49j3//wC8YkR49SeiNqAc0qv9TxG0QNUYTUx/IL54LA==" saltValue="z5wsjH34WSMbVmm3J9pBI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I1" zoomScale="150" zoomScaleNormal="150" workbookViewId="0">
      <selection activeCell="J7" sqref="J7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288</v>
      </c>
      <c r="B1" s="2">
        <v>46129</v>
      </c>
      <c r="C1" s="2">
        <v>46136</v>
      </c>
      <c r="D1" s="2">
        <v>46142</v>
      </c>
      <c r="E1" s="2">
        <v>46150</v>
      </c>
      <c r="F1" s="2">
        <v>46157</v>
      </c>
      <c r="G1" s="2">
        <v>46164</v>
      </c>
      <c r="H1" s="2">
        <v>46171</v>
      </c>
      <c r="I1" s="2">
        <v>46178</v>
      </c>
      <c r="J1" s="2">
        <v>46184</v>
      </c>
    </row>
    <row r="2" spans="1:11">
      <c r="A2" s="3" t="s">
        <v>17</v>
      </c>
      <c r="B2" s="4">
        <v>198102253974.0199</v>
      </c>
      <c r="C2" s="4">
        <v>216340303668.50018</v>
      </c>
      <c r="D2" s="4">
        <v>234656506558.00677</v>
      </c>
      <c r="E2" s="4">
        <v>246413093222.44684</v>
      </c>
      <c r="F2" s="4">
        <v>261274211009.01639</v>
      </c>
      <c r="G2" s="4">
        <v>264351575123.16064</v>
      </c>
      <c r="H2" s="4">
        <v>266819826208.66391</v>
      </c>
      <c r="I2" s="4">
        <v>261164527998.5798</v>
      </c>
      <c r="J2" s="4">
        <v>256764978197.62451</v>
      </c>
    </row>
    <row r="3" spans="1:11">
      <c r="A3" s="3" t="s">
        <v>53</v>
      </c>
      <c r="B3" s="4">
        <v>5663646349610.5918</v>
      </c>
      <c r="C3" s="4">
        <v>5684681458968.9551</v>
      </c>
      <c r="D3" s="4">
        <v>5710644091386.6309</v>
      </c>
      <c r="E3" s="4">
        <v>5722001461776.2686</v>
      </c>
      <c r="F3" s="4">
        <v>5750770301084.7988</v>
      </c>
      <c r="G3" s="4">
        <v>5784270199757.0078</v>
      </c>
      <c r="H3" s="4">
        <v>5839627786905.6484</v>
      </c>
      <c r="I3" s="4">
        <v>5902329950916.0596</v>
      </c>
      <c r="J3" s="4">
        <v>5945195246120.4697</v>
      </c>
    </row>
    <row r="4" spans="1:11">
      <c r="A4" s="3" t="s">
        <v>289</v>
      </c>
      <c r="B4" s="5">
        <v>237154042743.45844</v>
      </c>
      <c r="C4" s="5">
        <v>235706472228.2908</v>
      </c>
      <c r="D4" s="5">
        <v>235773291330.45038</v>
      </c>
      <c r="E4" s="5">
        <v>234903600186.06744</v>
      </c>
      <c r="F4" s="5">
        <v>233963293234.06</v>
      </c>
      <c r="G4" s="5">
        <v>233712243996.24088</v>
      </c>
      <c r="H4" s="5">
        <v>234954745853.45001</v>
      </c>
      <c r="I4" s="5">
        <v>236159500980.94</v>
      </c>
      <c r="J4" s="5">
        <v>236916586622.81195</v>
      </c>
    </row>
    <row r="5" spans="1:11">
      <c r="A5" s="3" t="s">
        <v>164</v>
      </c>
      <c r="B5" s="4">
        <v>1809968636474.0674</v>
      </c>
      <c r="C5" s="4">
        <v>1845513937800.6819</v>
      </c>
      <c r="D5" s="4">
        <v>1871002753487.2156</v>
      </c>
      <c r="E5" s="4">
        <v>1849855930085.6921</v>
      </c>
      <c r="F5" s="4">
        <v>1834914569508.6284</v>
      </c>
      <c r="G5" s="4">
        <v>1850349851807.7859</v>
      </c>
      <c r="H5" s="4">
        <v>1839533501218.4192</v>
      </c>
      <c r="I5" s="4">
        <v>1829416071688.4446</v>
      </c>
      <c r="J5" s="4">
        <v>1830631570207.8184</v>
      </c>
    </row>
    <row r="6" spans="1:11">
      <c r="A6" s="3" t="s">
        <v>290</v>
      </c>
      <c r="B6" s="5">
        <v>505060613754.44171</v>
      </c>
      <c r="C6" s="5">
        <v>505637897315.83008</v>
      </c>
      <c r="D6" s="5">
        <v>506711673309.49524</v>
      </c>
      <c r="E6" s="5">
        <v>507433414809.49524</v>
      </c>
      <c r="F6" s="5">
        <v>507839066699.88861</v>
      </c>
      <c r="G6" s="5">
        <v>508288025309.51001</v>
      </c>
      <c r="H6" s="5">
        <v>508142816542.39001</v>
      </c>
      <c r="I6" s="5">
        <v>509449760962.75995</v>
      </c>
      <c r="J6" s="5">
        <v>509810118982.62</v>
      </c>
    </row>
    <row r="7" spans="1:11">
      <c r="A7" s="3" t="s">
        <v>203</v>
      </c>
      <c r="B7" s="7">
        <v>130923641116.56393</v>
      </c>
      <c r="C7" s="7">
        <v>137046282636.08223</v>
      </c>
      <c r="D7" s="7">
        <v>144449783996.67877</v>
      </c>
      <c r="E7" s="7">
        <v>147596619374.13925</v>
      </c>
      <c r="F7" s="7">
        <v>153248181990.54001</v>
      </c>
      <c r="G7" s="7">
        <v>157193396976.43375</v>
      </c>
      <c r="H7" s="7">
        <v>158918035170.78</v>
      </c>
      <c r="I7" s="7">
        <v>157794604666.74005</v>
      </c>
      <c r="J7" s="7">
        <v>157643255647.30002</v>
      </c>
    </row>
    <row r="8" spans="1:11">
      <c r="A8" s="3" t="s">
        <v>233</v>
      </c>
      <c r="B8" s="6">
        <v>16713684212.59</v>
      </c>
      <c r="C8" s="6">
        <v>18040731810.32</v>
      </c>
      <c r="D8" s="6">
        <v>19513541737.860001</v>
      </c>
      <c r="E8" s="6">
        <v>19560945940.800003</v>
      </c>
      <c r="F8" s="6">
        <v>21319511673.420002</v>
      </c>
      <c r="G8" s="6">
        <v>21546894877.009998</v>
      </c>
      <c r="H8" s="6">
        <v>21792643850.099998</v>
      </c>
      <c r="I8" s="6">
        <v>21280346410.980003</v>
      </c>
      <c r="J8" s="6">
        <v>21268685643.470001</v>
      </c>
    </row>
    <row r="9" spans="1:11">
      <c r="A9" s="3" t="s">
        <v>291</v>
      </c>
      <c r="B9" s="6">
        <v>120565305238.60492</v>
      </c>
      <c r="C9" s="6">
        <v>125945079150.49832</v>
      </c>
      <c r="D9" s="6">
        <v>133934467400.73964</v>
      </c>
      <c r="E9" s="6">
        <v>136619605199.11766</v>
      </c>
      <c r="F9" s="6">
        <v>143984190936.53003</v>
      </c>
      <c r="G9" s="6">
        <v>146050121944.34546</v>
      </c>
      <c r="H9" s="6">
        <v>148330897921.06546</v>
      </c>
      <c r="I9" s="6">
        <v>148222989678.10001</v>
      </c>
      <c r="J9" s="6">
        <v>143663656305.06003</v>
      </c>
    </row>
    <row r="10" spans="1:11">
      <c r="A10" s="3" t="s">
        <v>262</v>
      </c>
      <c r="B10" s="6">
        <v>31487849239.809494</v>
      </c>
      <c r="C10" s="6">
        <v>31632969925.556732</v>
      </c>
      <c r="D10" s="6">
        <v>31899721332.017464</v>
      </c>
      <c r="E10" s="6">
        <v>32017546923.681477</v>
      </c>
      <c r="F10" s="6">
        <v>31347647935.149067</v>
      </c>
      <c r="G10" s="6">
        <v>31785576256.807602</v>
      </c>
      <c r="H10" s="6">
        <v>31841806178.550476</v>
      </c>
      <c r="I10" s="6">
        <v>31850952331.097569</v>
      </c>
      <c r="J10" s="6">
        <v>30947010318.115276</v>
      </c>
    </row>
    <row r="11" spans="1:11" ht="15.6">
      <c r="A11" s="8" t="s">
        <v>295</v>
      </c>
      <c r="B11" s="9">
        <f t="shared" ref="B11:H11" si="0">SUM(B2:B9)</f>
        <v>8682134527124.3359</v>
      </c>
      <c r="C11" s="9">
        <f t="shared" si="0"/>
        <v>8768912163579.1582</v>
      </c>
      <c r="D11" s="9">
        <f t="shared" si="0"/>
        <v>8856686109207.0781</v>
      </c>
      <c r="E11" s="9">
        <f t="shared" si="0"/>
        <v>8864384670594.0273</v>
      </c>
      <c r="F11" s="9">
        <f t="shared" si="0"/>
        <v>8907313326136.8828</v>
      </c>
      <c r="G11" s="9">
        <f t="shared" si="0"/>
        <v>8965762309791.4941</v>
      </c>
      <c r="H11" s="9">
        <f t="shared" si="0"/>
        <v>9018120253670.5176</v>
      </c>
      <c r="I11" s="9">
        <f>SUM(I2:I10)</f>
        <v>9097668705633.7012</v>
      </c>
      <c r="J11" s="9">
        <f>SUM(J2:J10)</f>
        <v>9132841108045.291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296</v>
      </c>
      <c r="B13" s="42" t="s">
        <v>297</v>
      </c>
      <c r="C13" s="13">
        <f>(B11+C11)/2</f>
        <v>8725523345351.7471</v>
      </c>
      <c r="D13" s="14">
        <f t="shared" ref="D13:J13" si="1">(C11+D11)/2</f>
        <v>8812799136393.1172</v>
      </c>
      <c r="E13" s="14">
        <f t="shared" si="1"/>
        <v>8860535389900.5527</v>
      </c>
      <c r="F13" s="14">
        <f t="shared" si="1"/>
        <v>8885848998365.4551</v>
      </c>
      <c r="G13" s="14">
        <f t="shared" si="1"/>
        <v>8936537817964.1875</v>
      </c>
      <c r="H13" s="14">
        <f t="shared" si="1"/>
        <v>8991941281731.0059</v>
      </c>
      <c r="I13" s="14">
        <f t="shared" si="1"/>
        <v>9057894479652.1094</v>
      </c>
      <c r="J13" s="14">
        <f t="shared" si="1"/>
        <v>9115254906839.4961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46129</v>
      </c>
      <c r="C16" s="2">
        <v>46136</v>
      </c>
      <c r="D16" s="2">
        <v>46142</v>
      </c>
      <c r="E16" s="2">
        <v>46150</v>
      </c>
      <c r="F16" s="2">
        <v>46157</v>
      </c>
      <c r="G16" s="2">
        <v>46164</v>
      </c>
      <c r="H16" s="2">
        <v>46171</v>
      </c>
      <c r="I16" s="2">
        <v>46178</v>
      </c>
      <c r="J16" s="2">
        <v>46184</v>
      </c>
      <c r="K16" s="15"/>
    </row>
    <row r="17" spans="1:11">
      <c r="A17" s="16" t="s">
        <v>298</v>
      </c>
      <c r="B17" s="17">
        <v>27644948093.23</v>
      </c>
      <c r="C17" s="17">
        <v>28905229299.34</v>
      </c>
      <c r="D17" s="17">
        <v>30630921333.499996</v>
      </c>
      <c r="E17" s="17">
        <v>30807819494.5</v>
      </c>
      <c r="F17" s="17">
        <v>31798755539.75</v>
      </c>
      <c r="G17" s="17">
        <v>31648596766.119999</v>
      </c>
      <c r="H17" s="17">
        <v>31957060014.499996</v>
      </c>
      <c r="I17" s="17">
        <v>31023458333.940002</v>
      </c>
      <c r="J17" s="17">
        <v>31276624002.919994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6"/>
      <c r="K23" s="20"/>
    </row>
  </sheetData>
  <sheetProtection algorithmName="SHA-512" hashValue="IvVXjGxALR8ot2AUY/W2S68eMLDAMI3HN+zMK2WqGee6emLYZHjPttn54W0ux1l6rL2qIt2F0rgraFEGJLrXLA==" saltValue="wDjWBqPw7V+QU6aOzU3ViA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2026-07-06T20:24:09Z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