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saac\Desktop\Monthly Mutual Fund Update 2026\"/>
    </mc:Choice>
  </mc:AlternateContent>
  <bookViews>
    <workbookView xWindow="1536" yWindow="1536" windowWidth="19200" windowHeight="9972"/>
  </bookViews>
  <sheets>
    <sheet name="April" sheetId="7" r:id="rId1"/>
    <sheet name="NAV Comparison" sheetId="2" r:id="rId2"/>
    <sheet name="Market Share" sheetId="3" r:id="rId3"/>
    <sheet name="Unitholders" sheetId="6" r:id="rId4"/>
  </sheets>
  <externalReferences>
    <externalReference r:id="rId5"/>
  </externalReferences>
  <definedNames>
    <definedName name="_Hlk34300669" localSheetId="0">April!$K$69</definedName>
    <definedName name="Component">"Group"</definedName>
    <definedName name="FX_RATE">April!$C$249</definedName>
    <definedName name="pbCountingPages">FALSE</definedName>
  </definedNames>
  <calcPr calcId="162913"/>
</workbook>
</file>

<file path=xl/calcChain.xml><?xml version="1.0" encoding="utf-8"?>
<calcChain xmlns="http://schemas.openxmlformats.org/spreadsheetml/2006/main">
  <c r="L241" i="7" l="1"/>
  <c r="M241" i="7"/>
  <c r="N241" i="7"/>
  <c r="O241" i="7"/>
  <c r="P241" i="7"/>
  <c r="Q241" i="7"/>
  <c r="L242" i="7"/>
  <c r="M242" i="7"/>
  <c r="N242" i="7"/>
  <c r="O242" i="7"/>
  <c r="P242" i="7"/>
  <c r="Q242" i="7"/>
  <c r="L243" i="7"/>
  <c r="M243" i="7"/>
  <c r="N243" i="7"/>
  <c r="O243" i="7"/>
  <c r="P243" i="7"/>
  <c r="Q243" i="7"/>
  <c r="L244" i="7"/>
  <c r="M244" i="7"/>
  <c r="N244" i="7"/>
  <c r="O244" i="7"/>
  <c r="P244" i="7"/>
  <c r="Q244" i="7"/>
  <c r="L245" i="7"/>
  <c r="M245" i="7"/>
  <c r="N245" i="7"/>
  <c r="O245" i="7"/>
  <c r="P245" i="7"/>
  <c r="Q245" i="7"/>
  <c r="J241" i="7"/>
  <c r="J242" i="7"/>
  <c r="J243" i="7"/>
  <c r="J244" i="7"/>
  <c r="J245" i="7"/>
  <c r="L233" i="7"/>
  <c r="M233" i="7"/>
  <c r="N233" i="7"/>
  <c r="O233" i="7"/>
  <c r="P233" i="7"/>
  <c r="Q233" i="7"/>
  <c r="L234" i="7"/>
  <c r="M234" i="7"/>
  <c r="N234" i="7"/>
  <c r="O234" i="7"/>
  <c r="P234" i="7"/>
  <c r="Q234" i="7"/>
  <c r="L235" i="7"/>
  <c r="M235" i="7"/>
  <c r="N235" i="7"/>
  <c r="O235" i="7"/>
  <c r="P235" i="7"/>
  <c r="Q235" i="7"/>
  <c r="J233" i="7"/>
  <c r="J234" i="7"/>
  <c r="J235" i="7"/>
  <c r="L217" i="7"/>
  <c r="M217" i="7"/>
  <c r="N217" i="7"/>
  <c r="O217" i="7"/>
  <c r="P217" i="7"/>
  <c r="Q217" i="7"/>
  <c r="L218" i="7"/>
  <c r="M218" i="7"/>
  <c r="N218" i="7"/>
  <c r="O218" i="7"/>
  <c r="P218" i="7"/>
  <c r="Q218" i="7"/>
  <c r="L219" i="7"/>
  <c r="M219" i="7"/>
  <c r="N219" i="7"/>
  <c r="O219" i="7"/>
  <c r="P219" i="7"/>
  <c r="Q219" i="7"/>
  <c r="L220" i="7"/>
  <c r="M220" i="7"/>
  <c r="N220" i="7"/>
  <c r="O220" i="7"/>
  <c r="P220" i="7"/>
  <c r="Q220" i="7"/>
  <c r="L221" i="7"/>
  <c r="M221" i="7"/>
  <c r="N221" i="7"/>
  <c r="O221" i="7"/>
  <c r="P221" i="7"/>
  <c r="Q221" i="7"/>
  <c r="L222" i="7"/>
  <c r="M222" i="7"/>
  <c r="N222" i="7"/>
  <c r="O222" i="7"/>
  <c r="P222" i="7"/>
  <c r="Q222" i="7"/>
  <c r="L223" i="7"/>
  <c r="M223" i="7"/>
  <c r="N223" i="7"/>
  <c r="O223" i="7"/>
  <c r="P223" i="7"/>
  <c r="Q223" i="7"/>
  <c r="L224" i="7"/>
  <c r="M224" i="7"/>
  <c r="N224" i="7"/>
  <c r="O224" i="7"/>
  <c r="P224" i="7"/>
  <c r="Q224" i="7"/>
  <c r="L225" i="7"/>
  <c r="M225" i="7"/>
  <c r="N225" i="7"/>
  <c r="O225" i="7"/>
  <c r="P225" i="7"/>
  <c r="Q225" i="7"/>
  <c r="L226" i="7"/>
  <c r="M226" i="7"/>
  <c r="N226" i="7"/>
  <c r="O226" i="7"/>
  <c r="P226" i="7"/>
  <c r="Q226" i="7"/>
  <c r="L227" i="7"/>
  <c r="M227" i="7"/>
  <c r="N227" i="7"/>
  <c r="O227" i="7"/>
  <c r="P227" i="7"/>
  <c r="Q227" i="7"/>
  <c r="L228" i="7"/>
  <c r="M228" i="7"/>
  <c r="N228" i="7"/>
  <c r="O228" i="7"/>
  <c r="P228" i="7"/>
  <c r="Q228" i="7"/>
  <c r="L229" i="7"/>
  <c r="M229" i="7"/>
  <c r="N229" i="7"/>
  <c r="O229" i="7"/>
  <c r="P229" i="7"/>
  <c r="Q229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L213" i="7"/>
  <c r="M213" i="7"/>
  <c r="N213" i="7"/>
  <c r="O213" i="7"/>
  <c r="P213" i="7"/>
  <c r="Q213" i="7"/>
  <c r="J213" i="7"/>
  <c r="L206" i="7"/>
  <c r="M206" i="7"/>
  <c r="N206" i="7"/>
  <c r="O206" i="7"/>
  <c r="P206" i="7"/>
  <c r="Q206" i="7"/>
  <c r="L207" i="7"/>
  <c r="M207" i="7"/>
  <c r="N207" i="7"/>
  <c r="O207" i="7"/>
  <c r="P207" i="7"/>
  <c r="Q207" i="7"/>
  <c r="J206" i="7"/>
  <c r="J207" i="7"/>
  <c r="L173" i="7"/>
  <c r="M173" i="7"/>
  <c r="N173" i="7"/>
  <c r="O173" i="7"/>
  <c r="P173" i="7"/>
  <c r="Q173" i="7"/>
  <c r="L174" i="7"/>
  <c r="M174" i="7"/>
  <c r="N174" i="7"/>
  <c r="O174" i="7"/>
  <c r="P174" i="7"/>
  <c r="Q174" i="7"/>
  <c r="L175" i="7"/>
  <c r="M175" i="7"/>
  <c r="N175" i="7"/>
  <c r="O175" i="7"/>
  <c r="P175" i="7"/>
  <c r="Q175" i="7"/>
  <c r="L176" i="7"/>
  <c r="M176" i="7"/>
  <c r="N176" i="7"/>
  <c r="O176" i="7"/>
  <c r="P176" i="7"/>
  <c r="Q176" i="7"/>
  <c r="L177" i="7"/>
  <c r="M177" i="7"/>
  <c r="N177" i="7"/>
  <c r="O177" i="7"/>
  <c r="P177" i="7"/>
  <c r="Q177" i="7"/>
  <c r="L178" i="7"/>
  <c r="M178" i="7"/>
  <c r="N178" i="7"/>
  <c r="O178" i="7"/>
  <c r="P178" i="7"/>
  <c r="Q178" i="7"/>
  <c r="L179" i="7"/>
  <c r="M179" i="7"/>
  <c r="N179" i="7"/>
  <c r="O179" i="7"/>
  <c r="P179" i="7"/>
  <c r="Q179" i="7"/>
  <c r="L180" i="7"/>
  <c r="M180" i="7"/>
  <c r="N180" i="7"/>
  <c r="O180" i="7"/>
  <c r="P180" i="7"/>
  <c r="Q180" i="7"/>
  <c r="L181" i="7"/>
  <c r="M181" i="7"/>
  <c r="N181" i="7"/>
  <c r="O181" i="7"/>
  <c r="P181" i="7"/>
  <c r="Q181" i="7"/>
  <c r="L182" i="7"/>
  <c r="M182" i="7"/>
  <c r="N182" i="7"/>
  <c r="O182" i="7"/>
  <c r="P182" i="7"/>
  <c r="Q182" i="7"/>
  <c r="L183" i="7"/>
  <c r="M183" i="7"/>
  <c r="N183" i="7"/>
  <c r="O183" i="7"/>
  <c r="P183" i="7"/>
  <c r="Q183" i="7"/>
  <c r="L184" i="7"/>
  <c r="M184" i="7"/>
  <c r="N184" i="7"/>
  <c r="O184" i="7"/>
  <c r="P184" i="7"/>
  <c r="Q184" i="7"/>
  <c r="L185" i="7"/>
  <c r="M185" i="7"/>
  <c r="N185" i="7"/>
  <c r="O185" i="7"/>
  <c r="P185" i="7"/>
  <c r="Q185" i="7"/>
  <c r="L186" i="7"/>
  <c r="M186" i="7"/>
  <c r="N186" i="7"/>
  <c r="O186" i="7"/>
  <c r="P186" i="7"/>
  <c r="Q186" i="7"/>
  <c r="L187" i="7"/>
  <c r="M187" i="7"/>
  <c r="N187" i="7"/>
  <c r="O187" i="7"/>
  <c r="P187" i="7"/>
  <c r="Q187" i="7"/>
  <c r="L188" i="7"/>
  <c r="M188" i="7"/>
  <c r="N188" i="7"/>
  <c r="O188" i="7"/>
  <c r="P188" i="7"/>
  <c r="Q188" i="7"/>
  <c r="L189" i="7"/>
  <c r="M189" i="7"/>
  <c r="N189" i="7"/>
  <c r="O189" i="7"/>
  <c r="P189" i="7"/>
  <c r="Q189" i="7"/>
  <c r="L190" i="7"/>
  <c r="M190" i="7"/>
  <c r="N190" i="7"/>
  <c r="P190" i="7"/>
  <c r="L191" i="7"/>
  <c r="M191" i="7"/>
  <c r="N191" i="7"/>
  <c r="O191" i="7"/>
  <c r="P191" i="7"/>
  <c r="Q191" i="7"/>
  <c r="L192" i="7"/>
  <c r="M192" i="7"/>
  <c r="N192" i="7"/>
  <c r="O192" i="7"/>
  <c r="P192" i="7"/>
  <c r="Q192" i="7"/>
  <c r="L193" i="7"/>
  <c r="M193" i="7"/>
  <c r="N193" i="7"/>
  <c r="O193" i="7"/>
  <c r="P193" i="7"/>
  <c r="Q193" i="7"/>
  <c r="L194" i="7"/>
  <c r="M194" i="7"/>
  <c r="N194" i="7"/>
  <c r="O194" i="7"/>
  <c r="P194" i="7"/>
  <c r="Q194" i="7"/>
  <c r="L195" i="7"/>
  <c r="M195" i="7"/>
  <c r="N195" i="7"/>
  <c r="O195" i="7"/>
  <c r="P195" i="7"/>
  <c r="Q195" i="7"/>
  <c r="L196" i="7"/>
  <c r="M196" i="7"/>
  <c r="N196" i="7"/>
  <c r="O196" i="7"/>
  <c r="P196" i="7"/>
  <c r="Q196" i="7"/>
  <c r="L197" i="7"/>
  <c r="M197" i="7"/>
  <c r="N197" i="7"/>
  <c r="O197" i="7"/>
  <c r="P197" i="7"/>
  <c r="Q197" i="7"/>
  <c r="L198" i="7"/>
  <c r="M198" i="7"/>
  <c r="N198" i="7"/>
  <c r="O198" i="7"/>
  <c r="P198" i="7"/>
  <c r="Q198" i="7"/>
  <c r="L199" i="7"/>
  <c r="M199" i="7"/>
  <c r="N199" i="7"/>
  <c r="O199" i="7"/>
  <c r="P199" i="7"/>
  <c r="Q199" i="7"/>
  <c r="L200" i="7"/>
  <c r="M200" i="7"/>
  <c r="N200" i="7"/>
  <c r="O200" i="7"/>
  <c r="P200" i="7"/>
  <c r="Q200" i="7"/>
  <c r="L201" i="7"/>
  <c r="M201" i="7"/>
  <c r="N201" i="7"/>
  <c r="O201" i="7"/>
  <c r="P201" i="7"/>
  <c r="Q201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L164" i="7"/>
  <c r="M164" i="7"/>
  <c r="N164" i="7"/>
  <c r="O164" i="7"/>
  <c r="P164" i="7"/>
  <c r="Q164" i="7"/>
  <c r="L165" i="7"/>
  <c r="M165" i="7"/>
  <c r="N165" i="7"/>
  <c r="O165" i="7"/>
  <c r="P165" i="7"/>
  <c r="Q165" i="7"/>
  <c r="L166" i="7"/>
  <c r="M166" i="7"/>
  <c r="N166" i="7"/>
  <c r="O166" i="7"/>
  <c r="P166" i="7"/>
  <c r="Q166" i="7"/>
  <c r="L167" i="7"/>
  <c r="M167" i="7"/>
  <c r="N167" i="7"/>
  <c r="O167" i="7"/>
  <c r="P167" i="7"/>
  <c r="Q167" i="7"/>
  <c r="L168" i="7"/>
  <c r="M168" i="7"/>
  <c r="N168" i="7"/>
  <c r="O168" i="7"/>
  <c r="P168" i="7"/>
  <c r="Q168" i="7"/>
  <c r="J164" i="7"/>
  <c r="J165" i="7"/>
  <c r="J166" i="7"/>
  <c r="J167" i="7"/>
  <c r="J168" i="7"/>
  <c r="L141" i="7"/>
  <c r="M141" i="7"/>
  <c r="N141" i="7"/>
  <c r="O141" i="7"/>
  <c r="P141" i="7"/>
  <c r="Q141" i="7"/>
  <c r="L142" i="7"/>
  <c r="M142" i="7"/>
  <c r="N142" i="7"/>
  <c r="O142" i="7"/>
  <c r="P142" i="7"/>
  <c r="Q142" i="7"/>
  <c r="L143" i="7"/>
  <c r="M143" i="7"/>
  <c r="N143" i="7"/>
  <c r="O143" i="7"/>
  <c r="P143" i="7"/>
  <c r="Q143" i="7"/>
  <c r="L144" i="7"/>
  <c r="M144" i="7"/>
  <c r="N144" i="7"/>
  <c r="O144" i="7"/>
  <c r="P144" i="7"/>
  <c r="Q144" i="7"/>
  <c r="L145" i="7"/>
  <c r="M145" i="7"/>
  <c r="N145" i="7"/>
  <c r="O145" i="7"/>
  <c r="P145" i="7"/>
  <c r="Q145" i="7"/>
  <c r="L146" i="7"/>
  <c r="M146" i="7"/>
  <c r="N146" i="7"/>
  <c r="O146" i="7"/>
  <c r="P146" i="7"/>
  <c r="Q146" i="7"/>
  <c r="L147" i="7"/>
  <c r="M147" i="7"/>
  <c r="N147" i="7"/>
  <c r="O147" i="7"/>
  <c r="P147" i="7"/>
  <c r="Q147" i="7"/>
  <c r="L148" i="7"/>
  <c r="M148" i="7"/>
  <c r="N148" i="7"/>
  <c r="O148" i="7"/>
  <c r="P148" i="7"/>
  <c r="Q148" i="7"/>
  <c r="L149" i="7"/>
  <c r="M149" i="7"/>
  <c r="N149" i="7"/>
  <c r="O149" i="7"/>
  <c r="P149" i="7"/>
  <c r="Q149" i="7"/>
  <c r="L150" i="7"/>
  <c r="M150" i="7"/>
  <c r="N150" i="7"/>
  <c r="O150" i="7"/>
  <c r="P150" i="7"/>
  <c r="Q150" i="7"/>
  <c r="L151" i="7"/>
  <c r="M151" i="7"/>
  <c r="N151" i="7"/>
  <c r="O151" i="7"/>
  <c r="P151" i="7"/>
  <c r="Q151" i="7"/>
  <c r="L152" i="7"/>
  <c r="M152" i="7"/>
  <c r="N152" i="7"/>
  <c r="O152" i="7"/>
  <c r="P152" i="7"/>
  <c r="Q152" i="7"/>
  <c r="L153" i="7"/>
  <c r="M153" i="7"/>
  <c r="N153" i="7"/>
  <c r="O153" i="7"/>
  <c r="P153" i="7"/>
  <c r="Q153" i="7"/>
  <c r="L154" i="7"/>
  <c r="M154" i="7"/>
  <c r="N154" i="7"/>
  <c r="O154" i="7"/>
  <c r="P154" i="7"/>
  <c r="Q154" i="7"/>
  <c r="L155" i="7"/>
  <c r="M155" i="7"/>
  <c r="N155" i="7"/>
  <c r="O155" i="7"/>
  <c r="P155" i="7"/>
  <c r="Q155" i="7"/>
  <c r="L156" i="7"/>
  <c r="M156" i="7"/>
  <c r="N156" i="7"/>
  <c r="O156" i="7"/>
  <c r="P156" i="7"/>
  <c r="Q156" i="7"/>
  <c r="L157" i="7"/>
  <c r="M157" i="7"/>
  <c r="N157" i="7"/>
  <c r="O157" i="7"/>
  <c r="P157" i="7"/>
  <c r="Q157" i="7"/>
  <c r="L158" i="7"/>
  <c r="M158" i="7"/>
  <c r="N158" i="7"/>
  <c r="O158" i="7"/>
  <c r="P158" i="7"/>
  <c r="Q158" i="7"/>
  <c r="L159" i="7"/>
  <c r="M159" i="7"/>
  <c r="N159" i="7"/>
  <c r="O159" i="7"/>
  <c r="P159" i="7"/>
  <c r="Q159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L121" i="7"/>
  <c r="M121" i="7"/>
  <c r="N121" i="7"/>
  <c r="O121" i="7"/>
  <c r="P121" i="7"/>
  <c r="Q121" i="7"/>
  <c r="L122" i="7"/>
  <c r="M122" i="7"/>
  <c r="N122" i="7"/>
  <c r="O122" i="7"/>
  <c r="P122" i="7"/>
  <c r="Q122" i="7"/>
  <c r="L123" i="7"/>
  <c r="M123" i="7"/>
  <c r="N123" i="7"/>
  <c r="O123" i="7"/>
  <c r="P123" i="7"/>
  <c r="Q123" i="7"/>
  <c r="L124" i="7"/>
  <c r="M124" i="7"/>
  <c r="N124" i="7"/>
  <c r="O124" i="7"/>
  <c r="P124" i="7"/>
  <c r="Q124" i="7"/>
  <c r="L125" i="7"/>
  <c r="M125" i="7"/>
  <c r="N125" i="7"/>
  <c r="O125" i="7"/>
  <c r="P125" i="7"/>
  <c r="Q125" i="7"/>
  <c r="L126" i="7"/>
  <c r="M126" i="7"/>
  <c r="N126" i="7"/>
  <c r="O126" i="7"/>
  <c r="P126" i="7"/>
  <c r="Q126" i="7"/>
  <c r="L127" i="7"/>
  <c r="M127" i="7"/>
  <c r="N127" i="7"/>
  <c r="O127" i="7"/>
  <c r="P127" i="7"/>
  <c r="Q127" i="7"/>
  <c r="L128" i="7"/>
  <c r="M128" i="7"/>
  <c r="N128" i="7"/>
  <c r="O128" i="7"/>
  <c r="P128" i="7"/>
  <c r="Q128" i="7"/>
  <c r="L129" i="7"/>
  <c r="M129" i="7"/>
  <c r="N129" i="7"/>
  <c r="O129" i="7"/>
  <c r="P129" i="7"/>
  <c r="Q129" i="7"/>
  <c r="L130" i="7"/>
  <c r="M130" i="7"/>
  <c r="N130" i="7"/>
  <c r="O130" i="7"/>
  <c r="P130" i="7"/>
  <c r="Q130" i="7"/>
  <c r="L131" i="7"/>
  <c r="M131" i="7"/>
  <c r="N131" i="7"/>
  <c r="O131" i="7"/>
  <c r="P131" i="7"/>
  <c r="Q131" i="7"/>
  <c r="L132" i="7"/>
  <c r="M132" i="7"/>
  <c r="N132" i="7"/>
  <c r="O132" i="7"/>
  <c r="P132" i="7"/>
  <c r="Q132" i="7"/>
  <c r="L133" i="7"/>
  <c r="M133" i="7"/>
  <c r="N133" i="7"/>
  <c r="O133" i="7"/>
  <c r="P133" i="7"/>
  <c r="Q133" i="7"/>
  <c r="L134" i="7"/>
  <c r="M134" i="7"/>
  <c r="N134" i="7"/>
  <c r="O134" i="7"/>
  <c r="P134" i="7"/>
  <c r="Q134" i="7"/>
  <c r="L135" i="7"/>
  <c r="M135" i="7"/>
  <c r="N135" i="7"/>
  <c r="O135" i="7"/>
  <c r="P135" i="7"/>
  <c r="Q135" i="7"/>
  <c r="L136" i="7"/>
  <c r="M136" i="7"/>
  <c r="N136" i="7"/>
  <c r="O136" i="7"/>
  <c r="P136" i="7"/>
  <c r="Q136" i="7"/>
  <c r="L137" i="7"/>
  <c r="M137" i="7"/>
  <c r="N137" i="7"/>
  <c r="O137" i="7"/>
  <c r="P137" i="7"/>
  <c r="Q137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L79" i="7"/>
  <c r="M79" i="7"/>
  <c r="N79" i="7"/>
  <c r="O79" i="7"/>
  <c r="P79" i="7"/>
  <c r="Q79" i="7"/>
  <c r="L80" i="7"/>
  <c r="M80" i="7"/>
  <c r="N80" i="7"/>
  <c r="O80" i="7"/>
  <c r="P80" i="7"/>
  <c r="Q80" i="7"/>
  <c r="L81" i="7"/>
  <c r="M81" i="7"/>
  <c r="N81" i="7"/>
  <c r="O81" i="7"/>
  <c r="P81" i="7"/>
  <c r="Q81" i="7"/>
  <c r="L82" i="7"/>
  <c r="M82" i="7"/>
  <c r="N82" i="7"/>
  <c r="O82" i="7"/>
  <c r="P82" i="7"/>
  <c r="Q82" i="7"/>
  <c r="L83" i="7"/>
  <c r="M83" i="7"/>
  <c r="N83" i="7"/>
  <c r="O83" i="7"/>
  <c r="P83" i="7"/>
  <c r="Q83" i="7"/>
  <c r="L84" i="7"/>
  <c r="M84" i="7"/>
  <c r="N84" i="7"/>
  <c r="O84" i="7"/>
  <c r="P84" i="7"/>
  <c r="Q84" i="7"/>
  <c r="L85" i="7"/>
  <c r="M85" i="7"/>
  <c r="N85" i="7"/>
  <c r="O85" i="7"/>
  <c r="P85" i="7"/>
  <c r="Q85" i="7"/>
  <c r="L86" i="7"/>
  <c r="M86" i="7"/>
  <c r="N86" i="7"/>
  <c r="O86" i="7"/>
  <c r="P86" i="7"/>
  <c r="Q86" i="7"/>
  <c r="L87" i="7"/>
  <c r="M87" i="7"/>
  <c r="N87" i="7"/>
  <c r="O87" i="7"/>
  <c r="P87" i="7"/>
  <c r="Q87" i="7"/>
  <c r="L88" i="7"/>
  <c r="M88" i="7"/>
  <c r="N88" i="7"/>
  <c r="O88" i="7"/>
  <c r="P88" i="7"/>
  <c r="Q88" i="7"/>
  <c r="L89" i="7"/>
  <c r="M89" i="7"/>
  <c r="N89" i="7"/>
  <c r="O89" i="7"/>
  <c r="P89" i="7"/>
  <c r="Q89" i="7"/>
  <c r="L90" i="7"/>
  <c r="M90" i="7"/>
  <c r="N90" i="7"/>
  <c r="O90" i="7"/>
  <c r="P90" i="7"/>
  <c r="Q90" i="7"/>
  <c r="L91" i="7"/>
  <c r="M91" i="7"/>
  <c r="N91" i="7"/>
  <c r="O91" i="7"/>
  <c r="P91" i="7"/>
  <c r="Q91" i="7"/>
  <c r="L92" i="7"/>
  <c r="M92" i="7"/>
  <c r="N92" i="7"/>
  <c r="O92" i="7"/>
  <c r="P92" i="7"/>
  <c r="Q92" i="7"/>
  <c r="L93" i="7"/>
  <c r="M93" i="7"/>
  <c r="N93" i="7"/>
  <c r="O93" i="7"/>
  <c r="P93" i="7"/>
  <c r="Q93" i="7"/>
  <c r="L94" i="7"/>
  <c r="M94" i="7"/>
  <c r="N94" i="7"/>
  <c r="O94" i="7"/>
  <c r="P94" i="7"/>
  <c r="Q94" i="7"/>
  <c r="L95" i="7"/>
  <c r="M95" i="7"/>
  <c r="N95" i="7"/>
  <c r="O95" i="7"/>
  <c r="P95" i="7"/>
  <c r="Q95" i="7"/>
  <c r="L96" i="7"/>
  <c r="M96" i="7"/>
  <c r="N96" i="7"/>
  <c r="O96" i="7"/>
  <c r="P96" i="7"/>
  <c r="Q96" i="7"/>
  <c r="L97" i="7"/>
  <c r="M97" i="7"/>
  <c r="N97" i="7"/>
  <c r="O97" i="7"/>
  <c r="P97" i="7"/>
  <c r="Q97" i="7"/>
  <c r="L98" i="7"/>
  <c r="M98" i="7"/>
  <c r="N98" i="7"/>
  <c r="O98" i="7"/>
  <c r="P98" i="7"/>
  <c r="Q98" i="7"/>
  <c r="L99" i="7"/>
  <c r="M99" i="7"/>
  <c r="N99" i="7"/>
  <c r="O99" i="7"/>
  <c r="P99" i="7"/>
  <c r="Q99" i="7"/>
  <c r="L100" i="7"/>
  <c r="M100" i="7"/>
  <c r="N100" i="7"/>
  <c r="O100" i="7"/>
  <c r="P100" i="7"/>
  <c r="Q100" i="7"/>
  <c r="L101" i="7"/>
  <c r="M101" i="7"/>
  <c r="N101" i="7"/>
  <c r="O101" i="7"/>
  <c r="P101" i="7"/>
  <c r="Q101" i="7"/>
  <c r="L102" i="7"/>
  <c r="M102" i="7"/>
  <c r="N102" i="7"/>
  <c r="O102" i="7"/>
  <c r="P102" i="7"/>
  <c r="Q102" i="7"/>
  <c r="L103" i="7"/>
  <c r="M103" i="7"/>
  <c r="N103" i="7"/>
  <c r="O103" i="7"/>
  <c r="P103" i="7"/>
  <c r="Q103" i="7"/>
  <c r="L104" i="7"/>
  <c r="M104" i="7"/>
  <c r="N104" i="7"/>
  <c r="O104" i="7"/>
  <c r="P104" i="7"/>
  <c r="Q104" i="7"/>
  <c r="L105" i="7"/>
  <c r="M105" i="7"/>
  <c r="N105" i="7"/>
  <c r="O105" i="7"/>
  <c r="P105" i="7"/>
  <c r="Q105" i="7"/>
  <c r="L106" i="7"/>
  <c r="M106" i="7"/>
  <c r="N106" i="7"/>
  <c r="O106" i="7"/>
  <c r="P106" i="7"/>
  <c r="Q106" i="7"/>
  <c r="L107" i="7"/>
  <c r="M107" i="7"/>
  <c r="N107" i="7"/>
  <c r="O107" i="7"/>
  <c r="P107" i="7"/>
  <c r="Q107" i="7"/>
  <c r="L108" i="7"/>
  <c r="M108" i="7"/>
  <c r="N108" i="7"/>
  <c r="O108" i="7"/>
  <c r="P108" i="7"/>
  <c r="Q108" i="7"/>
  <c r="L109" i="7"/>
  <c r="M109" i="7"/>
  <c r="N109" i="7"/>
  <c r="O109" i="7"/>
  <c r="P109" i="7"/>
  <c r="Q109" i="7"/>
  <c r="L110" i="7"/>
  <c r="M110" i="7"/>
  <c r="N110" i="7"/>
  <c r="O110" i="7"/>
  <c r="P110" i="7"/>
  <c r="Q110" i="7"/>
  <c r="L111" i="7"/>
  <c r="M111" i="7"/>
  <c r="N111" i="7"/>
  <c r="O111" i="7"/>
  <c r="P111" i="7"/>
  <c r="Q111" i="7"/>
  <c r="L112" i="7"/>
  <c r="M112" i="7"/>
  <c r="N112" i="7"/>
  <c r="O112" i="7"/>
  <c r="P112" i="7"/>
  <c r="Q112" i="7"/>
  <c r="L113" i="7"/>
  <c r="M113" i="7"/>
  <c r="N113" i="7"/>
  <c r="O113" i="7"/>
  <c r="P113" i="7"/>
  <c r="Q113" i="7"/>
  <c r="L114" i="7"/>
  <c r="M114" i="7"/>
  <c r="N114" i="7"/>
  <c r="O114" i="7"/>
  <c r="P114" i="7"/>
  <c r="Q114" i="7"/>
  <c r="L115" i="7"/>
  <c r="M115" i="7"/>
  <c r="N115" i="7"/>
  <c r="O115" i="7"/>
  <c r="P115" i="7"/>
  <c r="Q115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M29" i="7"/>
  <c r="N29" i="7"/>
  <c r="O29" i="7"/>
  <c r="P29" i="7"/>
  <c r="Q29" i="7"/>
  <c r="M30" i="7"/>
  <c r="N30" i="7"/>
  <c r="O30" i="7"/>
  <c r="P30" i="7"/>
  <c r="Q30" i="7"/>
  <c r="M31" i="7"/>
  <c r="N31" i="7"/>
  <c r="O31" i="7"/>
  <c r="P31" i="7"/>
  <c r="Q31" i="7"/>
  <c r="M32" i="7"/>
  <c r="N32" i="7"/>
  <c r="O32" i="7"/>
  <c r="P32" i="7"/>
  <c r="Q32" i="7"/>
  <c r="M33" i="7"/>
  <c r="N33" i="7"/>
  <c r="O33" i="7"/>
  <c r="P33" i="7"/>
  <c r="Q33" i="7"/>
  <c r="M34" i="7"/>
  <c r="N34" i="7"/>
  <c r="O34" i="7"/>
  <c r="P34" i="7"/>
  <c r="Q34" i="7"/>
  <c r="M35" i="7"/>
  <c r="N35" i="7"/>
  <c r="O35" i="7"/>
  <c r="P35" i="7"/>
  <c r="Q35" i="7"/>
  <c r="M36" i="7"/>
  <c r="N36" i="7"/>
  <c r="O36" i="7"/>
  <c r="P36" i="7"/>
  <c r="Q36" i="7"/>
  <c r="M37" i="7"/>
  <c r="N37" i="7"/>
  <c r="O37" i="7"/>
  <c r="P37" i="7"/>
  <c r="Q37" i="7"/>
  <c r="M38" i="7"/>
  <c r="N38" i="7"/>
  <c r="O38" i="7"/>
  <c r="P38" i="7"/>
  <c r="Q38" i="7"/>
  <c r="M39" i="7"/>
  <c r="N39" i="7"/>
  <c r="O39" i="7"/>
  <c r="P39" i="7"/>
  <c r="Q39" i="7"/>
  <c r="M40" i="7"/>
  <c r="N40" i="7"/>
  <c r="O40" i="7"/>
  <c r="P40" i="7"/>
  <c r="Q40" i="7"/>
  <c r="M41" i="7"/>
  <c r="N41" i="7"/>
  <c r="O41" i="7"/>
  <c r="P41" i="7"/>
  <c r="Q41" i="7"/>
  <c r="M42" i="7"/>
  <c r="N42" i="7"/>
  <c r="O42" i="7"/>
  <c r="P42" i="7"/>
  <c r="Q42" i="7"/>
  <c r="M43" i="7"/>
  <c r="N43" i="7"/>
  <c r="O43" i="7"/>
  <c r="P43" i="7"/>
  <c r="Q43" i="7"/>
  <c r="M44" i="7"/>
  <c r="N44" i="7"/>
  <c r="O44" i="7"/>
  <c r="P44" i="7"/>
  <c r="Q44" i="7"/>
  <c r="M45" i="7"/>
  <c r="N45" i="7"/>
  <c r="O45" i="7"/>
  <c r="P45" i="7"/>
  <c r="Q45" i="7"/>
  <c r="M46" i="7"/>
  <c r="N46" i="7"/>
  <c r="O46" i="7"/>
  <c r="P46" i="7"/>
  <c r="Q46" i="7"/>
  <c r="M47" i="7"/>
  <c r="N47" i="7"/>
  <c r="O47" i="7"/>
  <c r="P47" i="7"/>
  <c r="Q47" i="7"/>
  <c r="M48" i="7"/>
  <c r="N48" i="7"/>
  <c r="O48" i="7"/>
  <c r="P48" i="7"/>
  <c r="Q48" i="7"/>
  <c r="M49" i="7"/>
  <c r="N49" i="7"/>
  <c r="O49" i="7"/>
  <c r="P49" i="7"/>
  <c r="Q49" i="7"/>
  <c r="M50" i="7"/>
  <c r="N50" i="7"/>
  <c r="O50" i="7"/>
  <c r="P50" i="7"/>
  <c r="Q50" i="7"/>
  <c r="M51" i="7"/>
  <c r="N51" i="7"/>
  <c r="O51" i="7"/>
  <c r="P51" i="7"/>
  <c r="Q51" i="7"/>
  <c r="M52" i="7"/>
  <c r="N52" i="7"/>
  <c r="O52" i="7"/>
  <c r="P52" i="7"/>
  <c r="Q52" i="7"/>
  <c r="M53" i="7"/>
  <c r="N53" i="7"/>
  <c r="O53" i="7"/>
  <c r="P53" i="7"/>
  <c r="Q53" i="7"/>
  <c r="M54" i="7"/>
  <c r="N54" i="7"/>
  <c r="O54" i="7"/>
  <c r="P54" i="7"/>
  <c r="Q54" i="7"/>
  <c r="M55" i="7"/>
  <c r="N55" i="7"/>
  <c r="O55" i="7"/>
  <c r="P55" i="7"/>
  <c r="Q55" i="7"/>
  <c r="M56" i="7"/>
  <c r="N56" i="7"/>
  <c r="O56" i="7"/>
  <c r="P56" i="7"/>
  <c r="Q56" i="7"/>
  <c r="M57" i="7"/>
  <c r="N57" i="7"/>
  <c r="O57" i="7"/>
  <c r="P57" i="7"/>
  <c r="Q57" i="7"/>
  <c r="M58" i="7"/>
  <c r="N58" i="7"/>
  <c r="O58" i="7"/>
  <c r="P58" i="7"/>
  <c r="Q58" i="7"/>
  <c r="M59" i="7"/>
  <c r="N59" i="7"/>
  <c r="O59" i="7"/>
  <c r="P59" i="7"/>
  <c r="Q59" i="7"/>
  <c r="M60" i="7"/>
  <c r="N60" i="7"/>
  <c r="O60" i="7"/>
  <c r="P60" i="7"/>
  <c r="Q60" i="7"/>
  <c r="M61" i="7"/>
  <c r="N61" i="7"/>
  <c r="O61" i="7"/>
  <c r="P61" i="7"/>
  <c r="Q61" i="7"/>
  <c r="M62" i="7"/>
  <c r="N62" i="7"/>
  <c r="O62" i="7"/>
  <c r="P62" i="7"/>
  <c r="Q62" i="7"/>
  <c r="M63" i="7"/>
  <c r="N63" i="7"/>
  <c r="O63" i="7"/>
  <c r="P63" i="7"/>
  <c r="Q63" i="7"/>
  <c r="M64" i="7"/>
  <c r="N64" i="7"/>
  <c r="O64" i="7"/>
  <c r="P64" i="7"/>
  <c r="Q64" i="7"/>
  <c r="M65" i="7"/>
  <c r="N65" i="7"/>
  <c r="O65" i="7"/>
  <c r="P65" i="7"/>
  <c r="Q65" i="7"/>
  <c r="M66" i="7"/>
  <c r="N66" i="7"/>
  <c r="O66" i="7"/>
  <c r="P66" i="7"/>
  <c r="Q66" i="7"/>
  <c r="M67" i="7"/>
  <c r="N67" i="7"/>
  <c r="O67" i="7"/>
  <c r="P67" i="7"/>
  <c r="Q67" i="7"/>
  <c r="M68" i="7"/>
  <c r="N68" i="7"/>
  <c r="O68" i="7"/>
  <c r="P68" i="7"/>
  <c r="Q68" i="7"/>
  <c r="M69" i="7"/>
  <c r="N69" i="7"/>
  <c r="O69" i="7"/>
  <c r="P69" i="7"/>
  <c r="Q69" i="7"/>
  <c r="M70" i="7"/>
  <c r="N70" i="7"/>
  <c r="O70" i="7"/>
  <c r="P70" i="7"/>
  <c r="Q70" i="7"/>
  <c r="M71" i="7"/>
  <c r="N71" i="7"/>
  <c r="O71" i="7"/>
  <c r="P71" i="7"/>
  <c r="Q71" i="7"/>
  <c r="M72" i="7"/>
  <c r="N72" i="7"/>
  <c r="O72" i="7"/>
  <c r="P72" i="7"/>
  <c r="Q72" i="7"/>
  <c r="M73" i="7"/>
  <c r="N73" i="7"/>
  <c r="O73" i="7"/>
  <c r="P73" i="7"/>
  <c r="Q73" i="7"/>
  <c r="M74" i="7"/>
  <c r="N74" i="7"/>
  <c r="O74" i="7"/>
  <c r="P74" i="7"/>
  <c r="Q74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L6" i="7"/>
  <c r="M6" i="7"/>
  <c r="N6" i="7"/>
  <c r="O6" i="7"/>
  <c r="P6" i="7"/>
  <c r="Q6" i="7"/>
  <c r="L7" i="7"/>
  <c r="M7" i="7"/>
  <c r="N7" i="7"/>
  <c r="O7" i="7"/>
  <c r="P7" i="7"/>
  <c r="Q7" i="7"/>
  <c r="L8" i="7"/>
  <c r="M8" i="7"/>
  <c r="N8" i="7"/>
  <c r="O8" i="7"/>
  <c r="P8" i="7"/>
  <c r="Q8" i="7"/>
  <c r="L9" i="7"/>
  <c r="M9" i="7"/>
  <c r="N9" i="7"/>
  <c r="O9" i="7"/>
  <c r="P9" i="7"/>
  <c r="Q9" i="7"/>
  <c r="L10" i="7"/>
  <c r="M10" i="7"/>
  <c r="N10" i="7"/>
  <c r="O10" i="7"/>
  <c r="P10" i="7"/>
  <c r="Q10" i="7"/>
  <c r="L11" i="7"/>
  <c r="M11" i="7"/>
  <c r="N11" i="7"/>
  <c r="O11" i="7"/>
  <c r="P11" i="7"/>
  <c r="Q11" i="7"/>
  <c r="L12" i="7"/>
  <c r="M12" i="7"/>
  <c r="N12" i="7"/>
  <c r="O12" i="7"/>
  <c r="P12" i="7"/>
  <c r="Q12" i="7"/>
  <c r="L13" i="7"/>
  <c r="M13" i="7"/>
  <c r="N13" i="7"/>
  <c r="O13" i="7"/>
  <c r="P13" i="7"/>
  <c r="Q13" i="7"/>
  <c r="L14" i="7"/>
  <c r="M14" i="7"/>
  <c r="N14" i="7"/>
  <c r="O14" i="7"/>
  <c r="P14" i="7"/>
  <c r="Q14" i="7"/>
  <c r="L15" i="7"/>
  <c r="M15" i="7"/>
  <c r="N15" i="7"/>
  <c r="O15" i="7"/>
  <c r="P15" i="7"/>
  <c r="Q15" i="7"/>
  <c r="L16" i="7"/>
  <c r="M16" i="7"/>
  <c r="N16" i="7"/>
  <c r="O16" i="7"/>
  <c r="P16" i="7"/>
  <c r="Q16" i="7"/>
  <c r="L17" i="7"/>
  <c r="M17" i="7"/>
  <c r="N17" i="7"/>
  <c r="O17" i="7"/>
  <c r="P17" i="7"/>
  <c r="Q17" i="7"/>
  <c r="L18" i="7"/>
  <c r="M18" i="7"/>
  <c r="N18" i="7"/>
  <c r="O18" i="7"/>
  <c r="P18" i="7"/>
  <c r="Q18" i="7"/>
  <c r="L19" i="7"/>
  <c r="M19" i="7"/>
  <c r="N19" i="7"/>
  <c r="O19" i="7"/>
  <c r="P19" i="7"/>
  <c r="Q19" i="7"/>
  <c r="L20" i="7"/>
  <c r="M20" i="7"/>
  <c r="N20" i="7"/>
  <c r="O20" i="7"/>
  <c r="P20" i="7"/>
  <c r="Q20" i="7"/>
  <c r="L21" i="7"/>
  <c r="M21" i="7"/>
  <c r="N21" i="7"/>
  <c r="O21" i="7"/>
  <c r="P21" i="7"/>
  <c r="Q21" i="7"/>
  <c r="L22" i="7"/>
  <c r="M22" i="7"/>
  <c r="N22" i="7"/>
  <c r="O22" i="7"/>
  <c r="P22" i="7"/>
  <c r="Q22" i="7"/>
  <c r="L23" i="7"/>
  <c r="M23" i="7"/>
  <c r="N23" i="7"/>
  <c r="O23" i="7"/>
  <c r="P23" i="7"/>
  <c r="Q23" i="7"/>
  <c r="L24" i="7"/>
  <c r="M24" i="7"/>
  <c r="N24" i="7"/>
  <c r="O24" i="7"/>
  <c r="P24" i="7"/>
  <c r="Q24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B13" i="2"/>
  <c r="B12" i="2"/>
  <c r="B11" i="2"/>
  <c r="B10" i="2"/>
  <c r="B9" i="2"/>
  <c r="B8" i="2"/>
  <c r="B7" i="2"/>
  <c r="B6" i="2"/>
  <c r="B5" i="2"/>
  <c r="K122" i="7" l="1"/>
  <c r="K146" i="7" l="1"/>
  <c r="S157" i="7"/>
  <c r="R157" i="7"/>
  <c r="K157" i="7"/>
  <c r="G157" i="7"/>
  <c r="E157" i="7"/>
  <c r="D157" i="7"/>
  <c r="K148" i="7" l="1"/>
  <c r="H134" i="7"/>
  <c r="I116" i="7"/>
  <c r="G156" i="7" l="1"/>
  <c r="R137" i="7"/>
  <c r="S154" i="7" l="1"/>
  <c r="R154" i="7"/>
  <c r="G50" i="7"/>
  <c r="K140" i="7" l="1"/>
  <c r="G140" i="7"/>
  <c r="E140" i="7"/>
  <c r="D140" i="7"/>
  <c r="D235" i="7"/>
  <c r="H244" i="7"/>
  <c r="S146" i="7" l="1"/>
  <c r="R146" i="7"/>
  <c r="G146" i="7"/>
  <c r="E146" i="7"/>
  <c r="D146" i="7"/>
  <c r="S123" i="7" l="1"/>
  <c r="R123" i="7"/>
  <c r="K123" i="7"/>
  <c r="G123" i="7"/>
  <c r="F123" i="7"/>
  <c r="E123" i="7"/>
  <c r="D123" i="7"/>
  <c r="S122" i="7"/>
  <c r="R122" i="7"/>
  <c r="G122" i="7"/>
  <c r="F122" i="7"/>
  <c r="E122" i="7"/>
  <c r="D122" i="7"/>
  <c r="S240" i="7"/>
  <c r="R240" i="7"/>
  <c r="G240" i="7"/>
  <c r="F240" i="7"/>
  <c r="E240" i="7"/>
  <c r="D240" i="7"/>
  <c r="S151" i="7" l="1"/>
  <c r="R151" i="7"/>
  <c r="K151" i="7"/>
  <c r="G151" i="7"/>
  <c r="F151" i="7"/>
  <c r="E151" i="7"/>
  <c r="D151" i="7"/>
  <c r="S136" i="7"/>
  <c r="R136" i="7"/>
  <c r="K136" i="7"/>
  <c r="G136" i="7"/>
  <c r="E136" i="7"/>
  <c r="D136" i="7"/>
  <c r="D137" i="7"/>
  <c r="S159" i="7" l="1"/>
  <c r="R159" i="7"/>
  <c r="K159" i="7"/>
  <c r="G159" i="7"/>
  <c r="E159" i="7"/>
  <c r="D159" i="7"/>
  <c r="D153" i="7" l="1"/>
  <c r="S153" i="7"/>
  <c r="R153" i="7"/>
  <c r="K153" i="7"/>
  <c r="G153" i="7"/>
  <c r="E153" i="7"/>
  <c r="S145" i="7"/>
  <c r="R145" i="7"/>
  <c r="R127" i="7"/>
  <c r="K127" i="7"/>
  <c r="G127" i="7"/>
  <c r="E127" i="7"/>
  <c r="D127" i="7"/>
  <c r="H53" i="7"/>
  <c r="S143" i="7"/>
  <c r="R143" i="7"/>
  <c r="K143" i="7"/>
  <c r="G143" i="7"/>
  <c r="E143" i="7"/>
  <c r="D143" i="7"/>
  <c r="H64" i="7" l="1"/>
  <c r="S125" i="7" l="1"/>
  <c r="R125" i="7"/>
  <c r="K125" i="7"/>
  <c r="G125" i="7"/>
  <c r="E125" i="7"/>
  <c r="D125" i="7"/>
  <c r="S129" i="7"/>
  <c r="R129" i="7"/>
  <c r="K129" i="7"/>
  <c r="G129" i="7"/>
  <c r="E129" i="7"/>
  <c r="D129" i="7"/>
  <c r="S144" i="7"/>
  <c r="R144" i="7"/>
  <c r="K144" i="7"/>
  <c r="G144" i="7"/>
  <c r="E144" i="7"/>
  <c r="D144" i="7"/>
  <c r="H31" i="7"/>
  <c r="H6" i="7"/>
  <c r="M78" i="7"/>
  <c r="H78" i="7"/>
  <c r="S120" i="7" l="1"/>
  <c r="R120" i="7"/>
  <c r="S152" i="7"/>
  <c r="R152" i="7"/>
  <c r="G152" i="7"/>
  <c r="E152" i="7"/>
  <c r="D152" i="7"/>
  <c r="S243" i="7"/>
  <c r="R243" i="7"/>
  <c r="S131" i="7"/>
  <c r="R131" i="7"/>
  <c r="S130" i="7"/>
  <c r="R130" i="7"/>
  <c r="K149" i="7"/>
  <c r="G149" i="7"/>
  <c r="E149" i="7"/>
  <c r="D149" i="7"/>
  <c r="S126" i="7"/>
  <c r="R126" i="7"/>
  <c r="K126" i="7"/>
  <c r="G126" i="7"/>
  <c r="E126" i="7"/>
  <c r="D126" i="7"/>
  <c r="S150" i="7" l="1"/>
  <c r="R150" i="7"/>
  <c r="K150" i="7"/>
  <c r="G150" i="7"/>
  <c r="F150" i="7"/>
  <c r="E150" i="7"/>
  <c r="D150" i="7"/>
  <c r="S124" i="7"/>
  <c r="R124" i="7"/>
  <c r="K124" i="7"/>
  <c r="G124" i="7"/>
  <c r="F124" i="7"/>
  <c r="E124" i="7"/>
  <c r="D124" i="7"/>
  <c r="S134" i="7" l="1"/>
  <c r="R134" i="7"/>
  <c r="K134" i="7"/>
  <c r="G134" i="7"/>
  <c r="F134" i="7"/>
  <c r="E134" i="7"/>
  <c r="D134" i="7"/>
  <c r="R121" i="7"/>
  <c r="K121" i="7"/>
  <c r="G121" i="7"/>
  <c r="E121" i="7"/>
  <c r="D121" i="7"/>
  <c r="S128" i="7" l="1"/>
  <c r="R128" i="7"/>
  <c r="K128" i="7"/>
  <c r="G128" i="7"/>
  <c r="E128" i="7"/>
  <c r="D128" i="7"/>
  <c r="S133" i="7" l="1"/>
  <c r="R133" i="7"/>
  <c r="K133" i="7"/>
  <c r="G133" i="7"/>
  <c r="E133" i="7"/>
  <c r="D133" i="7"/>
  <c r="S137" i="7"/>
  <c r="K137" i="7"/>
  <c r="G137" i="7"/>
  <c r="E137" i="7"/>
  <c r="K156" i="7" l="1"/>
  <c r="E156" i="7"/>
  <c r="D156" i="7"/>
  <c r="K132" i="7" l="1"/>
  <c r="G132" i="7"/>
  <c r="E132" i="7"/>
  <c r="D132" i="7"/>
  <c r="S142" i="7"/>
  <c r="R142" i="7"/>
  <c r="K142" i="7"/>
  <c r="G142" i="7"/>
  <c r="E142" i="7"/>
  <c r="D142" i="7"/>
  <c r="S158" i="7"/>
  <c r="R158" i="7"/>
  <c r="K158" i="7"/>
  <c r="G158" i="7"/>
  <c r="F158" i="7"/>
  <c r="E158" i="7"/>
  <c r="D158" i="7"/>
  <c r="G148" i="7"/>
  <c r="E148" i="7"/>
  <c r="D148" i="7"/>
  <c r="S141" i="7"/>
  <c r="R141" i="7"/>
  <c r="K141" i="7"/>
  <c r="G141" i="7"/>
  <c r="D141" i="7"/>
  <c r="E141" i="7"/>
  <c r="K154" i="7" l="1"/>
  <c r="G154" i="7"/>
  <c r="E154" i="7"/>
  <c r="D154" i="7"/>
  <c r="K147" i="7" l="1"/>
  <c r="G147" i="7"/>
  <c r="D147" i="7"/>
  <c r="H58" i="7" l="1"/>
  <c r="H190" i="7"/>
  <c r="O190" i="7" l="1"/>
  <c r="Q190" i="7"/>
  <c r="H206" i="7"/>
  <c r="S140" i="7" l="1"/>
  <c r="R140" i="7"/>
  <c r="H66" i="7"/>
  <c r="H30" i="7"/>
  <c r="H141" i="7" l="1"/>
  <c r="H136" i="7"/>
  <c r="J78" i="7"/>
  <c r="S156" i="7" l="1"/>
  <c r="R156" i="7"/>
  <c r="K152" i="7"/>
  <c r="S149" i="7"/>
  <c r="R149" i="7"/>
  <c r="S147" i="7"/>
  <c r="R147" i="7"/>
  <c r="H32" i="7" l="1"/>
  <c r="H50" i="7" l="1"/>
  <c r="H23" i="7" l="1"/>
  <c r="H225" i="7" l="1"/>
  <c r="H97" i="7" l="1"/>
  <c r="H226" i="7"/>
  <c r="H183" i="7"/>
  <c r="H184" i="7"/>
  <c r="S127" i="7"/>
  <c r="H113" i="7"/>
  <c r="H227" i="7"/>
  <c r="H147" i="7" l="1"/>
  <c r="H48" i="7" l="1"/>
  <c r="H56" i="7" l="1"/>
  <c r="H84" i="7" l="1"/>
  <c r="H143" i="7"/>
  <c r="H110" i="7"/>
  <c r="H194" i="7"/>
  <c r="H219" i="7"/>
  <c r="H158" i="7" l="1"/>
  <c r="H51" i="7" l="1"/>
  <c r="H42" i="7" l="1"/>
  <c r="H180" i="7"/>
  <c r="H181" i="7"/>
  <c r="H173" i="7"/>
  <c r="H174" i="7"/>
  <c r="P232" i="7" l="1"/>
  <c r="N232" i="7"/>
  <c r="M232" i="7"/>
  <c r="H232" i="7"/>
  <c r="Q232" i="7" s="1"/>
  <c r="O232" i="7" l="1"/>
  <c r="H172" i="7" l="1"/>
  <c r="I246" i="7" l="1"/>
  <c r="H153" i="7"/>
  <c r="H63" i="7"/>
  <c r="J240" i="7" l="1"/>
  <c r="T236" i="7"/>
  <c r="K236" i="7"/>
  <c r="I236" i="7"/>
  <c r="B4" i="3" l="1"/>
  <c r="C12" i="2"/>
  <c r="J232" i="7"/>
  <c r="L232" i="7"/>
  <c r="H196" i="7"/>
  <c r="H155" i="7"/>
  <c r="H68" i="7" l="1"/>
  <c r="T246" i="7"/>
  <c r="B14" i="6" s="1"/>
  <c r="B13" i="6"/>
  <c r="H10" i="7" l="1"/>
  <c r="H73" i="7" l="1"/>
  <c r="H114" i="7" l="1"/>
  <c r="H157" i="7" l="1"/>
  <c r="H120" i="7"/>
  <c r="H245" i="7" l="1"/>
  <c r="H242" i="7"/>
  <c r="H243" i="7"/>
  <c r="H241" i="7"/>
  <c r="H164" i="7" l="1"/>
  <c r="K246" i="7" l="1"/>
  <c r="P240" i="7"/>
  <c r="M240" i="7"/>
  <c r="N240" i="7"/>
  <c r="H240" i="7"/>
  <c r="B3" i="3" l="1"/>
  <c r="C13" i="2"/>
  <c r="L240" i="7"/>
  <c r="Q240" i="7"/>
  <c r="O240" i="7"/>
  <c r="H5" i="7"/>
  <c r="H49" i="7" l="1"/>
  <c r="S132" i="7"/>
  <c r="R132" i="7"/>
  <c r="H132" i="7" l="1"/>
  <c r="H18" i="7"/>
  <c r="H176" i="7" l="1"/>
  <c r="H235" i="7" l="1"/>
  <c r="H233" i="7"/>
  <c r="H234" i="7"/>
  <c r="H229" i="7"/>
  <c r="H20" i="7" l="1"/>
  <c r="H144" i="7" l="1"/>
  <c r="H127" i="7"/>
  <c r="S121" i="7"/>
  <c r="S148" i="7"/>
  <c r="R148" i="7"/>
  <c r="M205" i="7" l="1"/>
  <c r="N205" i="7"/>
  <c r="P205" i="7"/>
  <c r="H217" i="7" l="1"/>
  <c r="H123" i="7"/>
  <c r="H36" i="7" l="1"/>
  <c r="H34" i="7" l="1"/>
  <c r="H148" i="7" l="1"/>
  <c r="H54" i="7" l="1"/>
  <c r="H47" i="7" l="1"/>
  <c r="H163" i="7" l="1"/>
  <c r="H104" i="7" l="1"/>
  <c r="H112" i="7" l="1"/>
  <c r="T169" i="7" l="1"/>
  <c r="B10" i="6" s="1"/>
  <c r="K169" i="7"/>
  <c r="P216" i="7"/>
  <c r="N216" i="7"/>
  <c r="M216" i="7"/>
  <c r="I169" i="7"/>
  <c r="C9" i="2" l="1"/>
  <c r="B8" i="3"/>
  <c r="M169" i="7"/>
  <c r="H221" i="7"/>
  <c r="H16" i="7" l="1"/>
  <c r="H145" i="7" l="1"/>
  <c r="H90" i="7"/>
  <c r="H188" i="7"/>
  <c r="H22" i="7"/>
  <c r="H175" i="7" l="1"/>
  <c r="H177" i="7"/>
  <c r="H178" i="7"/>
  <c r="H179" i="7"/>
  <c r="H182" i="7"/>
  <c r="H185" i="7"/>
  <c r="H187" i="7"/>
  <c r="H186" i="7"/>
  <c r="H189" i="7"/>
  <c r="H191" i="7"/>
  <c r="H192" i="7"/>
  <c r="H193" i="7"/>
  <c r="H195" i="7"/>
  <c r="H197" i="7"/>
  <c r="H198" i="7"/>
  <c r="H200" i="7"/>
  <c r="H199" i="7"/>
  <c r="H201" i="7"/>
  <c r="P163" i="7" l="1"/>
  <c r="N163" i="7"/>
  <c r="M163" i="7"/>
  <c r="H218" i="7" l="1"/>
  <c r="H220" i="7"/>
  <c r="H222" i="7"/>
  <c r="H223" i="7"/>
  <c r="H224" i="7"/>
  <c r="H228" i="7"/>
  <c r="H216" i="7" l="1"/>
  <c r="H213" i="7"/>
  <c r="H212" i="7"/>
  <c r="H205" i="7"/>
  <c r="H207" i="7"/>
  <c r="H165" i="7"/>
  <c r="H166" i="7"/>
  <c r="H167" i="7"/>
  <c r="H168" i="7"/>
  <c r="H142" i="7"/>
  <c r="H146" i="7"/>
  <c r="H149" i="7"/>
  <c r="H150" i="7"/>
  <c r="H151" i="7"/>
  <c r="H152" i="7"/>
  <c r="H154" i="7"/>
  <c r="H156" i="7"/>
  <c r="H159" i="7"/>
  <c r="H140" i="7"/>
  <c r="H121" i="7"/>
  <c r="H122" i="7"/>
  <c r="H124" i="7"/>
  <c r="H125" i="7"/>
  <c r="H126" i="7"/>
  <c r="H128" i="7"/>
  <c r="H130" i="7"/>
  <c r="H131" i="7"/>
  <c r="H133" i="7"/>
  <c r="H129" i="7"/>
  <c r="H137" i="7"/>
  <c r="H135" i="7"/>
  <c r="O205" i="7" l="1"/>
  <c r="Q205" i="7"/>
  <c r="Q216" i="7"/>
  <c r="O216" i="7"/>
  <c r="Q163" i="7"/>
  <c r="O163" i="7"/>
  <c r="H79" i="7"/>
  <c r="H80" i="7"/>
  <c r="H81" i="7"/>
  <c r="H82" i="7"/>
  <c r="H83" i="7"/>
  <c r="H86" i="7"/>
  <c r="H87" i="7"/>
  <c r="H88" i="7"/>
  <c r="H89" i="7"/>
  <c r="H91" i="7"/>
  <c r="H92" i="7"/>
  <c r="H93" i="7"/>
  <c r="H94" i="7"/>
  <c r="H96" i="7"/>
  <c r="H98" i="7"/>
  <c r="H99" i="7"/>
  <c r="H95" i="7"/>
  <c r="H100" i="7"/>
  <c r="H85" i="7"/>
  <c r="H101" i="7"/>
  <c r="H102" i="7"/>
  <c r="H103" i="7"/>
  <c r="H105" i="7"/>
  <c r="H106" i="7"/>
  <c r="H107" i="7"/>
  <c r="H108" i="7"/>
  <c r="H109" i="7"/>
  <c r="H111" i="7"/>
  <c r="H115" i="7"/>
  <c r="H8" i="7"/>
  <c r="H9" i="7"/>
  <c r="H12" i="7"/>
  <c r="H13" i="7"/>
  <c r="H14" i="7"/>
  <c r="H15" i="7"/>
  <c r="H11" i="7"/>
  <c r="H17" i="7"/>
  <c r="H19" i="7"/>
  <c r="H21" i="7"/>
  <c r="H24" i="7"/>
  <c r="H7" i="7"/>
  <c r="H29" i="7" l="1"/>
  <c r="H33" i="7"/>
  <c r="H35" i="7"/>
  <c r="H37" i="7"/>
  <c r="H38" i="7"/>
  <c r="H39" i="7"/>
  <c r="H40" i="7"/>
  <c r="H41" i="7"/>
  <c r="H43" i="7"/>
  <c r="H44" i="7"/>
  <c r="H45" i="7"/>
  <c r="H52" i="7"/>
  <c r="H55" i="7"/>
  <c r="H46" i="7"/>
  <c r="H57" i="7"/>
  <c r="H59" i="7"/>
  <c r="H60" i="7"/>
  <c r="H61" i="7"/>
  <c r="H62" i="7"/>
  <c r="H65" i="7"/>
  <c r="H67" i="7"/>
  <c r="H69" i="7"/>
  <c r="H70" i="7"/>
  <c r="H71" i="7"/>
  <c r="H72" i="7"/>
  <c r="H74" i="7"/>
  <c r="Q212" i="7" l="1"/>
  <c r="P212" i="7"/>
  <c r="O212" i="7"/>
  <c r="N212" i="7"/>
  <c r="M212" i="7"/>
  <c r="T208" i="7"/>
  <c r="B12" i="6" s="1"/>
  <c r="K208" i="7"/>
  <c r="I208" i="7"/>
  <c r="K202" i="7"/>
  <c r="I202" i="7"/>
  <c r="T202" i="7"/>
  <c r="B11" i="6" s="1"/>
  <c r="P172" i="7"/>
  <c r="N172" i="7"/>
  <c r="M172" i="7"/>
  <c r="Q172" i="7"/>
  <c r="L163" i="7"/>
  <c r="T160" i="7"/>
  <c r="B9" i="6" s="1"/>
  <c r="P120" i="7"/>
  <c r="N120" i="7"/>
  <c r="M120" i="7"/>
  <c r="Q120" i="7"/>
  <c r="T116" i="7"/>
  <c r="B8" i="6" s="1"/>
  <c r="K116" i="7"/>
  <c r="L78" i="7" s="1"/>
  <c r="P78" i="7"/>
  <c r="N78" i="7"/>
  <c r="T75" i="7"/>
  <c r="B7" i="6" s="1"/>
  <c r="K75" i="7"/>
  <c r="I75" i="7"/>
  <c r="P28" i="7"/>
  <c r="N28" i="7"/>
  <c r="M28" i="7"/>
  <c r="H28" i="7"/>
  <c r="Q28" i="7" s="1"/>
  <c r="T25" i="7"/>
  <c r="B6" i="6" s="1"/>
  <c r="K25" i="7"/>
  <c r="I25" i="7"/>
  <c r="J6" i="7" s="1"/>
  <c r="P5" i="7"/>
  <c r="N5" i="7"/>
  <c r="M5" i="7"/>
  <c r="Q5" i="7"/>
  <c r="L31" i="7" l="1"/>
  <c r="L33" i="7"/>
  <c r="L37" i="7"/>
  <c r="L39" i="7"/>
  <c r="L43" i="7"/>
  <c r="L47" i="7"/>
  <c r="L51" i="7"/>
  <c r="L55" i="7"/>
  <c r="L59" i="7"/>
  <c r="L63" i="7"/>
  <c r="L67" i="7"/>
  <c r="L69" i="7"/>
  <c r="L73" i="7"/>
  <c r="L30" i="7"/>
  <c r="L34" i="7"/>
  <c r="L40" i="7"/>
  <c r="L46" i="7"/>
  <c r="L50" i="7"/>
  <c r="L54" i="7"/>
  <c r="L58" i="7"/>
  <c r="L62" i="7"/>
  <c r="L66" i="7"/>
  <c r="L70" i="7"/>
  <c r="L74" i="7"/>
  <c r="L29" i="7"/>
  <c r="L35" i="7"/>
  <c r="L41" i="7"/>
  <c r="L45" i="7"/>
  <c r="L49" i="7"/>
  <c r="L53" i="7"/>
  <c r="L57" i="7"/>
  <c r="L61" i="7"/>
  <c r="L65" i="7"/>
  <c r="L71" i="7"/>
  <c r="L32" i="7"/>
  <c r="L36" i="7"/>
  <c r="L38" i="7"/>
  <c r="L42" i="7"/>
  <c r="L44" i="7"/>
  <c r="L48" i="7"/>
  <c r="L52" i="7"/>
  <c r="L56" i="7"/>
  <c r="L60" i="7"/>
  <c r="L64" i="7"/>
  <c r="L68" i="7"/>
  <c r="L72" i="7"/>
  <c r="C11" i="2"/>
  <c r="C10" i="2"/>
  <c r="C7" i="2"/>
  <c r="C6" i="2"/>
  <c r="B5" i="3"/>
  <c r="C5" i="2"/>
  <c r="B2" i="3"/>
  <c r="B7" i="3"/>
  <c r="B10" i="3"/>
  <c r="L205" i="7"/>
  <c r="J205" i="7"/>
  <c r="B6" i="3"/>
  <c r="M208" i="7"/>
  <c r="L216" i="7"/>
  <c r="J216" i="7"/>
  <c r="M25" i="7"/>
  <c r="M75" i="7"/>
  <c r="M116" i="7"/>
  <c r="M202" i="7"/>
  <c r="J163" i="7"/>
  <c r="Q140" i="7"/>
  <c r="N140" i="7"/>
  <c r="L212" i="7"/>
  <c r="O120" i="7"/>
  <c r="J172" i="7"/>
  <c r="L28" i="7"/>
  <c r="J212" i="7"/>
  <c r="M236" i="7"/>
  <c r="T237" i="7"/>
  <c r="T247" i="7" s="1"/>
  <c r="M140" i="7"/>
  <c r="P140" i="7"/>
  <c r="O172" i="7"/>
  <c r="L5" i="7"/>
  <c r="Q78" i="7"/>
  <c r="O78" i="7"/>
  <c r="K160" i="7"/>
  <c r="J5" i="7"/>
  <c r="O5" i="7"/>
  <c r="J28" i="7"/>
  <c r="O28" i="7"/>
  <c r="I160" i="7"/>
  <c r="L172" i="7"/>
  <c r="C8" i="2" l="1"/>
  <c r="B9" i="3"/>
  <c r="J140" i="7"/>
  <c r="M160" i="7"/>
  <c r="O140" i="7"/>
  <c r="K237" i="7"/>
  <c r="J120" i="7"/>
  <c r="L120" i="7"/>
  <c r="L140" i="7"/>
  <c r="I237" i="7"/>
  <c r="I247" i="7" l="1"/>
  <c r="K247" i="7"/>
  <c r="J246" i="7" l="1"/>
  <c r="J208" i="7"/>
  <c r="J169" i="7"/>
  <c r="J116" i="7"/>
  <c r="J25" i="7"/>
  <c r="J236" i="7"/>
  <c r="J160" i="7"/>
  <c r="J75" i="7"/>
  <c r="J202" i="7"/>
  <c r="L236" i="7"/>
  <c r="L208" i="7"/>
  <c r="L25" i="7"/>
  <c r="L202" i="7"/>
  <c r="L169" i="7"/>
  <c r="L116" i="7"/>
  <c r="L75" i="7"/>
  <c r="L246" i="7"/>
  <c r="L160" i="7"/>
</calcChain>
</file>

<file path=xl/sharedStrings.xml><?xml version="1.0" encoding="utf-8"?>
<sst xmlns="http://schemas.openxmlformats.org/spreadsheetml/2006/main" count="501" uniqueCount="335">
  <si>
    <t>S/N</t>
  </si>
  <si>
    <t>FUND</t>
  </si>
  <si>
    <t>FUND MANAGER</t>
  </si>
  <si>
    <t>TOTAL VALUE OF INVESTMENT (N)</t>
  </si>
  <si>
    <t>TOTAL INCOME (N)</t>
  </si>
  <si>
    <t>UNREALIZED CAPITAL GAIN/LOSS (N)</t>
  </si>
  <si>
    <t>TOTAL EXPENSES (N)</t>
  </si>
  <si>
    <t>NET INCOME/LOSS (N)</t>
  </si>
  <si>
    <t>% ON TOTAL</t>
  </si>
  <si>
    <t xml:space="preserve">NET ASSET VALUE (N) </t>
  </si>
  <si>
    <t>% CHANGE IN NAV</t>
  </si>
  <si>
    <t>EXPENSE RATIO</t>
  </si>
  <si>
    <t>RETURN ON EQUITY (ROE)</t>
  </si>
  <si>
    <t>NET ASSET PER UNIT</t>
  </si>
  <si>
    <t>EARNINGS PER UNIT (EPU)</t>
  </si>
  <si>
    <t>BID PRICE (N)</t>
  </si>
  <si>
    <t>OFFER PRICE (N)</t>
  </si>
  <si>
    <t>NUMBER OF UNIT HOLDERS</t>
  </si>
  <si>
    <t>OPENING NUMBER OF UNITS</t>
  </si>
  <si>
    <t>CLOSING NUMBER OF UNITS</t>
  </si>
  <si>
    <t>EQUITY BASED FUNDS</t>
  </si>
  <si>
    <t>Afrinvest Equity Fund</t>
  </si>
  <si>
    <t>Afrinvest Asset Management Ltd.</t>
  </si>
  <si>
    <t>Anchoria Equity Fund</t>
  </si>
  <si>
    <t>Anchoria Asset Management Limited</t>
  </si>
  <si>
    <t>ARM Aggressive Growth Fund</t>
  </si>
  <si>
    <t xml:space="preserve">ARM Investment Managers Limited </t>
  </si>
  <si>
    <t>AXA Mansard Equity Income Fund</t>
  </si>
  <si>
    <t>AXA Mansard Investments Limited</t>
  </si>
  <si>
    <t>Frontier Fund</t>
  </si>
  <si>
    <t>SCM Capital Limited</t>
  </si>
  <si>
    <t>Futureview Equity Fund</t>
  </si>
  <si>
    <t xml:space="preserve">Futureview Asset Management Limited </t>
  </si>
  <si>
    <t>Guaranty Trust Equity Income Fund</t>
  </si>
  <si>
    <t>Guaranty Trust Fund Managers Limited</t>
  </si>
  <si>
    <t>First City Asset Management Plc</t>
  </si>
  <si>
    <t>Meristem Equity Market Fund</t>
  </si>
  <si>
    <t>Meristem Wealth Management Limited</t>
  </si>
  <si>
    <t>Pacam Equity Fund</t>
  </si>
  <si>
    <t>PAC Asset Management Ltd.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</si>
  <si>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</si>
  <si>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</si>
  <si>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</si>
  <si>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</si>
  <si>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</si>
  <si>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Cowry Treasurers Limited</t>
  </si>
  <si>
    <t>United Capital Equity Fund</t>
  </si>
  <si>
    <t>United Capital Asset Mgt. Ltd</t>
  </si>
  <si>
    <t>Sub 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</si>
  <si>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</si>
  <si>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</si>
  <si>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</si>
  <si>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</si>
  <si>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</si>
  <si>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</si>
  <si>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ARM Investment Managers Limited</t>
  </si>
  <si>
    <t>AXA Mansard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</si>
  <si>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</si>
  <si>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</si>
  <si>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</si>
  <si>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</si>
  <si>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</si>
  <si>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EDC Money Market Class A</t>
  </si>
  <si>
    <t>EDC Fund Management</t>
  </si>
  <si>
    <t>EDC Money Market Class B</t>
  </si>
  <si>
    <t>Emerging Africa Money Market Fund</t>
  </si>
  <si>
    <t>Emerging Africa Asset Management Limited</t>
  </si>
  <si>
    <t>First Ally Asset Management Limited</t>
  </si>
  <si>
    <t>GDL Money Market Fund</t>
  </si>
  <si>
    <t xml:space="preserve">Growth and Development Asset Management Limited </t>
  </si>
  <si>
    <t>Greenwich Plus Money Market</t>
  </si>
  <si>
    <t xml:space="preserve">Greenwich Asst Management Ltd </t>
  </si>
  <si>
    <t>Guaranty Trust Money Market Fund</t>
  </si>
  <si>
    <t>Meristem Money Market Fund</t>
  </si>
  <si>
    <t>Norrenberger Money Market Fund</t>
  </si>
  <si>
    <t>NOVA Prime Money Market Fund</t>
  </si>
  <si>
    <t>NOVAMBL Asset Management Limited</t>
  </si>
  <si>
    <t>PACAM Money Market Fund</t>
  </si>
  <si>
    <t>Stanbic IBTC Money Market Fund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</si>
  <si>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</si>
  <si>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</si>
  <si>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</si>
  <si>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</si>
  <si>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</si>
  <si>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</si>
  <si>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 Limited</t>
  </si>
  <si>
    <t>Zenith Asset Management Ltd</t>
  </si>
  <si>
    <t>BOND/FIXED INCOME FUNDS</t>
  </si>
  <si>
    <t>Anchoria Fixed Income Fund</t>
  </si>
  <si>
    <t>ARM Fixed Income Fund</t>
  </si>
  <si>
    <t>ARM Short Term-Bond Fund</t>
  </si>
  <si>
    <t>ARM Investment Managers</t>
  </si>
  <si>
    <t>AVA Global Asset Managers Limited</t>
  </si>
  <si>
    <t>CardinalStone Fixed Income Alpha Fund</t>
  </si>
  <si>
    <t>CardinalStone Asset Mgt. Limited</t>
  </si>
  <si>
    <t>CEAT Fixed Income Fund</t>
  </si>
  <si>
    <t>Capital Express Assset &amp; Trust Limited</t>
  </si>
  <si>
    <t>Coral Income Fund</t>
  </si>
  <si>
    <t>Cordros Fixed Income Fund</t>
  </si>
  <si>
    <t>Coronation Fixed Income Fund</t>
  </si>
  <si>
    <t>DLM Fixed Income Fund</t>
  </si>
  <si>
    <t>DLM Asset Management Limited</t>
  </si>
  <si>
    <t>EDC Nigeria Fixed Income Fund</t>
  </si>
  <si>
    <t>Emerging Africa Bond Fund</t>
  </si>
  <si>
    <t>GDL Income Fund</t>
  </si>
  <si>
    <t xml:space="preserve">Lead Fixed Income Fund </t>
  </si>
  <si>
    <t>Lead Asset Mgt Ltd</t>
  </si>
  <si>
    <t>Lotus Halal Fixed Income Fund</t>
  </si>
  <si>
    <t>Lotus Capital Limited</t>
  </si>
  <si>
    <t>Nigeria International Debt Fund</t>
  </si>
  <si>
    <t>PACAM Fixed Income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</si>
  <si>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</si>
  <si>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</si>
  <si>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</si>
  <si>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</si>
  <si>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</si>
  <si>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</si>
  <si>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United Capital Fixed Income Fund</t>
  </si>
  <si>
    <t>Zenith Income Fund</t>
  </si>
  <si>
    <t>EUROBONDS</t>
  </si>
  <si>
    <t>Afrinvest Dollar Fund</t>
  </si>
  <si>
    <t>ARM Eurobond Fund</t>
  </si>
  <si>
    <t>Emerging Africa Eurobond Fund</t>
  </si>
  <si>
    <t>Futureview Dollar Fund</t>
  </si>
  <si>
    <t>Futureview Asset Management Limited</t>
  </si>
  <si>
    <t>Norrenberger Dollar Fund</t>
  </si>
  <si>
    <t>Norrenberger Investment &amp; Capital Management Limited</t>
  </si>
  <si>
    <t>Pacam Eurobond Fund</t>
  </si>
  <si>
    <t>FIXED INCOME</t>
  </si>
  <si>
    <t>AVA GAM Fixed Income Dollar Fund</t>
  </si>
  <si>
    <t>AXA Mansard Dollar Bond Fund</t>
  </si>
  <si>
    <t>Cordros Dollar Fund</t>
  </si>
  <si>
    <t>FSDH Dollar Fund</t>
  </si>
  <si>
    <t>Nigeria Dollar Income Fund</t>
  </si>
  <si>
    <t>NOVA Dollar Fixed Income Fund</t>
  </si>
  <si>
    <t>Stanbic IBTC Dollar Fund</t>
  </si>
  <si>
    <t xml:space="preserve">United Capital Global Fixed Income Fund </t>
  </si>
  <si>
    <t>REAL ESTATE FUNDS</t>
  </si>
  <si>
    <t>Nigeria Real Estate Investment Trust</t>
  </si>
  <si>
    <t>SFS Real Estate Investment Trust Fund</t>
  </si>
  <si>
    <t>Union Homes REITS</t>
  </si>
  <si>
    <t>UPDC Real Estate Investment Fund</t>
  </si>
  <si>
    <t>BALANCED FUNDS</t>
  </si>
  <si>
    <t>AIICO Balanced Fund</t>
  </si>
  <si>
    <t>ARM Discovery Balanced Fund</t>
  </si>
  <si>
    <t>Capital Express Balanced Fund</t>
  </si>
  <si>
    <t>Coral Balanced Fund</t>
  </si>
  <si>
    <t>Cordros Milestone Fund</t>
  </si>
  <si>
    <t>Coronation Balanced Fund</t>
  </si>
  <si>
    <t>EDC Balanced Fund</t>
  </si>
  <si>
    <t>EDC Fund Management Limited</t>
  </si>
  <si>
    <t>Emerging Africa Balanced-Diversity Fund</t>
  </si>
  <si>
    <t>GDL Canary Balanced Fund</t>
  </si>
  <si>
    <t>Greenwich Balanced Fund</t>
  </si>
  <si>
    <t>Guaranty Trust Balanced Fund</t>
  </si>
  <si>
    <t xml:space="preserve">Lead Balanced Fund </t>
  </si>
  <si>
    <t>Nigeria Energy Sector Fund</t>
  </si>
  <si>
    <t>NOVA Hybrid Balanced Fund</t>
  </si>
  <si>
    <t>PACAM Balanced Fund</t>
  </si>
  <si>
    <t>Stanbic IBTC Balanced Fund</t>
  </si>
  <si>
    <t>United Capital Balanced Fund</t>
  </si>
  <si>
    <t>ValuAlliance Value Fund</t>
  </si>
  <si>
    <t>Zenith Balanced Strategy Fund</t>
  </si>
  <si>
    <t>ETHICAL FUNDS</t>
  </si>
  <si>
    <t>Stanbic IBTC Ethical Fund</t>
  </si>
  <si>
    <t>Zenith ESG Impact Fund</t>
  </si>
  <si>
    <t>SHARI'AH COMPLIANT FUNDS</t>
  </si>
  <si>
    <t>EQUITIES</t>
  </si>
  <si>
    <t>Lotus Halal Investment  Fund</t>
  </si>
  <si>
    <t>Stanbic IBTC Imaan Fund</t>
  </si>
  <si>
    <t>Capital Trust Halal Fixed Income Fund</t>
  </si>
  <si>
    <t>Capital Trust Investments &amp; Asset Mgt. Ltd</t>
  </si>
  <si>
    <t>Cordros Halal Fixed Income Fund</t>
  </si>
  <si>
    <t>EDC Halal Fund</t>
  </si>
  <si>
    <t>Norrenberger Islamic Fund</t>
  </si>
  <si>
    <t>Stanbic IBTC Shariah Fixed Income Fund</t>
  </si>
  <si>
    <t>United Capital Sukuk Fund</t>
  </si>
  <si>
    <t>Grand Total</t>
  </si>
  <si>
    <t>Note:</t>
  </si>
  <si>
    <t>FUNDS</t>
  </si>
  <si>
    <t>BONDS/FIXED INCOME FUNDS</t>
  </si>
  <si>
    <t>DOLLAR FUNDS</t>
  </si>
  <si>
    <t>REAL ESTATE INVESTMENT TRUST</t>
  </si>
  <si>
    <t>SHARI'AH COMPLAINT FUNDS</t>
  </si>
  <si>
    <t>UNIT HOLDERS</t>
  </si>
  <si>
    <t>Cowry Equity Fund</t>
  </si>
  <si>
    <t>CardinalStone Equity Fund</t>
  </si>
  <si>
    <t>Page Money Market Fund</t>
  </si>
  <si>
    <t>Page Asset Management Limited</t>
  </si>
  <si>
    <t>RMBN Money Market Fund</t>
  </si>
  <si>
    <t>RMB Nigeria Asset Management Ltd.</t>
  </si>
  <si>
    <t>RT Briscoe Savings &amp; Investment Fund</t>
  </si>
  <si>
    <t>Comercio Partners Money Market Fund</t>
  </si>
  <si>
    <t>Comercio Partners Asset Management Limited</t>
  </si>
  <si>
    <t>BALANCED</t>
  </si>
  <si>
    <t>Lotus Waqf (Endowment) Fund</t>
  </si>
  <si>
    <t>Marble Halal Commodities Fund</t>
  </si>
  <si>
    <t xml:space="preserve">Marble Capital Limited </t>
  </si>
  <si>
    <t>Marble Halal Fixed Income Fund</t>
  </si>
  <si>
    <t>FSDH Halal Fund</t>
  </si>
  <si>
    <t>Alpha Morgan Balanced Fund</t>
  </si>
  <si>
    <t>Alpha Morgan Capital Managers Limited</t>
  </si>
  <si>
    <t>Cowry Balanced Fund</t>
  </si>
  <si>
    <t>The Nigeria Football Fund</t>
  </si>
  <si>
    <t>GTI Asset Management &amp; Trust Limited</t>
  </si>
  <si>
    <t>GTI Balanced Fund</t>
  </si>
  <si>
    <t>Housing Solution Fund</t>
  </si>
  <si>
    <t>FUNDCO Capital Managers Limited</t>
  </si>
  <si>
    <t>Coral Money Market Fund</t>
  </si>
  <si>
    <t>AIICO Eurobond Fund</t>
  </si>
  <si>
    <t>RMBN Dollar Fixed Income Fund</t>
  </si>
  <si>
    <t>Lead Dollar Fixed Income Fund</t>
  </si>
  <si>
    <t>Lead Asset Management Limited</t>
  </si>
  <si>
    <t>Meristem Dollar Fund</t>
  </si>
  <si>
    <t>CardinalStone Dollar Fund</t>
  </si>
  <si>
    <t>Comercio Partners Dollar Fund</t>
  </si>
  <si>
    <t>Cowry Eurobond Fund</t>
  </si>
  <si>
    <t>EDC Dollar Fund</t>
  </si>
  <si>
    <t>Cowry Fixed Income Fund</t>
  </si>
  <si>
    <t>Guaranty Trust Fixed Income Fund</t>
  </si>
  <si>
    <t>Utica Custodian Assured Fixed Income Fund</t>
  </si>
  <si>
    <t>Utica Capital Limited</t>
  </si>
  <si>
    <t>Meristem Fixed Income Fund</t>
  </si>
  <si>
    <t>Comercio Partners Fixed Income Fund</t>
  </si>
  <si>
    <t>Norrenberger Turbo Fixed Income Fund</t>
  </si>
  <si>
    <t>Norrenberger Investment &amp; Capital Mgt. Ltd.</t>
  </si>
  <si>
    <t>GTI  Money Market Fund</t>
  </si>
  <si>
    <t>Growth and Development Asset Management Limited</t>
  </si>
  <si>
    <t>Halo Equity Fund</t>
  </si>
  <si>
    <t>Zrosk Magna Equity Fund</t>
  </si>
  <si>
    <t>Zrosk Investment Management Limited</t>
  </si>
  <si>
    <t>Hillcrest Balanced Fund</t>
  </si>
  <si>
    <t>Hillcrest Capital Management Limited</t>
  </si>
  <si>
    <t>Coronation Dollar Fund</t>
  </si>
  <si>
    <t>Coronation Premium Fixed Income Fund</t>
  </si>
  <si>
    <t>Emerging Africa Halal Fund</t>
  </si>
  <si>
    <t>Chapel Hill Denham Money Market Fund</t>
  </si>
  <si>
    <t>Norrenberger Investment and Capital Mgt Limited</t>
  </si>
  <si>
    <t>United Capital Stable Fixed Income Fund</t>
  </si>
  <si>
    <t>Radix Horizon Fund</t>
  </si>
  <si>
    <t>Radix Capital Partners Limited</t>
  </si>
  <si>
    <t>CardinalStone Money Market Fund</t>
  </si>
  <si>
    <t>FSL Money Market Fund</t>
  </si>
  <si>
    <t>FSL  Asset Management Limited</t>
  </si>
  <si>
    <t>Guaranty Trust Investment Fund 724</t>
  </si>
  <si>
    <t>Guaranty Trust Dollar Fund</t>
  </si>
  <si>
    <t>AVA GAM Money Market Fund</t>
  </si>
  <si>
    <t>ARM Short-Term Eurobond Fund</t>
  </si>
  <si>
    <t>ARM Sharia Compliant Fixed Income Fund</t>
  </si>
  <si>
    <t>FSL Eurobond Fund</t>
  </si>
  <si>
    <t>FSL Asset Management Limited</t>
  </si>
  <si>
    <t>Halo Nigeria Capital Management Limited</t>
  </si>
  <si>
    <t>Mango Naira Money Maket Fund</t>
  </si>
  <si>
    <t>Mango Asset Management Limited</t>
  </si>
  <si>
    <t>CardinalStone Balanced Fund</t>
  </si>
  <si>
    <t>One17 Halal Fund</t>
  </si>
  <si>
    <t>One17 Capital Limited</t>
  </si>
  <si>
    <t>ARM Halal Balanced Fund</t>
  </si>
  <si>
    <t>MOFI Real Estate Investment Fund</t>
  </si>
  <si>
    <t>SPECIALISED FUNDS</t>
  </si>
  <si>
    <t>ARM Specialized Dollar Fund</t>
  </si>
  <si>
    <t>Clean Energy Fund</t>
  </si>
  <si>
    <t>Fundco Capital Managers Limited</t>
  </si>
  <si>
    <t>FCMB-TLG Private Debt Fund</t>
  </si>
  <si>
    <t>FCMB Asset Management Limited</t>
  </si>
  <si>
    <t>United Capital Children Investment Fund</t>
  </si>
  <si>
    <t>Zedcrest Dollar Fund</t>
  </si>
  <si>
    <t>Zedcrest Investment Managers Limited</t>
  </si>
  <si>
    <t>Zedcrest Fixed Income Fund</t>
  </si>
  <si>
    <t>Zedcrest Money Market Fund</t>
  </si>
  <si>
    <t>Mutual Fund Total</t>
  </si>
  <si>
    <t>Parthian Money Market Fund</t>
  </si>
  <si>
    <t>Parthian Capital Ltd.</t>
  </si>
  <si>
    <t>STL Money Market Fund</t>
  </si>
  <si>
    <t>STL Asset Mgt. Limited</t>
  </si>
  <si>
    <t>STL Dollar Fund</t>
  </si>
  <si>
    <t>STL Balanced Fund</t>
  </si>
  <si>
    <t>Parthian Dollar Fixed Income Fund</t>
  </si>
  <si>
    <t>Afrinvest Halal Fund</t>
  </si>
  <si>
    <t>Afrinvest Asset Mgt Ltd.</t>
  </si>
  <si>
    <t>DLM Money Market Fund</t>
  </si>
  <si>
    <t>Samtl Fund Managers Limited</t>
  </si>
  <si>
    <t>CFG AM Fixed Income Naira Fund</t>
  </si>
  <si>
    <t>CFG Assset Management Limited</t>
  </si>
  <si>
    <t>Trustbanc Fixed Income Fund</t>
  </si>
  <si>
    <t>Trustbanc Aset Management Limited</t>
  </si>
  <si>
    <t>CFG AM Fixed Income Dollar Fund</t>
  </si>
  <si>
    <t>Greenwich Fixed Income Dollar Fund</t>
  </si>
  <si>
    <t>Vetiva USD Fixed Income Fund</t>
  </si>
  <si>
    <t>D'Namaz Halal Fixed Income Fund</t>
  </si>
  <si>
    <t>D'Namaz Capital Limited</t>
  </si>
  <si>
    <t xml:space="preserve"> </t>
  </si>
  <si>
    <t>Samtl Mixed Income Fund</t>
  </si>
  <si>
    <t>Zedcrest Equity Fund</t>
  </si>
  <si>
    <t>Fundvine Money Market Fund</t>
  </si>
  <si>
    <t>Fundvine Berkshire Asset Management Limited</t>
  </si>
  <si>
    <t>Apel Wealth Money Market Fund</t>
  </si>
  <si>
    <t>Apel Wealth Management Limited</t>
  </si>
  <si>
    <t>Alpha10 Money Market Fund</t>
  </si>
  <si>
    <t>Alpha10 Fund Management Limited</t>
  </si>
  <si>
    <t>SCM Capital Money Market Fund</t>
  </si>
  <si>
    <t>First Ally Money Market Fund</t>
  </si>
  <si>
    <t>United Capital Nigerian Eurobond Fund</t>
  </si>
  <si>
    <t>Alpha10 Dollar Fund</t>
  </si>
  <si>
    <t>United Capital Wealth For Women Fund</t>
  </si>
  <si>
    <t>CFG Ethical Fund</t>
  </si>
  <si>
    <t>CFG Asset Management Limited</t>
  </si>
  <si>
    <t>MONTHLY UPDATE ON REGISTERED MUTUAL FUNDS AS AT 30TH APRIL, 2026</t>
  </si>
  <si>
    <t>FCMBAM Equity Fund</t>
  </si>
  <si>
    <t>First Asset Nigeria Smart Beta Equity Fund</t>
  </si>
  <si>
    <t>First Asset Money Market Fund</t>
  </si>
  <si>
    <t>FCMBAM Money Market Fund</t>
  </si>
  <si>
    <t>First Asset Dollar Fund</t>
  </si>
  <si>
    <t>First Asset Specialized Dollar Fund</t>
  </si>
  <si>
    <t>FCMBAM USD Bond Fund</t>
  </si>
  <si>
    <t>First Asset Balanced Fund</t>
  </si>
  <si>
    <t>First Asset Halal Fund</t>
  </si>
  <si>
    <t>First Asset Blended Dollar Fund</t>
  </si>
  <si>
    <t>NET ASSET VALUE (N) PREVIOUS - MARCH</t>
  </si>
  <si>
    <t>Myrtle Nest(MyNest Money Market Fund)</t>
  </si>
  <si>
    <t>Myrtle Dollar Shield Fund</t>
  </si>
  <si>
    <t>Myrtle asset Management Limited</t>
  </si>
  <si>
    <t>Myrtle Balanced Plus Fund</t>
  </si>
  <si>
    <t>Myrtle Asset Management and Trust Limited</t>
  </si>
  <si>
    <r>
      <t>US$/NG</t>
    </r>
    <r>
      <rPr>
        <strike/>
        <sz val="8"/>
        <color theme="0"/>
        <rFont val="Times New Roman"/>
        <family val="1"/>
      </rPr>
      <t>N</t>
    </r>
    <r>
      <rPr>
        <sz val="8"/>
        <color theme="0"/>
        <rFont val="Times New Roman"/>
        <family val="1"/>
      </rPr>
      <t xml:space="preserve"> NFEM as at 30th April, 2026 = N1374.9431</t>
    </r>
  </si>
  <si>
    <t>ValuAlliance Specialized Dollar Fund</t>
  </si>
  <si>
    <t>Chapel Hill Denham Nigeria Bond Fund</t>
  </si>
  <si>
    <t>FCMBAM Debt Fund</t>
  </si>
  <si>
    <t>First Asset Management Limited</t>
  </si>
  <si>
    <t>First Asset Bond Fund</t>
  </si>
  <si>
    <t>Zenith Money Market Fund</t>
  </si>
  <si>
    <t>AVA GAM Fixed Income Naira Fund</t>
  </si>
  <si>
    <t>April 2026</t>
  </si>
  <si>
    <t>Mar 2026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</si>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</sst>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_);\(&quot;$&quot;#,##0\)"/>
    <numFmt numFmtId="43" formatCode="_(* #,##0.00_);_(* \(#,##0.00\);_(* &quot;-&quot;??_);_(@_)"/>
    <numFmt numFmtId="164" formatCode="_-* #,##0.00_-;\-* #,##0.00_-;_-* &quot;-&quot;??_-;_-@_-"/>
    <numFmt numFmtId="165" formatCode="0;[Red]0"/>
    <numFmt numFmtId="166" formatCode="mmm\-yyyy"/>
    <numFmt numFmtId="167" formatCode="dd/mm/yy;@"/>
    <numFmt numFmtId="168" formatCode="[$-409]d\-mmm\-yy;@"/>
    <numFmt numFmtId="169" formatCode="&quot;Yes&quot;;&quot;Yes&quot;;&quot;No&quot;"/>
    <numFmt numFmtId="170" formatCode="0.00_)"/>
    <numFmt numFmtId="171" formatCode="_(* #,##0_);_(* \(#,##0\);_(* &quot;-&quot;??_);_(@_)"/>
    <numFmt numFmtId="172" formatCode="&quot; &quot;* #,##0.00&quot; &quot;;&quot;-&quot;* #,##0.00&quot; &quot;;&quot; &quot;* &quot;-&quot;??&quot; &quot;"/>
    <numFmt numFmtId="173" formatCode="&quot; &quot;* #,##0&quot; &quot;;&quot;-&quot;* #,##0&quot; &quot;;&quot; &quot;* &quot;-&quot;??&quot; &quot;"/>
    <numFmt numFmtId="174" formatCode="_-* #,##0_-;\-* #,##0_-;_-* &quot;-&quot;??_-;_-@_-"/>
    <numFmt numFmtId="175" formatCode="&quot; &quot;* #,##0.00&quot; &quot;;&quot; &quot;* \(#,##0.00\);&quot; &quot;* &quot;-&quot;??&quot; &quot;"/>
  </numFmts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entury Gothic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rgb="FF9C5700"/>
      <name val="Calibri"/>
      <family val="2"/>
      <scheme val="minor"/>
    </font>
    <font>
      <b/>
      <i/>
      <sz val="16"/>
      <name val="Helv"/>
      <charset val="134"/>
    </font>
    <font>
      <sz val="10"/>
      <color theme="1"/>
      <name val="Futura Bk BT"/>
      <family val="2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sz val="8"/>
      <name val="Century Gothic"/>
      <family val="2"/>
    </font>
    <font>
      <b/>
      <sz val="8"/>
      <name val="Century Gothic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28"/>
      <color theme="0"/>
      <name val="Segoe UI Black"/>
      <family val="2"/>
    </font>
    <font>
      <sz val="10"/>
      <color theme="0"/>
      <name val="Arial Narrow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12"/>
      <name val="Arial Narrow"/>
      <family val="2"/>
    </font>
    <font>
      <sz val="10"/>
      <name val="Century Gothic"/>
      <family val="2"/>
    </font>
    <font>
      <sz val="8"/>
      <color rgb="FF424242"/>
      <name val="Arial"/>
      <family val="2"/>
    </font>
    <font>
      <sz val="10"/>
      <name val="Arial Narrow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8"/>
      <color theme="0"/>
      <name val="Times New Roman"/>
      <family val="1"/>
    </font>
    <font>
      <sz val="8"/>
      <color theme="0"/>
      <name val="Times New Roman"/>
      <family val="1"/>
    </font>
    <font>
      <strike/>
      <sz val="8"/>
      <color theme="0"/>
      <name val="Times New Roman"/>
      <family val="1"/>
    </font>
    <font>
      <sz val="8"/>
      <color theme="1"/>
      <name val="Century Gothic"/>
      <family val="2"/>
    </font>
    <font>
      <sz val="8.4"/>
      <color rgb="FF000000"/>
      <name val="Calibri"/>
      <family val="2"/>
      <scheme val="minor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  <font>
      <sz val="8"/>
      <color theme="0"/>
      <name val="Century Gothic"/>
      <family val="2"/>
    </font>
    <font>
      <sz val="11"/>
      <color theme="0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7985778374584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65">
    <xf numFmtId="0" fontId="0" fillId="0" borderId="0"/>
    <xf numFmtId="164" fontId="10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65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5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27" borderId="0" applyNumberFormat="0" applyBorder="0" applyAlignment="0" applyProtection="0"/>
    <xf numFmtId="17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9" fontId="6" fillId="0" borderId="0"/>
    <xf numFmtId="49" fontId="6" fillId="0" borderId="0"/>
    <xf numFmtId="49" fontId="6" fillId="0" borderId="0"/>
    <xf numFmtId="49" fontId="6" fillId="0" borderId="0"/>
    <xf numFmtId="0" fontId="6" fillId="0" borderId="0"/>
    <xf numFmtId="37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0" fontId="10" fillId="28" borderId="3" applyNumberFormat="0" applyFont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9" fontId="27" fillId="0" borderId="0" applyFont="0" applyFill="0" applyBorder="0" applyAlignment="0" applyProtection="0"/>
  </cellStyleXfs>
  <cellXfs count="174">
    <xf numFmtId="0" fontId="0" fillId="0" borderId="0" xfId="0"/>
    <xf numFmtId="0" fontId="2" fillId="2" borderId="0" xfId="0" applyFont="1" applyFill="1" applyAlignment="1">
      <alignment wrapText="1"/>
    </xf>
    <xf numFmtId="0" fontId="4" fillId="0" borderId="0" xfId="0" applyFont="1"/>
    <xf numFmtId="0" fontId="5" fillId="3" borderId="0" xfId="0" applyFont="1" applyFill="1"/>
    <xf numFmtId="0" fontId="5" fillId="0" borderId="0" xfId="0" applyFont="1"/>
    <xf numFmtId="0" fontId="9" fillId="0" borderId="0" xfId="0" applyFont="1"/>
    <xf numFmtId="0" fontId="5" fillId="2" borderId="0" xfId="0" applyFont="1" applyFill="1"/>
    <xf numFmtId="164" fontId="5" fillId="2" borderId="0" xfId="1" applyFont="1" applyFill="1" applyBorder="1" applyAlignment="1"/>
    <xf numFmtId="172" fontId="8" fillId="2" borderId="0" xfId="0" applyNumberFormat="1" applyFont="1" applyFill="1"/>
    <xf numFmtId="175" fontId="8" fillId="2" borderId="0" xfId="0" applyNumberFormat="1" applyFont="1" applyFill="1"/>
    <xf numFmtId="164" fontId="18" fillId="2" borderId="2" xfId="1" applyFont="1" applyFill="1" applyBorder="1"/>
    <xf numFmtId="172" fontId="18" fillId="2" borderId="2" xfId="0" applyNumberFormat="1" applyFont="1" applyFill="1" applyBorder="1" applyAlignment="1">
      <alignment horizontal="right"/>
    </xf>
    <xf numFmtId="164" fontId="18" fillId="2" borderId="2" xfId="1" applyFont="1" applyFill="1" applyBorder="1" applyAlignment="1"/>
    <xf numFmtId="10" fontId="18" fillId="2" borderId="2" xfId="0" applyNumberFormat="1" applyFont="1" applyFill="1" applyBorder="1" applyAlignment="1">
      <alignment horizontal="center"/>
    </xf>
    <xf numFmtId="0" fontId="20" fillId="2" borderId="0" xfId="0" applyFont="1" applyFill="1"/>
    <xf numFmtId="0" fontId="21" fillId="0" borderId="0" xfId="0" applyFont="1"/>
    <xf numFmtId="164" fontId="18" fillId="2" borderId="2" xfId="1" applyFont="1" applyFill="1" applyBorder="1" applyAlignment="1">
      <alignment horizontal="right"/>
    </xf>
    <xf numFmtId="164" fontId="18" fillId="0" borderId="2" xfId="1" applyFont="1" applyBorder="1"/>
    <xf numFmtId="164" fontId="18" fillId="0" borderId="2" xfId="1" applyFont="1" applyFill="1" applyBorder="1"/>
    <xf numFmtId="49" fontId="18" fillId="2" borderId="2" xfId="0" applyNumberFormat="1" applyFont="1" applyFill="1" applyBorder="1" applyAlignment="1">
      <alignment wrapText="1"/>
    </xf>
    <xf numFmtId="10" fontId="19" fillId="6" borderId="2" xfId="0" applyNumberFormat="1" applyFont="1" applyFill="1" applyBorder="1" applyAlignment="1">
      <alignment horizontal="center" vertical="center"/>
    </xf>
    <xf numFmtId="10" fontId="18" fillId="6" borderId="2" xfId="0" applyNumberFormat="1" applyFont="1" applyFill="1" applyBorder="1" applyAlignment="1">
      <alignment horizontal="center" vertical="center"/>
    </xf>
    <xf numFmtId="172" fontId="18" fillId="6" borderId="2" xfId="0" applyNumberFormat="1" applyFont="1" applyFill="1" applyBorder="1" applyAlignment="1">
      <alignment horizontal="right" vertical="center"/>
    </xf>
    <xf numFmtId="172" fontId="18" fillId="2" borderId="2" xfId="0" applyNumberFormat="1" applyFont="1" applyFill="1" applyBorder="1"/>
    <xf numFmtId="172" fontId="18" fillId="6" borderId="2" xfId="0" applyNumberFormat="1" applyFont="1" applyFill="1" applyBorder="1" applyAlignment="1">
      <alignment horizontal="center" vertical="center"/>
    </xf>
    <xf numFmtId="164" fontId="18" fillId="2" borderId="2" xfId="1" applyFont="1" applyFill="1" applyBorder="1" applyAlignment="1">
      <alignment wrapText="1"/>
    </xf>
    <xf numFmtId="172" fontId="19" fillId="2" borderId="2" xfId="0" applyNumberFormat="1" applyFont="1" applyFill="1" applyBorder="1"/>
    <xf numFmtId="164" fontId="18" fillId="2" borderId="2" xfId="1" applyFont="1" applyFill="1" applyBorder="1" applyAlignment="1">
      <alignment horizontal="right" vertical="top" wrapText="1"/>
    </xf>
    <xf numFmtId="164" fontId="18" fillId="2" borderId="2" xfId="1" applyFont="1" applyFill="1" applyBorder="1" applyAlignment="1">
      <alignment horizontal="center" vertical="top" wrapText="1"/>
    </xf>
    <xf numFmtId="164" fontId="18" fillId="2" borderId="2" xfId="1" applyFont="1" applyFill="1" applyBorder="1" applyAlignment="1">
      <alignment horizontal="left"/>
    </xf>
    <xf numFmtId="49" fontId="7" fillId="5" borderId="2" xfId="0" applyNumberFormat="1" applyFont="1" applyFill="1" applyBorder="1" applyAlignment="1">
      <alignment horizontal="center" vertical="top" wrapText="1"/>
    </xf>
    <xf numFmtId="171" fontId="18" fillId="0" borderId="2" xfId="0" applyNumberFormat="1" applyFont="1" applyBorder="1"/>
    <xf numFmtId="174" fontId="18" fillId="0" borderId="2" xfId="0" applyNumberFormat="1" applyFont="1" applyBorder="1"/>
    <xf numFmtId="164" fontId="7" fillId="5" borderId="2" xfId="1" applyFont="1" applyFill="1" applyBorder="1" applyAlignment="1">
      <alignment horizontal="center" vertical="top" wrapText="1"/>
    </xf>
    <xf numFmtId="10" fontId="19" fillId="2" borderId="2" xfId="0" applyNumberFormat="1" applyFont="1" applyFill="1" applyBorder="1" applyAlignment="1">
      <alignment horizontal="center"/>
    </xf>
    <xf numFmtId="172" fontId="19" fillId="6" borderId="2" xfId="0" applyNumberFormat="1" applyFont="1" applyFill="1" applyBorder="1" applyAlignment="1">
      <alignment horizontal="right" vertical="center"/>
    </xf>
    <xf numFmtId="164" fontId="19" fillId="2" borderId="2" xfId="1" applyFont="1" applyFill="1" applyBorder="1"/>
    <xf numFmtId="172" fontId="19" fillId="6" borderId="2" xfId="0" applyNumberFormat="1" applyFont="1" applyFill="1" applyBorder="1" applyAlignment="1">
      <alignment horizontal="center" vertical="center"/>
    </xf>
    <xf numFmtId="164" fontId="19" fillId="2" borderId="2" xfId="1" applyFont="1" applyFill="1" applyBorder="1" applyAlignment="1"/>
    <xf numFmtId="164" fontId="19" fillId="2" borderId="2" xfId="1" applyFont="1" applyFill="1" applyBorder="1" applyAlignment="1">
      <alignment wrapText="1"/>
    </xf>
    <xf numFmtId="10" fontId="19" fillId="6" borderId="2" xfId="0" applyNumberFormat="1" applyFont="1" applyFill="1" applyBorder="1" applyAlignment="1">
      <alignment horizontal="right" vertical="center"/>
    </xf>
    <xf numFmtId="173" fontId="18" fillId="2" borderId="2" xfId="0" applyNumberFormat="1" applyFont="1" applyFill="1" applyBorder="1"/>
    <xf numFmtId="164" fontId="18" fillId="0" borderId="2" xfId="1" applyFont="1" applyBorder="1" applyAlignment="1"/>
    <xf numFmtId="164" fontId="18" fillId="7" borderId="2" xfId="1" applyFont="1" applyFill="1" applyBorder="1"/>
    <xf numFmtId="164" fontId="18" fillId="0" borderId="2" xfId="1" applyFont="1" applyFill="1" applyBorder="1" applyAlignment="1">
      <alignment horizontal="right"/>
    </xf>
    <xf numFmtId="4" fontId="23" fillId="2" borderId="0" xfId="0" applyNumberFormat="1" applyFont="1" applyFill="1"/>
    <xf numFmtId="4" fontId="23" fillId="2" borderId="0" xfId="0" applyNumberFormat="1" applyFont="1" applyFill="1" applyAlignment="1">
      <alignment horizontal="right"/>
    </xf>
    <xf numFmtId="0" fontId="22" fillId="0" borderId="0" xfId="0" applyFont="1" applyAlignment="1">
      <alignment horizontal="right"/>
    </xf>
    <xf numFmtId="164" fontId="23" fillId="2" borderId="0" xfId="1" applyFont="1" applyFill="1" applyBorder="1" applyAlignment="1">
      <alignment horizontal="right" vertical="top" wrapText="1"/>
    </xf>
    <xf numFmtId="164" fontId="19" fillId="2" borderId="2" xfId="1" applyFont="1" applyFill="1" applyBorder="1" applyAlignment="1">
      <alignment horizontal="left"/>
    </xf>
    <xf numFmtId="164" fontId="18" fillId="0" borderId="2" xfId="1" applyFont="1" applyFill="1" applyBorder="1" applyAlignment="1" applyProtection="1"/>
    <xf numFmtId="0" fontId="26" fillId="2" borderId="0" xfId="0" applyFont="1" applyFill="1"/>
    <xf numFmtId="164" fontId="18" fillId="2" borderId="2" xfId="1" applyFont="1" applyFill="1" applyBorder="1" applyAlignment="1">
      <alignment horizontal="center" wrapText="1"/>
    </xf>
    <xf numFmtId="10" fontId="18" fillId="2" borderId="2" xfId="464" applyNumberFormat="1" applyFont="1" applyFill="1" applyBorder="1" applyAlignment="1">
      <alignment horizontal="center" wrapText="1"/>
    </xf>
    <xf numFmtId="0" fontId="25" fillId="2" borderId="0" xfId="0" applyFont="1" applyFill="1" applyAlignment="1">
      <alignment horizontal="left"/>
    </xf>
    <xf numFmtId="10" fontId="19" fillId="2" borderId="2" xfId="0" applyNumberFormat="1" applyFont="1" applyFill="1" applyBorder="1"/>
    <xf numFmtId="10" fontId="19" fillId="2" borderId="2" xfId="0" applyNumberFormat="1" applyFont="1" applyFill="1" applyBorder="1" applyAlignment="1">
      <alignment horizontal="right" vertical="center"/>
    </xf>
    <xf numFmtId="172" fontId="19" fillId="2" borderId="2" xfId="0" applyNumberFormat="1" applyFont="1" applyFill="1" applyBorder="1" applyAlignment="1">
      <alignment horizontal="right" vertical="center"/>
    </xf>
    <xf numFmtId="164" fontId="18" fillId="2" borderId="6" xfId="1" applyFont="1" applyFill="1" applyBorder="1" applyAlignment="1">
      <alignment horizontal="right"/>
    </xf>
    <xf numFmtId="49" fontId="19" fillId="2" borderId="2" xfId="0" applyNumberFormat="1" applyFont="1" applyFill="1" applyBorder="1" applyAlignment="1">
      <alignment horizontal="right"/>
    </xf>
    <xf numFmtId="173" fontId="18" fillId="2" borderId="2" xfId="0" applyNumberFormat="1" applyFont="1" applyFill="1" applyBorder="1" applyAlignment="1">
      <alignment horizontal="center" wrapText="1"/>
    </xf>
    <xf numFmtId="0" fontId="29" fillId="0" borderId="0" xfId="0" applyFont="1" applyAlignment="1">
      <alignment horizontal="right"/>
    </xf>
    <xf numFmtId="0" fontId="30" fillId="29" borderId="0" xfId="0" applyFont="1" applyFill="1"/>
    <xf numFmtId="164" fontId="7" fillId="29" borderId="0" xfId="1" applyFont="1" applyFill="1"/>
    <xf numFmtId="164" fontId="30" fillId="29" borderId="0" xfId="1" applyFont="1" applyFill="1"/>
    <xf numFmtId="164" fontId="28" fillId="5" borderId="2" xfId="1" applyFont="1" applyFill="1" applyBorder="1"/>
    <xf numFmtId="10" fontId="28" fillId="5" borderId="2" xfId="0" applyNumberFormat="1" applyFont="1" applyFill="1" applyBorder="1"/>
    <xf numFmtId="10" fontId="28" fillId="5" borderId="2" xfId="0" applyNumberFormat="1" applyFont="1" applyFill="1" applyBorder="1" applyAlignment="1">
      <alignment horizontal="right" vertical="center"/>
    </xf>
    <xf numFmtId="172" fontId="28" fillId="5" borderId="2" xfId="0" applyNumberFormat="1" applyFont="1" applyFill="1" applyBorder="1" applyAlignment="1">
      <alignment horizontal="right" vertical="center"/>
    </xf>
    <xf numFmtId="164" fontId="18" fillId="2" borderId="2" xfId="1" applyFont="1" applyFill="1" applyBorder="1" applyAlignment="1">
      <alignment horizontal="right" wrapText="1"/>
    </xf>
    <xf numFmtId="164" fontId="28" fillId="2" borderId="2" xfId="1" applyFont="1" applyFill="1" applyBorder="1"/>
    <xf numFmtId="0" fontId="31" fillId="0" borderId="0" xfId="0" applyFont="1"/>
    <xf numFmtId="4" fontId="18" fillId="2" borderId="2" xfId="0" applyNumberFormat="1" applyFont="1" applyFill="1" applyBorder="1" applyAlignment="1">
      <alignment wrapText="1"/>
    </xf>
    <xf numFmtId="0" fontId="18" fillId="2" borderId="2" xfId="0" applyFont="1" applyFill="1" applyBorder="1" applyAlignment="1">
      <alignment wrapText="1"/>
    </xf>
    <xf numFmtId="164" fontId="18" fillId="2" borderId="0" xfId="1" applyFont="1" applyFill="1" applyBorder="1" applyAlignment="1">
      <alignment wrapText="1"/>
    </xf>
    <xf numFmtId="2" fontId="18" fillId="2" borderId="2" xfId="0" applyNumberFormat="1" applyFont="1" applyFill="1" applyBorder="1"/>
    <xf numFmtId="2" fontId="18" fillId="2" borderId="2" xfId="0" applyNumberFormat="1" applyFont="1" applyFill="1" applyBorder="1" applyAlignment="1">
      <alignment wrapText="1"/>
    </xf>
    <xf numFmtId="49" fontId="18" fillId="2" borderId="2" xfId="0" applyNumberFormat="1" applyFont="1" applyFill="1" applyBorder="1"/>
    <xf numFmtId="2" fontId="18" fillId="2" borderId="2" xfId="463" applyNumberFormat="1" applyFont="1" applyFill="1" applyBorder="1" applyAlignment="1">
      <alignment wrapText="1"/>
    </xf>
    <xf numFmtId="164" fontId="18" fillId="2" borderId="8" xfId="1" applyFont="1" applyFill="1" applyBorder="1" applyAlignment="1">
      <alignment wrapText="1"/>
    </xf>
    <xf numFmtId="164" fontId="18" fillId="2" borderId="2" xfId="1" applyFont="1" applyFill="1" applyBorder="1" applyAlignment="1">
      <alignment horizontal="left" vertical="top" wrapText="1"/>
    </xf>
    <xf numFmtId="49" fontId="18" fillId="2" borderId="2" xfId="0" applyNumberFormat="1" applyFont="1" applyFill="1" applyBorder="1" applyAlignment="1">
      <alignment vertical="center" wrapText="1"/>
    </xf>
    <xf numFmtId="0" fontId="32" fillId="0" borderId="0" xfId="0" applyFont="1"/>
    <xf numFmtId="164" fontId="32" fillId="0" borderId="0" xfId="1" applyFont="1" applyBorder="1"/>
    <xf numFmtId="4" fontId="32" fillId="2" borderId="0" xfId="0" applyNumberFormat="1" applyFont="1" applyFill="1"/>
    <xf numFmtId="164" fontId="19" fillId="2" borderId="2" xfId="1" applyFont="1" applyFill="1" applyBorder="1" applyAlignment="1">
      <alignment horizontal="right"/>
    </xf>
    <xf numFmtId="0" fontId="34" fillId="0" borderId="0" xfId="0" applyFont="1"/>
    <xf numFmtId="0" fontId="35" fillId="0" borderId="1" xfId="0" applyFont="1" applyBorder="1" applyAlignment="1">
      <alignment horizontal="right"/>
    </xf>
    <xf numFmtId="0" fontId="33" fillId="0" borderId="0" xfId="0" applyFont="1" applyAlignment="1">
      <alignment horizontal="right"/>
    </xf>
    <xf numFmtId="0" fontId="36" fillId="0" borderId="1" xfId="0" applyFont="1" applyBorder="1" applyAlignment="1">
      <alignment horizontal="right"/>
    </xf>
    <xf numFmtId="171" fontId="34" fillId="0" borderId="0" xfId="200" applyNumberFormat="1" applyFont="1"/>
    <xf numFmtId="0" fontId="36" fillId="0" borderId="0" xfId="0" applyFont="1" applyAlignment="1">
      <alignment horizontal="right"/>
    </xf>
    <xf numFmtId="174" fontId="34" fillId="0" borderId="0" xfId="1" applyNumberFormat="1" applyFont="1"/>
    <xf numFmtId="0" fontId="37" fillId="9" borderId="0" xfId="0" applyFont="1" applyFill="1" applyAlignment="1">
      <alignment horizontal="right" vertical="center"/>
    </xf>
    <xf numFmtId="0" fontId="38" fillId="9" borderId="0" xfId="0" applyFont="1" applyFill="1" applyAlignment="1">
      <alignment horizontal="left"/>
    </xf>
    <xf numFmtId="4" fontId="9" fillId="0" borderId="0" xfId="0" applyNumberFormat="1" applyFont="1"/>
    <xf numFmtId="164" fontId="9" fillId="0" borderId="0" xfId="1" applyFont="1"/>
    <xf numFmtId="173" fontId="18" fillId="2" borderId="2" xfId="0" applyNumberFormat="1" applyFont="1" applyFill="1" applyBorder="1" applyAlignment="1">
      <alignment horizontal="center" wrapText="1"/>
    </xf>
    <xf numFmtId="173" fontId="18" fillId="2" borderId="2" xfId="0" applyNumberFormat="1" applyFont="1" applyFill="1" applyBorder="1" applyAlignment="1">
      <alignment horizontal="center" wrapText="1"/>
    </xf>
    <xf numFmtId="174" fontId="18" fillId="2" borderId="2" xfId="1" applyNumberFormat="1" applyFont="1" applyFill="1" applyBorder="1" applyAlignment="1">
      <alignment horizontal="center" wrapText="1"/>
    </xf>
    <xf numFmtId="174" fontId="18" fillId="2" borderId="4" xfId="1" applyNumberFormat="1" applyFont="1" applyFill="1" applyBorder="1" applyAlignment="1">
      <alignment horizontal="right" wrapText="1"/>
    </xf>
    <xf numFmtId="174" fontId="18" fillId="2" borderId="2" xfId="1" applyNumberFormat="1" applyFont="1" applyFill="1" applyBorder="1" applyAlignment="1">
      <alignment horizontal="right"/>
    </xf>
    <xf numFmtId="0" fontId="18" fillId="2" borderId="2" xfId="0" applyFont="1" applyFill="1" applyBorder="1" applyAlignment="1">
      <alignment horizontal="right" wrapText="1"/>
    </xf>
    <xf numFmtId="173" fontId="18" fillId="2" borderId="2" xfId="0" applyNumberFormat="1" applyFont="1" applyFill="1" applyBorder="1" applyAlignment="1">
      <alignment horizontal="center" wrapText="1"/>
    </xf>
    <xf numFmtId="173" fontId="40" fillId="2" borderId="2" xfId="0" applyNumberFormat="1" applyFont="1" applyFill="1" applyBorder="1" applyAlignment="1">
      <alignment horizontal="center" wrapText="1"/>
    </xf>
    <xf numFmtId="49" fontId="40" fillId="2" borderId="2" xfId="0" applyNumberFormat="1" applyFont="1" applyFill="1" applyBorder="1" applyAlignment="1">
      <alignment wrapText="1"/>
    </xf>
    <xf numFmtId="4" fontId="40" fillId="2" borderId="2" xfId="0" applyNumberFormat="1" applyFont="1" applyFill="1" applyBorder="1" applyAlignment="1">
      <alignment wrapText="1"/>
    </xf>
    <xf numFmtId="49" fontId="40" fillId="2" borderId="2" xfId="0" applyNumberFormat="1" applyFont="1" applyFill="1" applyBorder="1" applyAlignment="1">
      <alignment vertical="center" wrapText="1"/>
    </xf>
    <xf numFmtId="173" fontId="18" fillId="2" borderId="2" xfId="0" applyNumberFormat="1" applyFont="1" applyFill="1" applyBorder="1" applyAlignment="1">
      <alignment horizontal="center" wrapText="1"/>
    </xf>
    <xf numFmtId="173" fontId="18" fillId="2" borderId="2" xfId="0" applyNumberFormat="1" applyFont="1" applyFill="1" applyBorder="1" applyAlignment="1">
      <alignment horizontal="right" wrapText="1"/>
    </xf>
    <xf numFmtId="173" fontId="18" fillId="2" borderId="2" xfId="0" applyNumberFormat="1" applyFont="1" applyFill="1" applyBorder="1" applyAlignment="1">
      <alignment horizontal="center" wrapText="1"/>
    </xf>
    <xf numFmtId="173" fontId="40" fillId="2" borderId="2" xfId="0" applyNumberFormat="1" applyFont="1" applyFill="1" applyBorder="1" applyAlignment="1">
      <alignment horizontal="right" wrapText="1"/>
    </xf>
    <xf numFmtId="174" fontId="40" fillId="2" borderId="2" xfId="1" applyNumberFormat="1" applyFont="1" applyFill="1" applyBorder="1" applyAlignment="1">
      <alignment horizontal="center" wrapText="1"/>
    </xf>
    <xf numFmtId="164" fontId="40" fillId="2" borderId="2" xfId="1" applyFont="1" applyFill="1" applyBorder="1" applyAlignment="1">
      <alignment wrapText="1"/>
    </xf>
    <xf numFmtId="164" fontId="40" fillId="2" borderId="2" xfId="1" applyFont="1" applyFill="1" applyBorder="1"/>
    <xf numFmtId="0" fontId="41" fillId="0" borderId="0" xfId="0" applyFont="1"/>
    <xf numFmtId="2" fontId="40" fillId="2" borderId="2" xfId="0" applyNumberFormat="1" applyFont="1" applyFill="1" applyBorder="1" applyAlignment="1">
      <alignment wrapText="1"/>
    </xf>
    <xf numFmtId="174" fontId="40" fillId="2" borderId="2" xfId="1" applyNumberFormat="1" applyFont="1" applyFill="1" applyBorder="1" applyAlignment="1">
      <alignment horizontal="right"/>
    </xf>
    <xf numFmtId="164" fontId="40" fillId="2" borderId="2" xfId="1" applyFont="1" applyFill="1" applyBorder="1" applyAlignment="1">
      <alignment horizontal="left" vertical="top" wrapText="1"/>
    </xf>
    <xf numFmtId="173" fontId="18" fillId="2" borderId="2" xfId="0" applyNumberFormat="1" applyFont="1" applyFill="1" applyBorder="1" applyAlignment="1">
      <alignment horizontal="center" wrapText="1"/>
    </xf>
    <xf numFmtId="173" fontId="18" fillId="2" borderId="2" xfId="0" applyNumberFormat="1" applyFont="1" applyFill="1" applyBorder="1" applyAlignment="1">
      <alignment horizontal="center" wrapText="1"/>
    </xf>
    <xf numFmtId="174" fontId="18" fillId="2" borderId="2" xfId="1" applyNumberFormat="1" applyFont="1" applyFill="1" applyBorder="1" applyAlignment="1">
      <alignment horizontal="right" vertical="center" wrapText="1"/>
    </xf>
    <xf numFmtId="173" fontId="18" fillId="2" borderId="2" xfId="0" applyNumberFormat="1" applyFont="1" applyFill="1" applyBorder="1" applyAlignment="1">
      <alignment horizontal="center" wrapText="1"/>
    </xf>
    <xf numFmtId="173" fontId="18" fillId="2" borderId="2" xfId="0" applyNumberFormat="1" applyFont="1" applyFill="1" applyBorder="1" applyAlignment="1">
      <alignment horizontal="center" wrapText="1"/>
    </xf>
    <xf numFmtId="173" fontId="18" fillId="2" borderId="2" xfId="0" applyNumberFormat="1" applyFont="1" applyFill="1" applyBorder="1" applyAlignment="1">
      <alignment horizontal="center" wrapText="1"/>
    </xf>
    <xf numFmtId="164" fontId="19" fillId="2" borderId="2" xfId="1" applyFont="1" applyFill="1" applyBorder="1" applyAlignment="1">
      <alignment horizontal="right"/>
    </xf>
    <xf numFmtId="164" fontId="7" fillId="29" borderId="2" xfId="1" applyFont="1" applyFill="1" applyBorder="1" applyAlignment="1">
      <alignment horizontal="right"/>
    </xf>
    <xf numFmtId="49" fontId="7" fillId="2" borderId="2" xfId="0" applyNumberFormat="1" applyFont="1" applyFill="1" applyBorder="1" applyAlignment="1">
      <alignment horizontal="center"/>
    </xf>
    <xf numFmtId="49" fontId="24" fillId="4" borderId="2" xfId="0" applyNumberFormat="1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vertical="top" wrapText="1"/>
    </xf>
    <xf numFmtId="173" fontId="19" fillId="2" borderId="2" xfId="0" applyNumberFormat="1" applyFont="1" applyFill="1" applyBorder="1" applyAlignment="1">
      <alignment horizontal="center"/>
    </xf>
    <xf numFmtId="49" fontId="19" fillId="2" borderId="2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 wrapText="1"/>
    </xf>
    <xf numFmtId="49" fontId="7" fillId="2" borderId="6" xfId="0" applyNumberFormat="1" applyFont="1" applyFill="1" applyBorder="1" applyAlignment="1">
      <alignment horizontal="center" vertical="top" wrapText="1"/>
    </xf>
    <xf numFmtId="172" fontId="28" fillId="2" borderId="2" xfId="0" applyNumberFormat="1" applyFont="1" applyFill="1" applyBorder="1" applyAlignment="1">
      <alignment horizontal="center" wrapText="1"/>
    </xf>
    <xf numFmtId="173" fontId="18" fillId="2" borderId="2" xfId="0" applyNumberFormat="1" applyFont="1" applyFill="1" applyBorder="1" applyAlignment="1">
      <alignment horizontal="center" wrapText="1"/>
    </xf>
    <xf numFmtId="172" fontId="28" fillId="2" borderId="4" xfId="0" applyNumberFormat="1" applyFont="1" applyFill="1" applyBorder="1" applyAlignment="1">
      <alignment horizontal="center" wrapText="1"/>
    </xf>
    <xf numFmtId="172" fontId="28" fillId="2" borderId="5" xfId="0" applyNumberFormat="1" applyFont="1" applyFill="1" applyBorder="1" applyAlignment="1">
      <alignment horizontal="center" wrapText="1"/>
    </xf>
    <xf numFmtId="172" fontId="28" fillId="2" borderId="6" xfId="0" applyNumberFormat="1" applyFont="1" applyFill="1" applyBorder="1" applyAlignment="1">
      <alignment horizontal="center" wrapText="1"/>
    </xf>
    <xf numFmtId="173" fontId="19" fillId="2" borderId="2" xfId="0" applyNumberFormat="1" applyFont="1" applyFill="1" applyBorder="1" applyAlignment="1">
      <alignment horizontal="center" wrapText="1"/>
    </xf>
    <xf numFmtId="49" fontId="28" fillId="5" borderId="2" xfId="0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wrapText="1"/>
    </xf>
    <xf numFmtId="2" fontId="28" fillId="2" borderId="2" xfId="0" applyNumberFormat="1" applyFont="1" applyFill="1" applyBorder="1" applyAlignment="1">
      <alignment horizontal="center" wrapText="1"/>
    </xf>
    <xf numFmtId="0" fontId="28" fillId="2" borderId="7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18" fillId="2" borderId="2" xfId="0" applyNumberFormat="1" applyFont="1" applyFill="1" applyBorder="1" applyAlignment="1">
      <alignment vertical="top" wrapText="1"/>
    </xf>
    <xf numFmtId="164" fontId="18" fillId="2" borderId="2" xfId="1" applyFont="1" applyFill="1" applyBorder="1" applyAlignment="1">
      <alignment vertical="top" wrapText="1"/>
    </xf>
    <xf numFmtId="174" fontId="18" fillId="2" borderId="2" xfId="1" applyNumberFormat="1" applyFont="1" applyFill="1" applyBorder="1" applyAlignment="1">
      <alignment horizontal="right" wrapText="1"/>
    </xf>
    <xf numFmtId="164" fontId="18" fillId="2" borderId="8" xfId="1" applyFont="1" applyFill="1" applyBorder="1"/>
    <xf numFmtId="4" fontId="18" fillId="2" borderId="9" xfId="0" applyNumberFormat="1" applyFont="1" applyFill="1" applyBorder="1" applyAlignment="1">
      <alignment wrapText="1"/>
    </xf>
    <xf numFmtId="0" fontId="18" fillId="2" borderId="9" xfId="0" applyFont="1" applyFill="1" applyBorder="1" applyAlignment="1">
      <alignment wrapText="1"/>
    </xf>
    <xf numFmtId="0" fontId="42" fillId="2" borderId="0" xfId="0" applyFont="1" applyFill="1" applyAlignment="1">
      <alignment horizontal="right"/>
    </xf>
    <xf numFmtId="16" fontId="42" fillId="2" borderId="0" xfId="0" quotePrefix="1" applyNumberFormat="1" applyFont="1" applyFill="1" applyAlignment="1">
      <alignment horizontal="right" wrapText="1"/>
    </xf>
    <xf numFmtId="0" fontId="42" fillId="2" borderId="0" xfId="0" applyFont="1" applyFill="1" applyAlignment="1">
      <alignment horizontal="right" wrapText="1"/>
    </xf>
    <xf numFmtId="2" fontId="25" fillId="2" borderId="0" xfId="0" applyNumberFormat="1" applyFont="1" applyFill="1"/>
    <xf numFmtId="2" fontId="25" fillId="0" borderId="0" xfId="0" applyNumberFormat="1" applyFont="1"/>
    <xf numFmtId="0" fontId="42" fillId="0" borderId="0" xfId="0" applyFont="1" applyAlignment="1">
      <alignment horizontal="right"/>
    </xf>
    <xf numFmtId="0" fontId="25" fillId="0" borderId="0" xfId="0" applyFont="1"/>
    <xf numFmtId="16" fontId="42" fillId="2" borderId="0" xfId="0" applyNumberFormat="1" applyFont="1" applyFill="1"/>
    <xf numFmtId="0" fontId="42" fillId="0" borderId="2" xfId="0" applyFont="1" applyBorder="1" applyAlignment="1">
      <alignment horizontal="right"/>
    </xf>
    <xf numFmtId="16" fontId="42" fillId="2" borderId="2" xfId="0" quotePrefix="1" applyNumberFormat="1" applyFont="1" applyFill="1" applyBorder="1" applyAlignment="1">
      <alignment horizontal="right"/>
    </xf>
    <xf numFmtId="164" fontId="25" fillId="2" borderId="2" xfId="1" applyFont="1" applyFill="1" applyBorder="1" applyAlignment="1">
      <alignment horizontal="right" vertical="top" wrapText="1"/>
    </xf>
    <xf numFmtId="164" fontId="25" fillId="2" borderId="2" xfId="1" applyFont="1" applyFill="1" applyBorder="1"/>
    <xf numFmtId="4" fontId="25" fillId="2" borderId="2" xfId="0" applyNumberFormat="1" applyFont="1" applyFill="1" applyBorder="1"/>
    <xf numFmtId="4" fontId="25" fillId="2" borderId="2" xfId="0" applyNumberFormat="1" applyFont="1" applyFill="1" applyBorder="1" applyAlignment="1">
      <alignment horizontal="right"/>
    </xf>
    <xf numFmtId="164" fontId="43" fillId="2" borderId="0" xfId="1" applyFont="1" applyFill="1" applyBorder="1"/>
    <xf numFmtId="43" fontId="34" fillId="0" borderId="0" xfId="200" applyFont="1" applyBorder="1"/>
    <xf numFmtId="4" fontId="43" fillId="2" borderId="0" xfId="0" applyNumberFormat="1" applyFont="1" applyFill="1"/>
    <xf numFmtId="4" fontId="43" fillId="2" borderId="0" xfId="0" applyNumberFormat="1" applyFont="1" applyFill="1" applyAlignment="1">
      <alignment horizontal="right"/>
    </xf>
    <xf numFmtId="172" fontId="44" fillId="2" borderId="0" xfId="0" applyNumberFormat="1" applyFont="1" applyFill="1"/>
    <xf numFmtId="0" fontId="45" fillId="0" borderId="0" xfId="0" applyFont="1" applyAlignment="1">
      <alignment horizontal="right"/>
    </xf>
    <xf numFmtId="4" fontId="45" fillId="2" borderId="0" xfId="0" applyNumberFormat="1" applyFont="1" applyFill="1" applyAlignment="1">
      <alignment horizontal="right"/>
    </xf>
  </cellXfs>
  <cellStyles count="465">
    <cellStyle name="20% - Accent1 2" xfId="2"/>
    <cellStyle name="20% - Accent1 2 2" xfId="3"/>
    <cellStyle name="20% - Accent1 2 3" xfId="4"/>
    <cellStyle name="20% - Accent1 3" xfId="5"/>
    <cellStyle name="20% - Accent1 3 2" xfId="6"/>
    <cellStyle name="20% - Accent1 3 3" xfId="7"/>
    <cellStyle name="20% - Accent1 4" xfId="8"/>
    <cellStyle name="20% - Accent1 4 2" xfId="9"/>
    <cellStyle name="20% - Accent1 5" xfId="10"/>
    <cellStyle name="20% - Accent1 6" xfId="11"/>
    <cellStyle name="20% - Accent2 2" xfId="12"/>
    <cellStyle name="20% - Accent2 2 2" xfId="13"/>
    <cellStyle name="20% - Accent2 2 3" xfId="14"/>
    <cellStyle name="20% - Accent2 3" xfId="15"/>
    <cellStyle name="20% - Accent2 3 2" xfId="16"/>
    <cellStyle name="20% - Accent2 3 3" xfId="17"/>
    <cellStyle name="20% - Accent2 4" xfId="18"/>
    <cellStyle name="20% - Accent2 4 2" xfId="19"/>
    <cellStyle name="20% - Accent2 5" xfId="20"/>
    <cellStyle name="20% - Accent2 6" xfId="21"/>
    <cellStyle name="20% - Accent3 2" xfId="22"/>
    <cellStyle name="20% - Accent3 2 2" xfId="23"/>
    <cellStyle name="20% - Accent3 2 3" xfId="24"/>
    <cellStyle name="20% - Accent3 3" xfId="25"/>
    <cellStyle name="20% - Accent3 3 2" xfId="26"/>
    <cellStyle name="20% - Accent3 3 3" xfId="27"/>
    <cellStyle name="20% - Accent3 4" xfId="28"/>
    <cellStyle name="20% - Accent3 4 2" xfId="29"/>
    <cellStyle name="20% - Accent3 5" xfId="30"/>
    <cellStyle name="20% - Accent3 6" xfId="31"/>
    <cellStyle name="20% - Accent4 2" xfId="32"/>
    <cellStyle name="20% - Accent4 2 2" xfId="33"/>
    <cellStyle name="20% - Accent4 2 3" xfId="34"/>
    <cellStyle name="20% - Accent4 3" xfId="35"/>
    <cellStyle name="20% - Accent4 3 2" xfId="36"/>
    <cellStyle name="20% - Accent4 3 3" xfId="37"/>
    <cellStyle name="20% - Accent4 4" xfId="38"/>
    <cellStyle name="20% - Accent4 4 2" xfId="39"/>
    <cellStyle name="20% - Accent4 5" xfId="40"/>
    <cellStyle name="20% - Accent4 6" xfId="41"/>
    <cellStyle name="20% - Accent5 2" xfId="42"/>
    <cellStyle name="20% - Accent5 2 2" xfId="43"/>
    <cellStyle name="20% - Accent5 2 3" xfId="44"/>
    <cellStyle name="20% - Accent5 3" xfId="45"/>
    <cellStyle name="20% - Accent5 3 2" xfId="46"/>
    <cellStyle name="20% - Accent5 3 3" xfId="47"/>
    <cellStyle name="20% - Accent5 4" xfId="48"/>
    <cellStyle name="20% - Accent5 4 2" xfId="49"/>
    <cellStyle name="20% - Accent5 5" xfId="50"/>
    <cellStyle name="20% - Accent5 6" xfId="51"/>
    <cellStyle name="20% - Accent6 2" xfId="52"/>
    <cellStyle name="20% - Accent6 2 2" xfId="53"/>
    <cellStyle name="20% - Accent6 2 3" xfId="54"/>
    <cellStyle name="20% - Accent6 3" xfId="55"/>
    <cellStyle name="20% - Accent6 3 2" xfId="56"/>
    <cellStyle name="20% - Accent6 3 3" xfId="57"/>
    <cellStyle name="20% - Accent6 4" xfId="58"/>
    <cellStyle name="20% - Accent6 4 2" xfId="59"/>
    <cellStyle name="20% - Accent6 5" xfId="60"/>
    <cellStyle name="20% - Accent6 6" xfId="61"/>
    <cellStyle name="40% - Accent1 2" xfId="62"/>
    <cellStyle name="40% - Accent1 2 2" xfId="63"/>
    <cellStyle name="40% - Accent1 2 3" xfId="64"/>
    <cellStyle name="40% - Accent1 3" xfId="65"/>
    <cellStyle name="40% - Accent1 3 2" xfId="66"/>
    <cellStyle name="40% - Accent1 3 3" xfId="67"/>
    <cellStyle name="40% - Accent1 4" xfId="68"/>
    <cellStyle name="40% - Accent1 4 2" xfId="69"/>
    <cellStyle name="40% - Accent1 5" xfId="70"/>
    <cellStyle name="40% - Accent1 6" xfId="71"/>
    <cellStyle name="40% - Accent2 2" xfId="72"/>
    <cellStyle name="40% - Accent2 2 2" xfId="73"/>
    <cellStyle name="40% - Accent2 2 3" xfId="74"/>
    <cellStyle name="40% - Accent2 3" xfId="75"/>
    <cellStyle name="40% - Accent2 3 2" xfId="76"/>
    <cellStyle name="40% - Accent2 3 3" xfId="77"/>
    <cellStyle name="40% - Accent2 4" xfId="78"/>
    <cellStyle name="40% - Accent2 4 2" xfId="79"/>
    <cellStyle name="40% - Accent2 5" xfId="80"/>
    <cellStyle name="40% - Accent2 6" xfId="81"/>
    <cellStyle name="40% - Accent3 2" xfId="82"/>
    <cellStyle name="40% - Accent3 2 2" xfId="83"/>
    <cellStyle name="40% - Accent3 2 3" xfId="84"/>
    <cellStyle name="40% - Accent3 3" xfId="85"/>
    <cellStyle name="40% - Accent3 3 2" xfId="86"/>
    <cellStyle name="40% - Accent3 3 3" xfId="87"/>
    <cellStyle name="40% - Accent3 4" xfId="88"/>
    <cellStyle name="40% - Accent3 4 2" xfId="89"/>
    <cellStyle name="40% - Accent3 5" xfId="90"/>
    <cellStyle name="40% - Accent3 6" xfId="91"/>
    <cellStyle name="40% - Accent4 2" xfId="92"/>
    <cellStyle name="40% - Accent4 2 2" xfId="93"/>
    <cellStyle name="40% - Accent4 2 3" xfId="94"/>
    <cellStyle name="40% - Accent4 3" xfId="95"/>
    <cellStyle name="40% - Accent4 3 2" xfId="96"/>
    <cellStyle name="40% - Accent4 3 3" xfId="97"/>
    <cellStyle name="40% - Accent4 4" xfId="98"/>
    <cellStyle name="40% - Accent4 4 2" xfId="99"/>
    <cellStyle name="40% - Accent4 5" xfId="100"/>
    <cellStyle name="40% - Accent4 6" xfId="101"/>
    <cellStyle name="40% - Accent5 2" xfId="102"/>
    <cellStyle name="40% - Accent5 2 2" xfId="103"/>
    <cellStyle name="40% - Accent5 2 3" xfId="104"/>
    <cellStyle name="40% - Accent5 3" xfId="105"/>
    <cellStyle name="40% - Accent5 3 2" xfId="106"/>
    <cellStyle name="40% - Accent5 3 3" xfId="107"/>
    <cellStyle name="40% - Accent5 4" xfId="108"/>
    <cellStyle name="40% - Accent5 4 2" xfId="109"/>
    <cellStyle name="40% - Accent5 5" xfId="110"/>
    <cellStyle name="40% - Accent5 6" xfId="111"/>
    <cellStyle name="40% - Accent6 2" xfId="112"/>
    <cellStyle name="40% - Accent6 2 2" xfId="113"/>
    <cellStyle name="40% - Accent6 2 3" xfId="114"/>
    <cellStyle name="40% - Accent6 3" xfId="115"/>
    <cellStyle name="40% - Accent6 3 2" xfId="116"/>
    <cellStyle name="40% - Accent6 3 3" xfId="117"/>
    <cellStyle name="40% - Accent6 4" xfId="118"/>
    <cellStyle name="40% - Accent6 4 2" xfId="119"/>
    <cellStyle name="40% - Accent6 5" xfId="120"/>
    <cellStyle name="40% - Accent6 6" xfId="121"/>
    <cellStyle name="60% - Accent1 2" xfId="122"/>
    <cellStyle name="60% - Accent1 2 2" xfId="123"/>
    <cellStyle name="60% - Accent1 2 3" xfId="124"/>
    <cellStyle name="60% - Accent1 3" xfId="125"/>
    <cellStyle name="60% - Accent1 3 2" xfId="126"/>
    <cellStyle name="60% - Accent1 3 3" xfId="127"/>
    <cellStyle name="60% - Accent1 4" xfId="128"/>
    <cellStyle name="60% - Accent1 4 2" xfId="129"/>
    <cellStyle name="60% - Accent1 5" xfId="130"/>
    <cellStyle name="60% - Accent1 6" xfId="131"/>
    <cellStyle name="60% - Accent2 2" xfId="132"/>
    <cellStyle name="60% - Accent2 2 2" xfId="133"/>
    <cellStyle name="60% - Accent2 2 3" xfId="134"/>
    <cellStyle name="60% - Accent2 3" xfId="135"/>
    <cellStyle name="60% - Accent2 3 2" xfId="136"/>
    <cellStyle name="60% - Accent2 3 3" xfId="137"/>
    <cellStyle name="60% - Accent2 4" xfId="138"/>
    <cellStyle name="60% - Accent2 4 2" xfId="139"/>
    <cellStyle name="60% - Accent2 5" xfId="140"/>
    <cellStyle name="60% - Accent2 6" xfId="141"/>
    <cellStyle name="60% - Accent3 2" xfId="142"/>
    <cellStyle name="60% - Accent3 2 2" xfId="143"/>
    <cellStyle name="60% - Accent3 2 3" xfId="144"/>
    <cellStyle name="60% - Accent3 3" xfId="145"/>
    <cellStyle name="60% - Accent3 3 2" xfId="146"/>
    <cellStyle name="60% - Accent3 3 3" xfId="147"/>
    <cellStyle name="60% - Accent3 4" xfId="148"/>
    <cellStyle name="60% - Accent3 4 2" xfId="149"/>
    <cellStyle name="60% - Accent3 5" xfId="150"/>
    <cellStyle name="60% - Accent3 6" xfId="151"/>
    <cellStyle name="60% - Accent4 2" xfId="152"/>
    <cellStyle name="60% - Accent4 2 2" xfId="153"/>
    <cellStyle name="60% - Accent4 2 3" xfId="154"/>
    <cellStyle name="60% - Accent4 3" xfId="155"/>
    <cellStyle name="60% - Accent4 3 2" xfId="156"/>
    <cellStyle name="60% - Accent4 3 3" xfId="157"/>
    <cellStyle name="60% - Accent4 4" xfId="158"/>
    <cellStyle name="60% - Accent4 4 2" xfId="159"/>
    <cellStyle name="60% - Accent4 5" xfId="160"/>
    <cellStyle name="60% - Accent4 6" xfId="161"/>
    <cellStyle name="60% - Accent5 2" xfId="162"/>
    <cellStyle name="60% - Accent5 2 2" xfId="163"/>
    <cellStyle name="60% - Accent5 2 3" xfId="164"/>
    <cellStyle name="60% - Accent5 3" xfId="165"/>
    <cellStyle name="60% - Accent5 3 2" xfId="166"/>
    <cellStyle name="60% - Accent5 3 3" xfId="167"/>
    <cellStyle name="60% - Accent5 4" xfId="168"/>
    <cellStyle name="60% - Accent5 4 2" xfId="169"/>
    <cellStyle name="60% - Accent5 5" xfId="170"/>
    <cellStyle name="60% - Accent5 6" xfId="171"/>
    <cellStyle name="60% - Accent6 2" xfId="172"/>
    <cellStyle name="60% - Accent6 2 2" xfId="173"/>
    <cellStyle name="60% - Accent6 2 3" xfId="174"/>
    <cellStyle name="60% - Accent6 3" xfId="175"/>
    <cellStyle name="60% - Accent6 3 2" xfId="176"/>
    <cellStyle name="60% - Accent6 3 3" xfId="177"/>
    <cellStyle name="60% - Accent6 4" xfId="178"/>
    <cellStyle name="60% - Accent6 4 2" xfId="179"/>
    <cellStyle name="60% - Accent6 5" xfId="180"/>
    <cellStyle name="60% - Accent6 6" xfId="181"/>
    <cellStyle name="Comma" xfId="1" builtinId="3"/>
    <cellStyle name="Comma 10" xfId="182"/>
    <cellStyle name="Comma 10 13" xfId="183"/>
    <cellStyle name="Comma 11" xfId="184"/>
    <cellStyle name="Comma 12" xfId="185"/>
    <cellStyle name="Comma 12 2" xfId="186"/>
    <cellStyle name="Comma 12 3" xfId="187"/>
    <cellStyle name="Comma 13" xfId="188"/>
    <cellStyle name="Comma 13 2" xfId="189"/>
    <cellStyle name="Comma 13 3" xfId="190"/>
    <cellStyle name="Comma 14" xfId="191"/>
    <cellStyle name="Comma 15" xfId="192"/>
    <cellStyle name="Comma 15 2" xfId="193"/>
    <cellStyle name="Comma 15 3" xfId="194"/>
    <cellStyle name="Comma 16" xfId="195"/>
    <cellStyle name="Comma 16 2" xfId="196"/>
    <cellStyle name="Comma 16 3" xfId="197"/>
    <cellStyle name="Comma 17" xfId="198"/>
    <cellStyle name="Comma 18" xfId="199"/>
    <cellStyle name="Comma 2" xfId="200"/>
    <cellStyle name="Comma 2 10" xfId="201"/>
    <cellStyle name="Comma 2 10 2" xfId="202"/>
    <cellStyle name="Comma 2 11" xfId="203"/>
    <cellStyle name="Comma 2 11 2" xfId="204"/>
    <cellStyle name="Comma 2 12" xfId="205"/>
    <cellStyle name="Comma 2 13" xfId="206"/>
    <cellStyle name="Comma 2 2" xfId="207"/>
    <cellStyle name="Comma 2 2 2" xfId="208"/>
    <cellStyle name="Comma 2 2 2 2" xfId="209"/>
    <cellStyle name="Comma 2 2 2 2 2" xfId="210"/>
    <cellStyle name="Comma 2 2 2 2 3" xfId="211"/>
    <cellStyle name="Comma 2 2 2 3" xfId="212"/>
    <cellStyle name="Comma 2 3" xfId="213"/>
    <cellStyle name="Comma 2 3 2" xfId="214"/>
    <cellStyle name="Comma 2 4" xfId="215"/>
    <cellStyle name="Comma 2 4 2" xfId="216"/>
    <cellStyle name="Comma 2 5" xfId="217"/>
    <cellStyle name="Comma 2 5 2" xfId="218"/>
    <cellStyle name="Comma 2 6" xfId="219"/>
    <cellStyle name="Comma 2 6 2" xfId="220"/>
    <cellStyle name="Comma 2 7" xfId="221"/>
    <cellStyle name="Comma 2 7 2" xfId="222"/>
    <cellStyle name="Comma 2 8" xfId="223"/>
    <cellStyle name="Comma 2 8 2" xfId="224"/>
    <cellStyle name="Comma 2 9" xfId="225"/>
    <cellStyle name="Comma 2 9 2" xfId="226"/>
    <cellStyle name="Comma 3" xfId="227"/>
    <cellStyle name="Comma 3 2" xfId="228"/>
    <cellStyle name="Comma 3 2 2" xfId="229"/>
    <cellStyle name="Comma 3 3" xfId="230"/>
    <cellStyle name="Comma 3 4" xfId="231"/>
    <cellStyle name="Comma 3 4 3" xfId="232"/>
    <cellStyle name="Comma 3 4 4" xfId="233"/>
    <cellStyle name="Comma 4" xfId="234"/>
    <cellStyle name="Comma 4 2" xfId="235"/>
    <cellStyle name="Comma 4 3" xfId="236"/>
    <cellStyle name="Comma 5" xfId="237"/>
    <cellStyle name="Comma 6" xfId="238"/>
    <cellStyle name="Comma 7" xfId="239"/>
    <cellStyle name="Comma 8" xfId="240"/>
    <cellStyle name="Comma 8 2" xfId="241"/>
    <cellStyle name="Comma 9" xfId="242"/>
    <cellStyle name="Neutral 2" xfId="243"/>
    <cellStyle name="Normal" xfId="0" builtinId="0"/>
    <cellStyle name="Normal - Style1" xfId="244"/>
    <cellStyle name="Normal 10" xfId="245"/>
    <cellStyle name="Normal 10 2" xfId="246"/>
    <cellStyle name="Normal 10 3" xfId="247"/>
    <cellStyle name="Normal 11" xfId="248"/>
    <cellStyle name="Normal 11 2" xfId="249"/>
    <cellStyle name="Normal 11 3" xfId="250"/>
    <cellStyle name="Normal 12" xfId="251"/>
    <cellStyle name="Normal 12 2" xfId="252"/>
    <cellStyle name="Normal 12 2 2" xfId="253"/>
    <cellStyle name="Normal 12 2 3" xfId="254"/>
    <cellStyle name="Normal 12 3" xfId="255"/>
    <cellStyle name="Normal 12 4" xfId="256"/>
    <cellStyle name="Normal 13" xfId="257"/>
    <cellStyle name="Normal 13 2" xfId="258"/>
    <cellStyle name="Normal 13 3" xfId="259"/>
    <cellStyle name="Normal 14" xfId="260"/>
    <cellStyle name="Normal 14 2" xfId="261"/>
    <cellStyle name="Normal 15" xfId="262"/>
    <cellStyle name="Normal 15 2" xfId="263"/>
    <cellStyle name="Normal 15 3" xfId="264"/>
    <cellStyle name="Normal 16" xfId="265"/>
    <cellStyle name="Normal 16 2" xfId="266"/>
    <cellStyle name="Normal 16 3" xfId="267"/>
    <cellStyle name="Normal 17" xfId="268"/>
    <cellStyle name="Normal 17 2" xfId="269"/>
    <cellStyle name="Normal 17 3" xfId="270"/>
    <cellStyle name="Normal 18" xfId="271"/>
    <cellStyle name="Normal 18 2" xfId="272"/>
    <cellStyle name="Normal 18 3" xfId="273"/>
    <cellStyle name="Normal 19" xfId="274"/>
    <cellStyle name="Normal 19 2" xfId="275"/>
    <cellStyle name="Normal 19 3" xfId="276"/>
    <cellStyle name="Normal 2" xfId="277"/>
    <cellStyle name="Normal 2 2" xfId="278"/>
    <cellStyle name="Normal 2 2 2" xfId="279"/>
    <cellStyle name="Normal 2 3" xfId="280"/>
    <cellStyle name="Normal 2 4" xfId="281"/>
    <cellStyle name="Normal 2 5" xfId="282"/>
    <cellStyle name="Normal 2 6" xfId="283"/>
    <cellStyle name="Normal 20" xfId="284"/>
    <cellStyle name="Normal 20 2" xfId="285"/>
    <cellStyle name="Normal 20 3" xfId="286"/>
    <cellStyle name="Normal 21" xfId="287"/>
    <cellStyle name="Normal 21 2" xfId="288"/>
    <cellStyle name="Normal 21 3" xfId="289"/>
    <cellStyle name="Normal 22" xfId="290"/>
    <cellStyle name="Normal 22 2" xfId="291"/>
    <cellStyle name="Normal 22 3" xfId="292"/>
    <cellStyle name="Normal 23" xfId="293"/>
    <cellStyle name="Normal 23 2" xfId="294"/>
    <cellStyle name="Normal 23 3" xfId="295"/>
    <cellStyle name="Normal 24" xfId="296"/>
    <cellStyle name="Normal 24 2" xfId="297"/>
    <cellStyle name="Normal 24 3" xfId="298"/>
    <cellStyle name="Normal 25" xfId="299"/>
    <cellStyle name="Normal 25 2" xfId="300"/>
    <cellStyle name="Normal 25 3" xfId="301"/>
    <cellStyle name="Normal 26" xfId="302"/>
    <cellStyle name="Normal 26 2" xfId="303"/>
    <cellStyle name="Normal 26 3" xfId="304"/>
    <cellStyle name="Normal 27" xfId="305"/>
    <cellStyle name="Normal 27 2" xfId="306"/>
    <cellStyle name="Normal 27 2 2" xfId="307"/>
    <cellStyle name="Normal 27 3" xfId="308"/>
    <cellStyle name="Normal 28" xfId="309"/>
    <cellStyle name="Normal 28 2" xfId="310"/>
    <cellStyle name="Normal 29" xfId="311"/>
    <cellStyle name="Normal 29 2" xfId="312"/>
    <cellStyle name="Normal 3" xfId="313"/>
    <cellStyle name="Normal 3 2" xfId="314"/>
    <cellStyle name="Normal 3 2 2" xfId="315"/>
    <cellStyle name="Normal 3 2 3" xfId="316"/>
    <cellStyle name="Normal 3 3" xfId="317"/>
    <cellStyle name="Normal 3 4" xfId="318"/>
    <cellStyle name="Normal 30" xfId="319"/>
    <cellStyle name="Normal 30 2" xfId="320"/>
    <cellStyle name="Normal 31" xfId="321"/>
    <cellStyle name="Normal 31 2" xfId="322"/>
    <cellStyle name="Normal 32" xfId="323"/>
    <cellStyle name="Normal 32 2" xfId="324"/>
    <cellStyle name="Normal 33" xfId="325"/>
    <cellStyle name="Normal 33 2" xfId="326"/>
    <cellStyle name="Normal 34" xfId="327"/>
    <cellStyle name="Normal 34 2" xfId="328"/>
    <cellStyle name="Normal 35" xfId="329"/>
    <cellStyle name="Normal 35 2" xfId="330"/>
    <cellStyle name="Normal 36" xfId="331"/>
    <cellStyle name="Normal 36 2" xfId="332"/>
    <cellStyle name="Normal 37" xfId="333"/>
    <cellStyle name="Normal 37 2" xfId="334"/>
    <cellStyle name="Normal 38" xfId="335"/>
    <cellStyle name="Normal 38 2" xfId="336"/>
    <cellStyle name="Normal 39" xfId="337"/>
    <cellStyle name="Normal 39 2" xfId="338"/>
    <cellStyle name="Normal 4" xfId="339"/>
    <cellStyle name="Normal 4 2" xfId="340"/>
    <cellStyle name="Normal 40" xfId="341"/>
    <cellStyle name="Normal 40 2" xfId="342"/>
    <cellStyle name="Normal 41" xfId="343"/>
    <cellStyle name="Normal 41 2" xfId="344"/>
    <cellStyle name="Normal 42" xfId="345"/>
    <cellStyle name="Normal 42 2" xfId="346"/>
    <cellStyle name="Normal 43" xfId="347"/>
    <cellStyle name="Normal 43 2" xfId="348"/>
    <cellStyle name="Normal 44" xfId="349"/>
    <cellStyle name="Normal 44 2" xfId="350"/>
    <cellStyle name="Normal 45" xfId="351"/>
    <cellStyle name="Normal 45 2" xfId="352"/>
    <cellStyle name="Normal 46" xfId="353"/>
    <cellStyle name="Normal 46 2" xfId="354"/>
    <cellStyle name="Normal 47" xfId="355"/>
    <cellStyle name="Normal 47 2" xfId="356"/>
    <cellStyle name="Normal 48" xfId="357"/>
    <cellStyle name="Normal 48 2" xfId="358"/>
    <cellStyle name="Normal 49" xfId="359"/>
    <cellStyle name="Normal 49 2" xfId="360"/>
    <cellStyle name="Normal 5" xfId="361"/>
    <cellStyle name="Normal 50" xfId="362"/>
    <cellStyle name="Normal 50 2" xfId="363"/>
    <cellStyle name="Normal 51" xfId="364"/>
    <cellStyle name="Normal 51 2" xfId="365"/>
    <cellStyle name="Normal 52" xfId="366"/>
    <cellStyle name="Normal 52 2" xfId="367"/>
    <cellStyle name="Normal 53" xfId="368"/>
    <cellStyle name="Normal 53 2" xfId="369"/>
    <cellStyle name="Normal 54" xfId="370"/>
    <cellStyle name="Normal 54 2" xfId="371"/>
    <cellStyle name="Normal 55" xfId="372"/>
    <cellStyle name="Normal 55 2" xfId="373"/>
    <cellStyle name="Normal 56" xfId="374"/>
    <cellStyle name="Normal 56 2" xfId="375"/>
    <cellStyle name="Normal 57" xfId="376"/>
    <cellStyle name="Normal 57 2" xfId="377"/>
    <cellStyle name="Normal 58" xfId="378"/>
    <cellStyle name="Normal 58 2" xfId="379"/>
    <cellStyle name="Normal 59" xfId="380"/>
    <cellStyle name="Normal 59 2" xfId="381"/>
    <cellStyle name="Normal 6" xfId="382"/>
    <cellStyle name="Normal 6 2" xfId="383"/>
    <cellStyle name="Normal 6 3" xfId="384"/>
    <cellStyle name="Normal 60" xfId="385"/>
    <cellStyle name="Normal 60 2" xfId="386"/>
    <cellStyle name="Normal 61" xfId="387"/>
    <cellStyle name="Normal 61 2" xfId="388"/>
    <cellStyle name="Normal 62" xfId="389"/>
    <cellStyle name="Normal 62 2" xfId="390"/>
    <cellStyle name="Normal 63" xfId="391"/>
    <cellStyle name="Normal 63 2" xfId="392"/>
    <cellStyle name="Normal 64" xfId="393"/>
    <cellStyle name="Normal 64 2" xfId="394"/>
    <cellStyle name="Normal 65" xfId="395"/>
    <cellStyle name="Normal 65 2" xfId="396"/>
    <cellStyle name="Normal 66" xfId="397"/>
    <cellStyle name="Normal 66 2" xfId="398"/>
    <cellStyle name="Normal 67" xfId="399"/>
    <cellStyle name="Normal 67 2" xfId="400"/>
    <cellStyle name="Normal 68" xfId="401"/>
    <cellStyle name="Normal 68 2" xfId="402"/>
    <cellStyle name="Normal 69" xfId="403"/>
    <cellStyle name="Normal 69 2" xfId="404"/>
    <cellStyle name="Normal 7" xfId="405"/>
    <cellStyle name="Normal 7 2" xfId="406"/>
    <cellStyle name="Normal 7 3" xfId="407"/>
    <cellStyle name="Normal 70" xfId="408"/>
    <cellStyle name="Normal 71" xfId="409"/>
    <cellStyle name="Normal 72" xfId="410"/>
    <cellStyle name="Normal 73" xfId="411"/>
    <cellStyle name="Normal 74" xfId="412"/>
    <cellStyle name="Normal 75" xfId="463"/>
    <cellStyle name="Normal 8" xfId="413"/>
    <cellStyle name="Normal 8 2" xfId="414"/>
    <cellStyle name="Normal 8 3" xfId="415"/>
    <cellStyle name="Normal 9" xfId="416"/>
    <cellStyle name="Normal 9 2" xfId="417"/>
    <cellStyle name="Normal 9 3" xfId="418"/>
    <cellStyle name="Note 10" xfId="419"/>
    <cellStyle name="Note 10 2" xfId="420"/>
    <cellStyle name="Note 10 3" xfId="421"/>
    <cellStyle name="Note 11" xfId="422"/>
    <cellStyle name="Note 11 2" xfId="423"/>
    <cellStyle name="Note 11 3" xfId="424"/>
    <cellStyle name="Note 12" xfId="425"/>
    <cellStyle name="Note 12 2" xfId="426"/>
    <cellStyle name="Note 12 3" xfId="427"/>
    <cellStyle name="Note 13" xfId="428"/>
    <cellStyle name="Note 13 2" xfId="429"/>
    <cellStyle name="Note 14" xfId="430"/>
    <cellStyle name="Note 14 2" xfId="431"/>
    <cellStyle name="Note 2" xfId="432"/>
    <cellStyle name="Note 2 2" xfId="433"/>
    <cellStyle name="Note 2 3" xfId="434"/>
    <cellStyle name="Note 3" xfId="435"/>
    <cellStyle name="Note 3 2" xfId="436"/>
    <cellStyle name="Note 3 3" xfId="437"/>
    <cellStyle name="Note 4" xfId="438"/>
    <cellStyle name="Note 4 2" xfId="439"/>
    <cellStyle name="Note 4 3" xfId="440"/>
    <cellStyle name="Note 5" xfId="441"/>
    <cellStyle name="Note 5 2" xfId="442"/>
    <cellStyle name="Note 5 3" xfId="443"/>
    <cellStyle name="Note 6" xfId="444"/>
    <cellStyle name="Note 6 2" xfId="445"/>
    <cellStyle name="Note 6 3" xfId="446"/>
    <cellStyle name="Note 7" xfId="447"/>
    <cellStyle name="Note 7 2" xfId="448"/>
    <cellStyle name="Note 7 3" xfId="449"/>
    <cellStyle name="Note 8" xfId="450"/>
    <cellStyle name="Note 8 2" xfId="451"/>
    <cellStyle name="Note 8 3" xfId="452"/>
    <cellStyle name="Note 9" xfId="453"/>
    <cellStyle name="Note 9 2" xfId="454"/>
    <cellStyle name="Note 9 3" xfId="455"/>
    <cellStyle name="Percent" xfId="464" builtinId="5"/>
    <cellStyle name="Percent 2" xfId="456"/>
    <cellStyle name="Percent 2 2" xfId="457"/>
    <cellStyle name="Percent 2 2 2" xfId="458"/>
    <cellStyle name="Percent 3" xfId="459"/>
    <cellStyle name="Percent 4" xfId="460"/>
    <cellStyle name="Title 2" xfId="461"/>
    <cellStyle name="Title 3" xfId="462"/>
  </cellStyles>
  <dxfs count="0"/>
  <tableStyles count="0" defaultTableStyle="TableStyleMedium2" defaultPivotStyle="PivotStyleLight16"/>
  <colors>
    <mruColors>
      <color rgb="FF66CCFF"/>
      <color rgb="FF0C6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3659116963828E-2"/>
          <c:y val="0.127049928301395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Comparison'!$B$4</c:f>
              <c:strCache>
                <c:ptCount val="1"/>
                <c:pt idx="0">
                  <c:v>Mar 2026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Comparison'!$A$5:$A$13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Comparison'!$B$5:$B$13</c:f>
              <c:numCache>
                <c:formatCode>0.00</c:formatCode>
                <c:ptCount val="9"/>
                <c:pt idx="0">
                  <c:v>148.292010503</c:v>
                </c:pt>
                <c:pt idx="1">
                  <c:v>5317.5723324362407</c:v>
                </c:pt>
                <c:pt idx="2">
                  <c:v>240.56269176319998</c:v>
                </c:pt>
                <c:pt idx="3">
                  <c:v>1836.1119737791648</c:v>
                </c:pt>
                <c:pt idx="4">
                  <c:v>501.58741494934998</c:v>
                </c:pt>
                <c:pt idx="5">
                  <c:v>115.15745344782</c:v>
                </c:pt>
                <c:pt idx="6">
                  <c:v>13.45514408373</c:v>
                </c:pt>
                <c:pt idx="7">
                  <c:v>104.38107421831002</c:v>
                </c:pt>
                <c:pt idx="8">
                  <c:v>30.015611170228798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6-46ED-89A2-2B50ABB45C22}"/>
            </c:ext>
          </c:extLst>
        </c:ser>
        <c:ser>
          <c:idx val="1"/>
          <c:order val="1"/>
          <c:tx>
            <c:strRef>
              <c:f>'NAV Comparison'!#REF!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'NAV Comparison'!$A$5:$A$13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86-46ED-89A2-2B50ABB45C22}"/>
            </c:ext>
          </c:extLst>
        </c:ser>
        <c:ser>
          <c:idx val="2"/>
          <c:order val="2"/>
          <c:tx>
            <c:strRef>
              <c:f>'NAV Comparison'!$C$4</c:f>
              <c:strCache>
                <c:ptCount val="1"/>
                <c:pt idx="0">
                  <c:v>Apr 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Comparison'!$A$5:$A$13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Comparison'!$C$5:$C$13</c:f>
              <c:numCache>
                <c:formatCode>0.00</c:formatCode>
                <c:ptCount val="9"/>
                <c:pt idx="0">
                  <c:v>235.55133925593</c:v>
                </c:pt>
                <c:pt idx="1">
                  <c:v>5695.4340585764612</c:v>
                </c:pt>
                <c:pt idx="2">
                  <c:v>234.62439952482995</c:v>
                </c:pt>
                <c:pt idx="3">
                  <c:v>1858.7017859926186</c:v>
                </c:pt>
                <c:pt idx="4">
                  <c:v>526.89377204159996</c:v>
                </c:pt>
                <c:pt idx="5">
                  <c:v>144.17948628507881</c:v>
                </c:pt>
                <c:pt idx="6">
                  <c:v>19.528484775740001</c:v>
                </c:pt>
                <c:pt idx="7">
                  <c:v>133.7210214308819</c:v>
                </c:pt>
                <c:pt idx="8">
                  <c:v>30.829078365314142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9-4376-982D-C0EACFCCD7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51400592"/>
        <c:axId val="148111208"/>
      </c:barChart>
      <c:catAx>
        <c:axId val="25140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48111208"/>
        <c:crosses val="autoZero"/>
        <c:auto val="1"/>
        <c:lblAlgn val="ctr"/>
        <c:lblOffset val="100"/>
        <c:noMultiLvlLbl val="0"/>
      </c:catAx>
      <c:valAx>
        <c:axId val="148111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5140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</c:rich>
      </c:tx>
      <c:layout>
        <c:manualLayout>
          <c:xMode val="edge"/>
          <c:yMode val="edge"/>
          <c:x val="0.231843809708693"/>
          <c:y val="9.3377148481089307E-3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430612036398778"/>
          <c:y val="0.16516634114243717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April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C18-4D5B-93F2-F392B61358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C18-4D5B-93F2-F392B61358B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C18-4D5B-93F2-F392B61358B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C18-4D5B-93F2-F392B61358B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C18-4D5B-93F2-F392B61358BF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C18-4D5B-93F2-F392B61358BF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C18-4D5B-93F2-F392B61358BF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C18-4D5B-93F2-F392B61358BF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599855860808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C18-4D5B-93F2-F392B61358BF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C18-4D5B-93F2-F392B61358BF}"/>
                </c:ext>
              </c:extLst>
            </c:dLbl>
            <c:dLbl>
              <c:idx val="2"/>
              <c:layout>
                <c:manualLayout>
                  <c:x val="-6.3908902826365604E-2"/>
                  <c:y val="-8.28561132914906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C18-4D5B-93F2-F392B61358BF}"/>
                </c:ext>
              </c:extLst>
            </c:dLbl>
            <c:dLbl>
              <c:idx val="3"/>
              <c:layout>
                <c:manualLayout>
                  <c:x val="-2.6526955148730099E-2"/>
                  <c:y val="-6.35230201901428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C18-4D5B-93F2-F392B61358BF}"/>
                </c:ext>
              </c:extLst>
            </c:dLbl>
            <c:dLbl>
              <c:idx val="4"/>
              <c:layout>
                <c:manualLayout>
                  <c:x val="-2.2105334402515699E-2"/>
                  <c:y val="-0.1021892063928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C18-4D5B-93F2-F392B61358BF}"/>
                </c:ext>
              </c:extLst>
            </c:dLbl>
            <c:dLbl>
              <c:idx val="5"/>
              <c:layout>
                <c:manualLayout>
                  <c:x val="2.964929024123427E-2"/>
                  <c:y val="-0.152070841363510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C18-4D5B-93F2-F392B61358BF}"/>
                </c:ext>
              </c:extLst>
            </c:dLbl>
            <c:dLbl>
              <c:idx val="6"/>
              <c:layout>
                <c:manualLayout>
                  <c:x val="0.1591371302216133"/>
                  <c:y val="4.05882891525260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C18-4D5B-93F2-F392B61358BF}"/>
                </c:ext>
              </c:extLst>
            </c:dLbl>
            <c:dLbl>
              <c:idx val="7"/>
              <c:layout>
                <c:manualLayout>
                  <c:x val="0.11216943084253583"/>
                  <c:y val="0.1197241205136170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C18-4D5B-93F2-F392B61358BF}"/>
                </c:ext>
              </c:extLst>
            </c:dLbl>
            <c:dLbl>
              <c:idx val="8"/>
              <c:layout>
                <c:manualLayout>
                  <c:x val="-0.27590312917245502"/>
                  <c:y val="-0.2512933874582475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612-485C-B4A4-AAD79CF83AD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EQUITY BASED FUNDS</c:v>
                </c:pt>
                <c:pt idx="4">
                  <c:v>BALANCED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_-* #,##0.00_-;\-* #,##0.00_-;_-* "-"??_-;_-@_-</c:formatCode>
                <c:ptCount val="9"/>
                <c:pt idx="0">
                  <c:v>19528484775.740002</c:v>
                </c:pt>
                <c:pt idx="1">
                  <c:v>30829078365.314144</c:v>
                </c:pt>
                <c:pt idx="2">
                  <c:v>133721021430.8819</c:v>
                </c:pt>
                <c:pt idx="3" formatCode="#,##0.00">
                  <c:v>235551339255.92999</c:v>
                </c:pt>
                <c:pt idx="4" formatCode="#,##0.00">
                  <c:v>144179486285.0788</c:v>
                </c:pt>
                <c:pt idx="5" formatCode="#,##0.00">
                  <c:v>234624399524.82996</c:v>
                </c:pt>
                <c:pt idx="6" formatCode="#,##0.00">
                  <c:v>526893772041.59998</c:v>
                </c:pt>
                <c:pt idx="7" formatCode="#,##0.00">
                  <c:v>1858701785992.6187</c:v>
                </c:pt>
                <c:pt idx="8" formatCode="#,##0.00">
                  <c:v>5695434058576.4609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C18-4D5B-93F2-F392B61358BF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UNITHOLDERS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Unitholders!$B$5</c:f>
              <c:strCache>
                <c:ptCount val="1"/>
                <c:pt idx="0">
                  <c:v>UNIT HOLDERS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Unitholders!$A$6:$A$14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Unitholders!$B$6:$B$14</c:f>
              <c:numCache>
                <c:formatCode>_(* #,##0_);_(* \(#,##0\);_(* "-"??_);_(@_)</c:formatCode>
                <c:ptCount val="9"/>
                <c:pt idx="0">
                  <c:v>91341</c:v>
                </c:pt>
                <c:pt idx="1">
                  <c:v>658622</c:v>
                </c:pt>
                <c:pt idx="2">
                  <c:v>58558</c:v>
                </c:pt>
                <c:pt idx="3">
                  <c:v>27076</c:v>
                </c:pt>
                <c:pt idx="4">
                  <c:v>230297</c:v>
                </c:pt>
                <c:pt idx="5">
                  <c:v>89639</c:v>
                </c:pt>
                <c:pt idx="6">
                  <c:v>16768</c:v>
                </c:pt>
                <c:pt idx="7">
                  <c:v>50254</c:v>
                </c:pt>
                <c:pt idx="8" formatCode="_-* #,##0_-;\-* #,##0_-;_-* &quot;-&quot;??_-;_-@_-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9-4D7C-AC55-08D88FE24A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axId val="328697840"/>
        <c:axId val="251602304"/>
      </c:barChart>
      <c:catAx>
        <c:axId val="32869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CLASSES OF FUNDS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45444441097145799"/>
              <c:y val="0.936238322854479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0" i="0" u="none" strike="noStrike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02304"/>
        <c:crosses val="autoZero"/>
        <c:auto val="1"/>
        <c:lblAlgn val="ctr"/>
        <c:lblOffset val="100"/>
        <c:noMultiLvlLbl val="0"/>
      </c:catAx>
      <c:valAx>
        <c:axId val="25160230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0">
                    <a:schemeClr val="lt1">
                      <a:lumMod val="75000"/>
                      <a:alpha val="36000"/>
                    </a:schemeClr>
                  </a:gs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crossAx val="32869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>
                <a:lumMod val="75000"/>
                <a:alpha val="36000"/>
              </a:schemeClr>
            </a:gs>
            <a:gs pos="100000">
              <a:schemeClr val="dk1">
                <a:lumMod val="95000"/>
                <a:lumOff val="5000"/>
                <a:alpha val="42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0">
              <a:schemeClr val="lt1">
                <a:lumMod val="75000"/>
                <a:alpha val="36000"/>
                <a:lumOff val="10000"/>
              </a:schemeClr>
            </a:gs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460375</xdr:colOff>
      <xdr:row>373</xdr:row>
      <xdr:rowOff>119380</xdr:rowOff>
    </xdr:from>
    <xdr:to>
      <xdr:col>8</xdr:col>
      <xdr:colOff>844550</xdr:colOff>
      <xdr:row>373</xdr:row>
      <xdr:rowOff>119380</xdr:rowOff>
    </xdr:to>
    <xdr:cxnSp macro="">
      <xdr:nvCxnSpPr>
        <xdr:cNvPr id="2" name="AutoShape 245">
          <a:extLst>
            <a:ext uri="{FF2B5EF4-FFF2-40B4-BE49-F238E27FC236}">
              <a16:creationId xmlns:a16="http://schemas.microsoft.com/office/drawing/2014/main" id="{6EF4DFCE-FAE0-490A-AAFF-15AAE371A63A}"/>
            </a:ext>
          </a:extLst>
        </xdr:cNvPr>
        <xdr:cNvCxnSpPr>
          <a:cxnSpLocks noChangeShapeType="1"/>
        </xdr:cNvCxnSpPr>
      </xdr:nvCxnSpPr>
      <xdr:spPr bwMode="auto">
        <a:xfrm>
          <a:off x="12696825" y="61619130"/>
          <a:ext cx="17811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612775</xdr:colOff>
      <xdr:row>374</xdr:row>
      <xdr:rowOff>106680</xdr:rowOff>
    </xdr:from>
    <xdr:to>
      <xdr:col>8</xdr:col>
      <xdr:colOff>996950</xdr:colOff>
      <xdr:row>374</xdr:row>
      <xdr:rowOff>106680</xdr:rowOff>
    </xdr:to>
    <xdr:cxnSp macro="">
      <xdr:nvCxnSpPr>
        <xdr:cNvPr id="3" name="AutoShape 245">
          <a:extLst>
            <a:ext uri="{FF2B5EF4-FFF2-40B4-BE49-F238E27FC236}">
              <a16:creationId xmlns:a16="http://schemas.microsoft.com/office/drawing/2014/main" id="{7D875D1D-75B0-4797-82F6-996284F3263B}"/>
            </a:ext>
          </a:extLst>
        </xdr:cNvPr>
        <xdr:cNvCxnSpPr>
          <a:cxnSpLocks noChangeShapeType="1"/>
        </xdr:cNvCxnSpPr>
      </xdr:nvCxnSpPr>
      <xdr:spPr bwMode="auto">
        <a:xfrm>
          <a:off x="12849225" y="61771530"/>
          <a:ext cx="17811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30480</xdr:colOff>
      <xdr:row>22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590550</xdr:colOff>
      <xdr:row>30</xdr:row>
      <xdr:rowOff>171451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19050</xdr:colOff>
      <xdr:row>19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Update%20on%20Registered%20Mutual%20Funds%20as%20at%20Marc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"/>
      <sheetName val="NAV Comparison"/>
      <sheetName val="Market Share"/>
      <sheetName val="Unitholders"/>
    </sheetNames>
    <sheetDataSet>
      <sheetData sheetId="0">
        <row r="25">
          <cell r="I25">
            <v>148292010503</v>
          </cell>
        </row>
        <row r="74">
          <cell r="I74">
            <v>5317572332436.2402</v>
          </cell>
        </row>
        <row r="115">
          <cell r="I115">
            <v>240562691763.19998</v>
          </cell>
        </row>
        <row r="158">
          <cell r="I158">
            <v>1836111973779.1648</v>
          </cell>
        </row>
        <row r="167">
          <cell r="I167">
            <v>501587414949.34998</v>
          </cell>
        </row>
        <row r="199">
          <cell r="I199">
            <v>115157453447.82001</v>
          </cell>
        </row>
        <row r="205">
          <cell r="I205">
            <v>13455144083.73</v>
          </cell>
        </row>
        <row r="233">
          <cell r="I233">
            <v>104381074218.31001</v>
          </cell>
        </row>
        <row r="242">
          <cell r="I242">
            <v>30015611170.228798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254"/>
  <sheetViews>
    <sheetView tabSelected="1" view="pageBreakPreview" zoomScaleNormal="70" zoomScaleSheetLayoutView="100" workbookViewId="0">
      <pane ySplit="2" topLeftCell="A3" activePane="bottomLeft" state="frozen"/>
      <selection pane="bottomLeft" activeCell="A3" sqref="A3:V3"/>
    </sheetView>
  </sheetViews>
  <sheetFormatPr defaultColWidth="9" defaultRowHeight="13.8"/>
  <cols>
    <col min="1" max="1" width="6.6640625" style="5" customWidth="1"/>
    <col min="2" max="2" width="44.6640625" style="5" customWidth="1"/>
    <col min="3" max="3" width="43.6640625" style="15" customWidth="1"/>
    <col min="4" max="4" width="21.5546875" style="4" customWidth="1"/>
    <col min="5" max="6" width="19.33203125" style="4" customWidth="1"/>
    <col min="7" max="7" width="19.6640625" style="4" customWidth="1"/>
    <col min="8" max="8" width="20" style="4" customWidth="1"/>
    <col min="9" max="9" width="22" style="4" customWidth="1"/>
    <col min="10" max="10" width="9" style="4"/>
    <col min="11" max="11" width="24.5546875" style="4" customWidth="1"/>
    <col min="12" max="12" width="9" style="4"/>
    <col min="13" max="13" width="11.5546875" style="4" customWidth="1"/>
    <col min="14" max="14" width="12.33203125" style="4" customWidth="1"/>
    <col min="15" max="15" width="12.5546875" style="4" customWidth="1"/>
    <col min="16" max="17" width="12.33203125" style="4" customWidth="1"/>
    <col min="18" max="18" width="14.44140625" style="4" customWidth="1"/>
    <col min="19" max="19" width="13.33203125" style="4" customWidth="1"/>
    <col min="20" max="20" width="16.44140625" style="4" customWidth="1"/>
    <col min="21" max="22" width="20.33203125" style="4" customWidth="1"/>
    <col min="23" max="16384" width="9" style="4"/>
  </cols>
  <sheetData>
    <row r="1" spans="1:23" ht="40.200000000000003" customHeight="1">
      <c r="A1" s="128" t="s">
        <v>307</v>
      </c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5"/>
    </row>
    <row r="2" spans="1:23" ht="48" customHeight="1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3" t="s">
        <v>7</v>
      </c>
      <c r="I2" s="30" t="s">
        <v>318</v>
      </c>
      <c r="J2" s="30" t="s">
        <v>8</v>
      </c>
      <c r="K2" s="30" t="s">
        <v>9</v>
      </c>
      <c r="L2" s="30" t="s">
        <v>8</v>
      </c>
      <c r="M2" s="30" t="s">
        <v>10</v>
      </c>
      <c r="N2" s="30" t="s">
        <v>11</v>
      </c>
      <c r="O2" s="30" t="s">
        <v>12</v>
      </c>
      <c r="P2" s="30" t="s">
        <v>13</v>
      </c>
      <c r="Q2" s="30" t="s">
        <v>14</v>
      </c>
      <c r="R2" s="30" t="s">
        <v>15</v>
      </c>
      <c r="S2" s="30" t="s">
        <v>16</v>
      </c>
      <c r="T2" s="30" t="s">
        <v>17</v>
      </c>
      <c r="U2" s="30" t="s">
        <v>18</v>
      </c>
      <c r="V2" s="30" t="s">
        <v>19</v>
      </c>
    </row>
    <row r="3" spans="1:23" ht="6" customHeight="1">
      <c r="A3" s="130" t="s">
        <v>291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</row>
    <row r="4" spans="1:23" ht="16.5" customHeight="1">
      <c r="A4" s="130" t="s">
        <v>20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</row>
    <row r="5" spans="1:23" ht="15" customHeight="1">
      <c r="A5" s="108">
        <v>1</v>
      </c>
      <c r="B5" s="19" t="s">
        <v>21</v>
      </c>
      <c r="C5" s="19" t="s">
        <v>22</v>
      </c>
      <c r="D5" s="10">
        <v>13165586403.33</v>
      </c>
      <c r="E5" s="10">
        <v>77180040.219999999</v>
      </c>
      <c r="F5" s="10">
        <v>4650983989.9899998</v>
      </c>
      <c r="G5" s="10">
        <v>18294508.449999999</v>
      </c>
      <c r="H5" s="12">
        <f>(E5+F5)-G5</f>
        <v>4709869521.7600002</v>
      </c>
      <c r="I5" s="29">
        <v>10355862274.77</v>
      </c>
      <c r="J5" s="13">
        <f t="shared" ref="J5:J24" si="0">(I5/$I$25)</f>
        <v>5.9522494660217695E-2</v>
      </c>
      <c r="K5" s="29">
        <v>13510518722.9</v>
      </c>
      <c r="L5" s="13">
        <f t="shared" ref="L5" si="1">(K5/$K$25)</f>
        <v>5.7357002365503951E-2</v>
      </c>
      <c r="M5" s="13">
        <f t="shared" ref="M5:M25" si="2">((K5-I5)/I5)</f>
        <v>0.30462518372957625</v>
      </c>
      <c r="N5" s="20">
        <f t="shared" ref="N5" si="3">(G5/K5)</f>
        <v>1.354093712108274E-3</v>
      </c>
      <c r="O5" s="21">
        <f t="shared" ref="O5" si="4">H5/K5</f>
        <v>0.34860760111133898</v>
      </c>
      <c r="P5" s="22">
        <f t="shared" ref="P5" si="5">K5/V5</f>
        <v>921.16924185629864</v>
      </c>
      <c r="Q5" s="22">
        <f t="shared" ref="Q5" si="6">H5/V5</f>
        <v>321.12659962107512</v>
      </c>
      <c r="R5" s="10">
        <v>921.17</v>
      </c>
      <c r="S5" s="10">
        <v>925.49</v>
      </c>
      <c r="T5" s="10">
        <v>1713</v>
      </c>
      <c r="U5" s="10">
        <v>13114982.98</v>
      </c>
      <c r="V5" s="10">
        <v>14666706.300000001</v>
      </c>
    </row>
    <row r="6" spans="1:23">
      <c r="A6" s="110">
        <v>2</v>
      </c>
      <c r="B6" s="19" t="s">
        <v>23</v>
      </c>
      <c r="C6" s="19" t="s">
        <v>24</v>
      </c>
      <c r="D6" s="10">
        <v>2303607870.1799998</v>
      </c>
      <c r="E6" s="10">
        <v>2993842.3</v>
      </c>
      <c r="F6" s="10">
        <v>824596001.79999995</v>
      </c>
      <c r="G6" s="10">
        <v>2492467.54</v>
      </c>
      <c r="H6" s="12">
        <f t="shared" ref="H6:H24" si="7">(E6+F6)-G6</f>
        <v>825097376.55999994</v>
      </c>
      <c r="I6" s="29">
        <v>1800777795.9400001</v>
      </c>
      <c r="J6" s="13">
        <f t="shared" si="0"/>
        <v>1.0350348807188808E-2</v>
      </c>
      <c r="K6" s="29">
        <v>2331752370.1399999</v>
      </c>
      <c r="L6" s="13">
        <f t="shared" ref="L6:L24" si="8">(K6/$K$25)</f>
        <v>9.8991259294285601E-3</v>
      </c>
      <c r="M6" s="13">
        <f t="shared" ref="M6:M24" si="9">((K6-I6)/I6)</f>
        <v>0.29485846360229739</v>
      </c>
      <c r="N6" s="20">
        <f t="shared" ref="N6:N24" si="10">(G6/K6)</f>
        <v>1.0689246302129204E-3</v>
      </c>
      <c r="O6" s="21">
        <f t="shared" ref="O6:O24" si="11">H6/K6</f>
        <v>0.35385291642716787</v>
      </c>
      <c r="P6" s="22">
        <f t="shared" ref="P6:P24" si="12">K6/V6</f>
        <v>620.33971381466813</v>
      </c>
      <c r="Q6" s="22">
        <f t="shared" ref="Q6:Q24" si="13">H6/V6</f>
        <v>219.50901690891502</v>
      </c>
      <c r="R6" s="10">
        <v>611.7355</v>
      </c>
      <c r="S6" s="10">
        <v>619.57209999999998</v>
      </c>
      <c r="T6" s="10">
        <v>625</v>
      </c>
      <c r="U6" s="10">
        <v>3362426.8</v>
      </c>
      <c r="V6" s="10">
        <v>3758831.36</v>
      </c>
    </row>
    <row r="7" spans="1:23">
      <c r="A7" s="120">
        <v>3</v>
      </c>
      <c r="B7" s="19" t="s">
        <v>25</v>
      </c>
      <c r="C7" s="77" t="s">
        <v>26</v>
      </c>
      <c r="D7" s="10">
        <v>14051044499</v>
      </c>
      <c r="E7" s="10">
        <v>294056572</v>
      </c>
      <c r="F7" s="10">
        <v>2135992827</v>
      </c>
      <c r="G7" s="10">
        <v>60781489</v>
      </c>
      <c r="H7" s="12">
        <f t="shared" si="7"/>
        <v>2369267910</v>
      </c>
      <c r="I7" s="29">
        <v>13161914569</v>
      </c>
      <c r="J7" s="13">
        <f t="shared" si="0"/>
        <v>7.5650869900057996E-2</v>
      </c>
      <c r="K7" s="29">
        <v>18230982660</v>
      </c>
      <c r="L7" s="13">
        <f t="shared" si="8"/>
        <v>7.7397066463679789E-2</v>
      </c>
      <c r="M7" s="13">
        <f t="shared" si="9"/>
        <v>0.38513151444844329</v>
      </c>
      <c r="N7" s="20">
        <f t="shared" si="10"/>
        <v>3.333966694694887E-3</v>
      </c>
      <c r="O7" s="21">
        <f t="shared" si="11"/>
        <v>0.12995832173096916</v>
      </c>
      <c r="P7" s="22">
        <f t="shared" si="12"/>
        <v>78.088885384763486</v>
      </c>
      <c r="Q7" s="22">
        <f t="shared" si="13"/>
        <v>10.14830049044587</v>
      </c>
      <c r="R7" s="10">
        <v>77.698499999999996</v>
      </c>
      <c r="S7" s="10">
        <v>80.0411</v>
      </c>
      <c r="T7" s="10">
        <v>11145</v>
      </c>
      <c r="U7" s="10">
        <v>196870244</v>
      </c>
      <c r="V7" s="10">
        <v>233464501</v>
      </c>
    </row>
    <row r="8" spans="1:23">
      <c r="A8" s="104">
        <v>4</v>
      </c>
      <c r="B8" s="107" t="s">
        <v>27</v>
      </c>
      <c r="C8" s="81" t="s">
        <v>28</v>
      </c>
      <c r="D8" s="10">
        <v>2505444574.9000001</v>
      </c>
      <c r="E8" s="10">
        <v>38284193.619999997</v>
      </c>
      <c r="F8" s="10">
        <v>758018036.08000004</v>
      </c>
      <c r="G8" s="10">
        <v>5619884.5999999996</v>
      </c>
      <c r="H8" s="12">
        <f t="shared" si="7"/>
        <v>790682345.10000002</v>
      </c>
      <c r="I8" s="29">
        <v>2341171278.9699998</v>
      </c>
      <c r="J8" s="13">
        <f t="shared" si="0"/>
        <v>1.3456373912064392E-2</v>
      </c>
      <c r="K8" s="29">
        <v>3283501271.5</v>
      </c>
      <c r="L8" s="13">
        <f t="shared" si="8"/>
        <v>1.3939641701346591E-2</v>
      </c>
      <c r="M8" s="13">
        <f t="shared" si="9"/>
        <v>0.40250365319045733</v>
      </c>
      <c r="N8" s="20">
        <f t="shared" si="10"/>
        <v>1.7115524360472292E-3</v>
      </c>
      <c r="O8" s="21">
        <f t="shared" si="11"/>
        <v>0.24080464105890023</v>
      </c>
      <c r="P8" s="22">
        <f t="shared" si="12"/>
        <v>377.43858729413625</v>
      </c>
      <c r="Q8" s="22">
        <f t="shared" si="13"/>
        <v>90.888963535142864</v>
      </c>
      <c r="R8" s="10">
        <v>377.56310000000002</v>
      </c>
      <c r="S8" s="10">
        <v>377.56310000000002</v>
      </c>
      <c r="T8" s="10">
        <v>2599</v>
      </c>
      <c r="U8" s="10">
        <v>7400508.2999999998</v>
      </c>
      <c r="V8" s="10">
        <v>8699431.8599999994</v>
      </c>
    </row>
    <row r="9" spans="1:23">
      <c r="A9" s="97">
        <v>5</v>
      </c>
      <c r="B9" s="19" t="s">
        <v>186</v>
      </c>
      <c r="C9" s="77" t="s">
        <v>94</v>
      </c>
      <c r="D9" s="10">
        <v>11192629147.700001</v>
      </c>
      <c r="E9" s="10">
        <v>53914360.469999999</v>
      </c>
      <c r="F9" s="10">
        <v>2108099503.1500001</v>
      </c>
      <c r="G9" s="10">
        <v>9937884.8399999999</v>
      </c>
      <c r="H9" s="12">
        <f t="shared" si="7"/>
        <v>2152075978.7799997</v>
      </c>
      <c r="I9" s="29">
        <v>6507784136.6199999</v>
      </c>
      <c r="J9" s="13">
        <f t="shared" si="0"/>
        <v>3.7404856905594225E-2</v>
      </c>
      <c r="K9" s="29">
        <v>11417750467.16</v>
      </c>
      <c r="L9" s="13">
        <f t="shared" si="8"/>
        <v>4.8472449798956339E-2</v>
      </c>
      <c r="M9" s="13">
        <f t="shared" si="9"/>
        <v>0.75447590569439638</v>
      </c>
      <c r="N9" s="20">
        <f t="shared" si="10"/>
        <v>8.7038903754146457E-4</v>
      </c>
      <c r="O9" s="21">
        <f t="shared" si="11"/>
        <v>0.18848511227932777</v>
      </c>
      <c r="P9" s="22">
        <f t="shared" si="12"/>
        <v>3.1443118922666438</v>
      </c>
      <c r="Q9" s="22">
        <f t="shared" si="13"/>
        <v>0.59265598005510389</v>
      </c>
      <c r="R9" s="10">
        <v>3.0939999999999999</v>
      </c>
      <c r="S9" s="10">
        <v>3.1337999999999999</v>
      </c>
      <c r="T9" s="10">
        <v>2225</v>
      </c>
      <c r="U9" s="10">
        <v>2632248612.3200002</v>
      </c>
      <c r="V9" s="10">
        <v>3631239793.75</v>
      </c>
    </row>
    <row r="10" spans="1:23">
      <c r="A10" s="97">
        <v>6</v>
      </c>
      <c r="B10" s="72" t="s">
        <v>185</v>
      </c>
      <c r="C10" s="73" t="s">
        <v>45</v>
      </c>
      <c r="D10" s="10">
        <v>654304430.72000003</v>
      </c>
      <c r="E10" s="10">
        <v>1628484.9</v>
      </c>
      <c r="F10" s="17">
        <v>257832277.84</v>
      </c>
      <c r="G10" s="10">
        <v>951965.65</v>
      </c>
      <c r="H10" s="12">
        <f t="shared" si="7"/>
        <v>258508797.09</v>
      </c>
      <c r="I10" s="17">
        <v>560602200.09000003</v>
      </c>
      <c r="J10" s="13">
        <f t="shared" si="0"/>
        <v>3.2221789529452215E-3</v>
      </c>
      <c r="K10" s="17">
        <v>768620485.19000006</v>
      </c>
      <c r="L10" s="13">
        <f t="shared" si="8"/>
        <v>3.2630699006762284E-3</v>
      </c>
      <c r="M10" s="13">
        <f t="shared" si="9"/>
        <v>0.3710621989471401</v>
      </c>
      <c r="N10" s="20">
        <f t="shared" si="10"/>
        <v>1.2385379629384686E-3</v>
      </c>
      <c r="O10" s="21">
        <f t="shared" si="11"/>
        <v>0.33632826872432059</v>
      </c>
      <c r="P10" s="22">
        <f t="shared" si="12"/>
        <v>336.57293822428363</v>
      </c>
      <c r="Q10" s="22">
        <f t="shared" si="13"/>
        <v>113.19899361243101</v>
      </c>
      <c r="R10" s="10">
        <v>336.57</v>
      </c>
      <c r="S10" s="10">
        <v>336.57</v>
      </c>
      <c r="T10" s="10">
        <v>185</v>
      </c>
      <c r="U10" s="10">
        <v>2005268.73</v>
      </c>
      <c r="V10" s="10">
        <v>2283666.92</v>
      </c>
    </row>
    <row r="11" spans="1:23">
      <c r="A11" s="98">
        <v>7</v>
      </c>
      <c r="B11" s="19" t="s">
        <v>308</v>
      </c>
      <c r="C11" s="77" t="s">
        <v>35</v>
      </c>
      <c r="D11" s="10">
        <v>4248307438.3800001</v>
      </c>
      <c r="E11" s="10">
        <v>13613414.74</v>
      </c>
      <c r="F11" s="10">
        <v>0</v>
      </c>
      <c r="G11" s="10">
        <v>6634406.7300000004</v>
      </c>
      <c r="H11" s="12">
        <f>(E11+F11)-G11</f>
        <v>6979008.0099999998</v>
      </c>
      <c r="I11" s="29">
        <v>3714847749.48</v>
      </c>
      <c r="J11" s="13">
        <f t="shared" si="0"/>
        <v>2.1351868098000167E-2</v>
      </c>
      <c r="K11" s="29">
        <v>4231332347.0300002</v>
      </c>
      <c r="L11" s="13">
        <f t="shared" si="8"/>
        <v>1.7963524896084736E-2</v>
      </c>
      <c r="M11" s="13">
        <f t="shared" si="9"/>
        <v>0.13903250748898044</v>
      </c>
      <c r="N11" s="20">
        <f t="shared" si="10"/>
        <v>1.5679238088345232E-3</v>
      </c>
      <c r="O11" s="21">
        <f t="shared" si="11"/>
        <v>1.6493641807405204E-3</v>
      </c>
      <c r="P11" s="22">
        <f t="shared" si="12"/>
        <v>8.3862459170826522</v>
      </c>
      <c r="Q11" s="22">
        <f t="shared" si="13"/>
        <v>1.3831973626517563E-2</v>
      </c>
      <c r="R11" s="10">
        <v>8.27</v>
      </c>
      <c r="S11" s="10">
        <v>8.4499999999999993</v>
      </c>
      <c r="T11" s="10">
        <v>3782</v>
      </c>
      <c r="U11" s="10">
        <v>506507664</v>
      </c>
      <c r="V11" s="10">
        <v>504556197</v>
      </c>
    </row>
    <row r="12" spans="1:23">
      <c r="A12" s="119">
        <v>8</v>
      </c>
      <c r="B12" s="19" t="s">
        <v>309</v>
      </c>
      <c r="C12" s="12" t="s">
        <v>328</v>
      </c>
      <c r="D12" s="10">
        <v>6450395835.8500004</v>
      </c>
      <c r="E12" s="10">
        <v>10979166.449999999</v>
      </c>
      <c r="F12" s="10">
        <v>634229592.99000001</v>
      </c>
      <c r="G12" s="10">
        <v>9224949.3699999992</v>
      </c>
      <c r="H12" s="12">
        <f t="shared" si="7"/>
        <v>635983810.07000005</v>
      </c>
      <c r="I12" s="29">
        <v>5098005630.9399996</v>
      </c>
      <c r="J12" s="13">
        <f t="shared" si="0"/>
        <v>2.930185868584519E-2</v>
      </c>
      <c r="K12" s="29">
        <v>6229828383.71</v>
      </c>
      <c r="L12" s="13">
        <f t="shared" si="8"/>
        <v>2.6447858048224467E-2</v>
      </c>
      <c r="M12" s="13">
        <f t="shared" si="9"/>
        <v>0.22201284869144181</v>
      </c>
      <c r="N12" s="20">
        <f t="shared" si="10"/>
        <v>1.4807710263932405E-3</v>
      </c>
      <c r="O12" s="21">
        <f t="shared" si="11"/>
        <v>0.10208689082559569</v>
      </c>
      <c r="P12" s="22">
        <f t="shared" si="12"/>
        <v>628.85727337421793</v>
      </c>
      <c r="Q12" s="22">
        <f t="shared" si="13"/>
        <v>64.198083811835573</v>
      </c>
      <c r="R12" s="10">
        <v>628.86</v>
      </c>
      <c r="S12" s="10">
        <v>638.37</v>
      </c>
      <c r="T12" s="10">
        <v>2084</v>
      </c>
      <c r="U12" s="10">
        <v>8432543.0500000007</v>
      </c>
      <c r="V12" s="10">
        <v>9906585.5600000005</v>
      </c>
    </row>
    <row r="13" spans="1:23">
      <c r="A13" s="103">
        <v>9</v>
      </c>
      <c r="B13" s="19" t="s">
        <v>29</v>
      </c>
      <c r="C13" s="77" t="s">
        <v>30</v>
      </c>
      <c r="D13" s="10">
        <v>682588639.35000002</v>
      </c>
      <c r="E13" s="10">
        <v>4783090.2699999996</v>
      </c>
      <c r="F13" s="10">
        <v>181909234.31</v>
      </c>
      <c r="G13" s="10">
        <v>2110492.02</v>
      </c>
      <c r="H13" s="12">
        <f t="shared" si="7"/>
        <v>184581832.56</v>
      </c>
      <c r="I13" s="29">
        <v>558572392.21000004</v>
      </c>
      <c r="J13" s="13">
        <f t="shared" si="0"/>
        <v>3.2105122056002976E-3</v>
      </c>
      <c r="K13" s="29">
        <v>648724387.74000001</v>
      </c>
      <c r="L13" s="13">
        <f t="shared" si="8"/>
        <v>2.7540679233207478E-3</v>
      </c>
      <c r="M13" s="13">
        <f t="shared" si="9"/>
        <v>0.16139715601287105</v>
      </c>
      <c r="N13" s="20">
        <f t="shared" si="10"/>
        <v>3.2532953283172343E-3</v>
      </c>
      <c r="O13" s="21">
        <f t="shared" si="11"/>
        <v>0.28453043549517043</v>
      </c>
      <c r="P13" s="22">
        <f t="shared" si="12"/>
        <v>324.0422021953321</v>
      </c>
      <c r="Q13" s="22">
        <f t="shared" si="13"/>
        <v>92.199868909451922</v>
      </c>
      <c r="R13" s="10">
        <v>324.04000000000002</v>
      </c>
      <c r="S13" s="10">
        <v>338.34</v>
      </c>
      <c r="T13" s="10">
        <v>2475</v>
      </c>
      <c r="U13" s="10">
        <v>2001975</v>
      </c>
      <c r="V13" s="10">
        <v>2001975</v>
      </c>
    </row>
    <row r="14" spans="1:23">
      <c r="A14" s="103">
        <v>10</v>
      </c>
      <c r="B14" s="19" t="s">
        <v>31</v>
      </c>
      <c r="C14" s="19" t="s">
        <v>32</v>
      </c>
      <c r="D14" s="10">
        <v>144757649.40000001</v>
      </c>
      <c r="E14" s="10">
        <v>633162.92000000004</v>
      </c>
      <c r="F14" s="10">
        <v>43910211.770000003</v>
      </c>
      <c r="G14" s="10">
        <v>4836373.59</v>
      </c>
      <c r="H14" s="12">
        <f t="shared" si="7"/>
        <v>39707001.100000009</v>
      </c>
      <c r="I14" s="29">
        <v>121853565.84999999</v>
      </c>
      <c r="J14" s="13">
        <f t="shared" si="0"/>
        <v>7.0037897667929319E-4</v>
      </c>
      <c r="K14" s="29">
        <v>147579860.69</v>
      </c>
      <c r="L14" s="13">
        <f t="shared" si="8"/>
        <v>6.2652949100685141E-4</v>
      </c>
      <c r="M14" s="13">
        <f t="shared" si="9"/>
        <v>0.2111246778914021</v>
      </c>
      <c r="N14" s="20">
        <f t="shared" si="10"/>
        <v>3.2771230216561059E-2</v>
      </c>
      <c r="O14" s="21">
        <f t="shared" si="11"/>
        <v>0.26905433379834159</v>
      </c>
      <c r="P14" s="22">
        <f t="shared" si="12"/>
        <v>519.82314827005951</v>
      </c>
      <c r="Q14" s="22">
        <f t="shared" si="13"/>
        <v>139.8606708507574</v>
      </c>
      <c r="R14" s="10">
        <v>506.74</v>
      </c>
      <c r="S14" s="10">
        <v>524.12</v>
      </c>
      <c r="T14" s="10">
        <v>43</v>
      </c>
      <c r="U14" s="10">
        <v>282937.87</v>
      </c>
      <c r="V14" s="10">
        <v>283903.98</v>
      </c>
      <c r="W14" s="6"/>
    </row>
    <row r="15" spans="1:23">
      <c r="A15" s="98">
        <v>11</v>
      </c>
      <c r="B15" s="77" t="s">
        <v>33</v>
      </c>
      <c r="C15" s="77" t="s">
        <v>34</v>
      </c>
      <c r="D15" s="10">
        <v>20705114932.450001</v>
      </c>
      <c r="E15" s="10">
        <v>59715554.68</v>
      </c>
      <c r="F15" s="10">
        <v>2406941242.5999999</v>
      </c>
      <c r="G15" s="10">
        <v>29747844.129999999</v>
      </c>
      <c r="H15" s="12">
        <f t="shared" si="7"/>
        <v>2436908953.1499996</v>
      </c>
      <c r="I15" s="29">
        <v>15537353947.969999</v>
      </c>
      <c r="J15" s="13">
        <f t="shared" si="0"/>
        <v>8.9304206918153176E-2</v>
      </c>
      <c r="K15" s="29">
        <v>20543400462.779999</v>
      </c>
      <c r="L15" s="13">
        <f t="shared" si="8"/>
        <v>8.7214110213397228E-2</v>
      </c>
      <c r="M15" s="13">
        <f t="shared" si="9"/>
        <v>0.32219427655273658</v>
      </c>
      <c r="N15" s="20">
        <f t="shared" si="10"/>
        <v>1.4480486900840185E-3</v>
      </c>
      <c r="O15" s="21">
        <f t="shared" si="11"/>
        <v>0.11862247233923752</v>
      </c>
      <c r="P15" s="22">
        <f t="shared" si="12"/>
        <v>6.0197631710692976</v>
      </c>
      <c r="Q15" s="22">
        <f t="shared" si="13"/>
        <v>0.71407919024892852</v>
      </c>
      <c r="R15" s="10">
        <v>9.58</v>
      </c>
      <c r="S15" s="10">
        <v>6.03</v>
      </c>
      <c r="T15" s="10">
        <v>9754</v>
      </c>
      <c r="U15" s="10">
        <v>2990496963.4000001</v>
      </c>
      <c r="V15" s="10">
        <v>3412659249.04</v>
      </c>
    </row>
    <row r="16" spans="1:23">
      <c r="A16" s="104">
        <v>12</v>
      </c>
      <c r="B16" s="106" t="s">
        <v>228</v>
      </c>
      <c r="C16" s="73" t="s">
        <v>251</v>
      </c>
      <c r="D16" s="17">
        <v>529341438.75999999</v>
      </c>
      <c r="E16" s="10">
        <v>5622209.8499999996</v>
      </c>
      <c r="F16" s="10">
        <v>0</v>
      </c>
      <c r="G16" s="10">
        <v>1184836.48</v>
      </c>
      <c r="H16" s="12">
        <f t="shared" si="7"/>
        <v>4437373.3699999992</v>
      </c>
      <c r="I16" s="17">
        <v>373218700.61000001</v>
      </c>
      <c r="J16" s="13">
        <f t="shared" si="0"/>
        <v>2.1451529119187224E-3</v>
      </c>
      <c r="K16" s="17">
        <v>565730861.36000001</v>
      </c>
      <c r="L16" s="13">
        <f t="shared" si="8"/>
        <v>2.4017306084824471E-3</v>
      </c>
      <c r="M16" s="13">
        <f t="shared" si="9"/>
        <v>0.51581595572609906</v>
      </c>
      <c r="N16" s="20">
        <f t="shared" si="10"/>
        <v>2.0943465540339953E-3</v>
      </c>
      <c r="O16" s="21">
        <f t="shared" si="11"/>
        <v>7.843611994814436E-3</v>
      </c>
      <c r="P16" s="22">
        <f t="shared" si="12"/>
        <v>46.955469632831083</v>
      </c>
      <c r="Q16" s="22">
        <f t="shared" si="13"/>
        <v>0.3683004848342189</v>
      </c>
      <c r="R16" s="10">
        <v>46.955469999999998</v>
      </c>
      <c r="S16" s="10">
        <v>47.240208000000003</v>
      </c>
      <c r="T16" s="10">
        <v>111</v>
      </c>
      <c r="U16" s="17">
        <v>9963371</v>
      </c>
      <c r="V16" s="17">
        <v>12048242</v>
      </c>
    </row>
    <row r="17" spans="1:23">
      <c r="A17" s="104">
        <v>13</v>
      </c>
      <c r="B17" s="105" t="s">
        <v>36</v>
      </c>
      <c r="C17" s="19" t="s">
        <v>37</v>
      </c>
      <c r="D17" s="10">
        <v>8805590884.5599995</v>
      </c>
      <c r="E17" s="10">
        <v>279372737.79000002</v>
      </c>
      <c r="F17" s="10">
        <v>592863760.75999999</v>
      </c>
      <c r="G17" s="10">
        <v>11201218.300000001</v>
      </c>
      <c r="H17" s="12">
        <f t="shared" si="7"/>
        <v>861035280.25</v>
      </c>
      <c r="I17" s="29">
        <v>7224735220.6899996</v>
      </c>
      <c r="J17" s="13">
        <f t="shared" si="0"/>
        <v>4.1525683925200528E-2</v>
      </c>
      <c r="K17" s="29">
        <v>9978281026.75</v>
      </c>
      <c r="L17" s="13">
        <f t="shared" si="8"/>
        <v>4.2361385243105967E-2</v>
      </c>
      <c r="M17" s="13">
        <f t="shared" si="9"/>
        <v>0.38112757380706092</v>
      </c>
      <c r="N17" s="20">
        <f t="shared" si="10"/>
        <v>1.1225599148762721E-3</v>
      </c>
      <c r="O17" s="21">
        <f t="shared" si="11"/>
        <v>8.6290943093476444E-2</v>
      </c>
      <c r="P17" s="22">
        <f t="shared" si="12"/>
        <v>50.933874332247512</v>
      </c>
      <c r="Q17" s="22">
        <f t="shared" si="13"/>
        <v>4.3951320515342509</v>
      </c>
      <c r="R17" s="10">
        <v>51.26</v>
      </c>
      <c r="S17" s="10">
        <v>51.26</v>
      </c>
      <c r="T17" s="10">
        <v>1990</v>
      </c>
      <c r="U17" s="10">
        <v>174541182.31</v>
      </c>
      <c r="V17" s="10">
        <v>195906578.03999999</v>
      </c>
    </row>
    <row r="18" spans="1:23">
      <c r="A18" s="120">
        <v>14</v>
      </c>
      <c r="B18" s="81" t="s">
        <v>38</v>
      </c>
      <c r="C18" s="81" t="s">
        <v>39</v>
      </c>
      <c r="D18" s="10">
        <v>323022635.13999999</v>
      </c>
      <c r="E18" s="10">
        <v>3367139.18</v>
      </c>
      <c r="F18" s="10">
        <v>153482327.31999999</v>
      </c>
      <c r="G18" s="10">
        <v>447994.13</v>
      </c>
      <c r="H18" s="12">
        <f>(E18+F18)-G18</f>
        <v>156401472.37</v>
      </c>
      <c r="I18" s="29">
        <v>254212919.06</v>
      </c>
      <c r="J18" s="13">
        <f t="shared" si="0"/>
        <v>1.4611421739522182E-3</v>
      </c>
      <c r="K18" s="29">
        <v>323476867.83999997</v>
      </c>
      <c r="L18" s="13">
        <f t="shared" si="8"/>
        <v>1.3732754348237332E-3</v>
      </c>
      <c r="M18" s="13">
        <f t="shared" si="9"/>
        <v>0.27246431470169347</v>
      </c>
      <c r="N18" s="20">
        <f t="shared" si="10"/>
        <v>1.3849340541456877E-3</v>
      </c>
      <c r="O18" s="21">
        <f t="shared" si="11"/>
        <v>0.48350125749134004</v>
      </c>
      <c r="P18" s="22">
        <f t="shared" si="12"/>
        <v>2.9635023021783966</v>
      </c>
      <c r="Q18" s="22">
        <f t="shared" si="13"/>
        <v>1.4328570896817361</v>
      </c>
      <c r="R18" s="10">
        <v>2.57</v>
      </c>
      <c r="S18" s="10">
        <v>2.64</v>
      </c>
      <c r="T18" s="10">
        <v>39</v>
      </c>
      <c r="U18" s="10">
        <v>95936869.180000007</v>
      </c>
      <c r="V18" s="10">
        <v>109153574</v>
      </c>
    </row>
    <row r="19" spans="1:23">
      <c r="A19" s="124">
        <v>15</v>
      </c>
      <c r="B19" s="19" t="s">
        <v>40</v>
      </c>
      <c r="C19" s="19" t="s">
        <v>41</v>
      </c>
      <c r="D19" s="10">
        <v>23138577433.209999</v>
      </c>
      <c r="E19" s="10">
        <v>424104530.02999997</v>
      </c>
      <c r="F19" s="10">
        <v>3347240617.0100002</v>
      </c>
      <c r="G19" s="10">
        <v>32487278.350000001</v>
      </c>
      <c r="H19" s="12">
        <f t="shared" si="7"/>
        <v>3738857868.6900001</v>
      </c>
      <c r="I19" s="29">
        <v>16154486413.85</v>
      </c>
      <c r="J19" s="13">
        <f t="shared" si="0"/>
        <v>9.2851305453297145E-2</v>
      </c>
      <c r="K19" s="29">
        <v>23105730605.580002</v>
      </c>
      <c r="L19" s="13">
        <f t="shared" si="8"/>
        <v>9.8092121567074961E-2</v>
      </c>
      <c r="M19" s="13">
        <f t="shared" si="9"/>
        <v>0.43029806170565554</v>
      </c>
      <c r="N19" s="20">
        <f t="shared" si="10"/>
        <v>1.4060268815803802E-3</v>
      </c>
      <c r="O19" s="21">
        <f t="shared" si="11"/>
        <v>0.16181517617915406</v>
      </c>
      <c r="P19" s="22">
        <f t="shared" si="12"/>
        <v>79.606782305370331</v>
      </c>
      <c r="Q19" s="22">
        <f t="shared" si="13"/>
        <v>12.881585503799064</v>
      </c>
      <c r="R19" s="10">
        <v>79.606800000000007</v>
      </c>
      <c r="S19" s="10">
        <v>79.72</v>
      </c>
      <c r="T19" s="10">
        <v>16285</v>
      </c>
      <c r="U19" s="10">
        <v>246060734</v>
      </c>
      <c r="V19" s="10">
        <v>290248267</v>
      </c>
    </row>
    <row r="20" spans="1:23">
      <c r="A20" s="124">
        <v>16</v>
      </c>
      <c r="B20" s="77" t="s">
        <v>42</v>
      </c>
      <c r="C20" s="19" t="s">
        <v>43</v>
      </c>
      <c r="D20" s="10">
        <v>4846146814.7700005</v>
      </c>
      <c r="E20" s="10">
        <v>24420315.379999999</v>
      </c>
      <c r="F20" s="10">
        <v>524695155.55000001</v>
      </c>
      <c r="G20" s="10">
        <v>7787475.4199999999</v>
      </c>
      <c r="H20" s="12">
        <f>(E20+F20)-G20</f>
        <v>541327995.51000011</v>
      </c>
      <c r="I20" s="29">
        <v>3566018924.3200002</v>
      </c>
      <c r="J20" s="13">
        <f t="shared" si="0"/>
        <v>2.0496443149712187E-2</v>
      </c>
      <c r="K20" s="29">
        <v>5024383761.1400003</v>
      </c>
      <c r="L20" s="13">
        <f t="shared" si="8"/>
        <v>2.1330312860929793E-2</v>
      </c>
      <c r="M20" s="13">
        <f t="shared" si="9"/>
        <v>0.40896160894549766</v>
      </c>
      <c r="N20" s="20">
        <f t="shared" si="10"/>
        <v>1.5499364280711456E-3</v>
      </c>
      <c r="O20" s="21">
        <f t="shared" si="11"/>
        <v>0.1077401769539945</v>
      </c>
      <c r="P20" s="22">
        <f t="shared" si="12"/>
        <v>18028.763301710056</v>
      </c>
      <c r="Q20" s="22">
        <f t="shared" si="13"/>
        <v>1942.4221483879237</v>
      </c>
      <c r="R20" s="10">
        <v>17923.509999999998</v>
      </c>
      <c r="S20" s="10">
        <v>18144.439999999999</v>
      </c>
      <c r="T20" s="10">
        <v>74</v>
      </c>
      <c r="U20" s="10">
        <v>223721.82</v>
      </c>
      <c r="V20" s="10">
        <v>278687.09999999998</v>
      </c>
    </row>
    <row r="21" spans="1:23">
      <c r="A21" s="124">
        <v>17</v>
      </c>
      <c r="B21" s="19" t="s">
        <v>44</v>
      </c>
      <c r="C21" s="19" t="s">
        <v>43</v>
      </c>
      <c r="D21" s="10">
        <v>67642553236.879997</v>
      </c>
      <c r="E21" s="10">
        <v>596219612.19000006</v>
      </c>
      <c r="F21" s="10">
        <v>9419110107.8400002</v>
      </c>
      <c r="G21" s="10">
        <v>205523703.53999999</v>
      </c>
      <c r="H21" s="12">
        <f t="shared" si="7"/>
        <v>9809806016.4899998</v>
      </c>
      <c r="I21" s="29">
        <v>53860304566.269997</v>
      </c>
      <c r="J21" s="13">
        <f t="shared" si="0"/>
        <v>0.30957341898549984</v>
      </c>
      <c r="K21" s="29">
        <v>68999453386.580002</v>
      </c>
      <c r="L21" s="13">
        <f t="shared" si="8"/>
        <v>0.29292745099449885</v>
      </c>
      <c r="M21" s="13">
        <f t="shared" si="9"/>
        <v>0.28108175292032961</v>
      </c>
      <c r="N21" s="20">
        <f t="shared" si="10"/>
        <v>2.9786279956237039E-3</v>
      </c>
      <c r="O21" s="21">
        <f t="shared" si="11"/>
        <v>0.14217222796721388</v>
      </c>
      <c r="P21" s="22">
        <f t="shared" si="12"/>
        <v>65096.204259865204</v>
      </c>
      <c r="Q21" s="22">
        <f t="shared" si="13"/>
        <v>9254.8723918338746</v>
      </c>
      <c r="R21" s="10">
        <v>64639.53</v>
      </c>
      <c r="S21" s="10">
        <v>65485.27</v>
      </c>
      <c r="T21" s="10">
        <v>29246</v>
      </c>
      <c r="U21" s="10">
        <v>968612.96</v>
      </c>
      <c r="V21" s="10">
        <v>1059961.24</v>
      </c>
    </row>
    <row r="22" spans="1:23">
      <c r="A22" s="104">
        <v>18</v>
      </c>
      <c r="B22" s="105" t="s">
        <v>46</v>
      </c>
      <c r="C22" s="19" t="s">
        <v>47</v>
      </c>
      <c r="D22" s="10">
        <v>13830332350.5</v>
      </c>
      <c r="E22" s="10">
        <v>188436009</v>
      </c>
      <c r="F22" s="10">
        <v>1362083996.3699999</v>
      </c>
      <c r="G22" s="10">
        <v>23059693.07</v>
      </c>
      <c r="H22" s="12">
        <f t="shared" ref="H22" si="14">(E22+F22)-G22</f>
        <v>1527460312.3</v>
      </c>
      <c r="I22" s="29">
        <v>13391029154</v>
      </c>
      <c r="J22" s="13">
        <f t="shared" si="0"/>
        <v>7.6967754124702956E-2</v>
      </c>
      <c r="K22" s="29">
        <v>16786446303.41</v>
      </c>
      <c r="L22" s="13">
        <f t="shared" si="8"/>
        <v>7.1264491029580934E-2</v>
      </c>
      <c r="M22" s="13">
        <f t="shared" si="9"/>
        <v>0.25355908872737865</v>
      </c>
      <c r="N22" s="20">
        <f t="shared" si="10"/>
        <v>1.3737090419975104E-3</v>
      </c>
      <c r="O22" s="21">
        <f t="shared" si="11"/>
        <v>9.0993667432142059E-2</v>
      </c>
      <c r="P22" s="22">
        <f t="shared" si="12"/>
        <v>2.8336291683946135</v>
      </c>
      <c r="Q22" s="22">
        <f t="shared" si="13"/>
        <v>0.25784231017491677</v>
      </c>
      <c r="R22" s="10">
        <v>2.83362916839461</v>
      </c>
      <c r="S22" s="10">
        <v>2.83362916839461</v>
      </c>
      <c r="T22" s="10">
        <v>4418</v>
      </c>
      <c r="U22" s="10">
        <v>5420807373.1599998</v>
      </c>
      <c r="V22" s="10">
        <v>5924009567.1800003</v>
      </c>
    </row>
    <row r="23" spans="1:23">
      <c r="A23" s="124">
        <v>19</v>
      </c>
      <c r="B23" s="72" t="s">
        <v>293</v>
      </c>
      <c r="C23" s="72" t="s">
        <v>267</v>
      </c>
      <c r="D23" s="10">
        <v>8490323340.5</v>
      </c>
      <c r="E23" s="10">
        <v>1735692620</v>
      </c>
      <c r="F23" s="10">
        <v>1636381556.6300001</v>
      </c>
      <c r="G23" s="10">
        <v>21976439.859999999</v>
      </c>
      <c r="H23" s="12">
        <f t="shared" si="7"/>
        <v>3350097736.77</v>
      </c>
      <c r="I23" s="29">
        <v>3524122038.4099998</v>
      </c>
      <c r="J23" s="13">
        <f t="shared" si="0"/>
        <v>2.0255631993510024E-2</v>
      </c>
      <c r="K23" s="29">
        <v>8694175270.4300003</v>
      </c>
      <c r="L23" s="13">
        <f t="shared" si="8"/>
        <v>3.6909895303051755E-2</v>
      </c>
      <c r="M23" s="13">
        <f t="shared" si="9"/>
        <v>1.4670471611569404</v>
      </c>
      <c r="N23" s="20">
        <f t="shared" si="10"/>
        <v>2.5277199017076039E-3</v>
      </c>
      <c r="O23" s="21">
        <f t="shared" si="11"/>
        <v>0.38532668511573603</v>
      </c>
      <c r="P23" s="22">
        <f t="shared" si="12"/>
        <v>2.0576974589796651</v>
      </c>
      <c r="Q23" s="22">
        <f t="shared" si="13"/>
        <v>0.79288574083970753</v>
      </c>
      <c r="R23" s="10">
        <v>2.0577000000000001</v>
      </c>
      <c r="S23" s="10">
        <v>2.0853999999999999</v>
      </c>
      <c r="T23" s="10">
        <v>2406</v>
      </c>
      <c r="U23" s="10">
        <v>2310435148</v>
      </c>
      <c r="V23" s="10">
        <v>4225196096</v>
      </c>
    </row>
    <row r="24" spans="1:23">
      <c r="A24" s="124">
        <v>20</v>
      </c>
      <c r="B24" s="73" t="s">
        <v>229</v>
      </c>
      <c r="C24" s="73" t="s">
        <v>230</v>
      </c>
      <c r="D24" s="10">
        <v>19433488752.5</v>
      </c>
      <c r="E24" s="10">
        <v>645291520</v>
      </c>
      <c r="F24" s="10">
        <v>3302804161.6799998</v>
      </c>
      <c r="G24" s="10">
        <v>36674573.850000001</v>
      </c>
      <c r="H24" s="12">
        <f t="shared" si="7"/>
        <v>3911421107.8299999</v>
      </c>
      <c r="I24" s="29">
        <v>15875455956</v>
      </c>
      <c r="J24" s="13">
        <f t="shared" si="0"/>
        <v>9.12475192598598E-2</v>
      </c>
      <c r="K24" s="29">
        <v>20729669754</v>
      </c>
      <c r="L24" s="13">
        <f t="shared" si="8"/>
        <v>8.800489022682613E-2</v>
      </c>
      <c r="M24" s="13">
        <f t="shared" si="9"/>
        <v>0.30576846494701082</v>
      </c>
      <c r="N24" s="20">
        <f t="shared" si="10"/>
        <v>1.769182735915186E-3</v>
      </c>
      <c r="O24" s="21">
        <f t="shared" si="11"/>
        <v>0.18868709218463317</v>
      </c>
      <c r="P24" s="22">
        <f t="shared" si="12"/>
        <v>358.09522838366382</v>
      </c>
      <c r="Q24" s="22">
        <f t="shared" si="13"/>
        <v>67.567947368905649</v>
      </c>
      <c r="R24" s="10">
        <v>354.82</v>
      </c>
      <c r="S24" s="10">
        <v>360.36</v>
      </c>
      <c r="T24" s="10">
        <v>142</v>
      </c>
      <c r="U24" s="10">
        <v>53645438</v>
      </c>
      <c r="V24" s="10">
        <v>57888707</v>
      </c>
    </row>
    <row r="25" spans="1:23">
      <c r="A25" s="125" t="s">
        <v>48</v>
      </c>
      <c r="B25" s="125"/>
      <c r="C25" s="125"/>
      <c r="D25" s="125"/>
      <c r="E25" s="125"/>
      <c r="F25" s="125"/>
      <c r="G25" s="125"/>
      <c r="H25" s="125"/>
      <c r="I25" s="49">
        <f>SUM(I5:I24)</f>
        <v>173982329435.05002</v>
      </c>
      <c r="J25" s="34">
        <f>(I25/$I$247)</f>
        <v>2.0227624010647965E-2</v>
      </c>
      <c r="K25" s="49">
        <f>SUM(K5:K24)</f>
        <v>235551339255.92999</v>
      </c>
      <c r="L25" s="34">
        <f>(K25/$K$247)</f>
        <v>2.6527654650800186E-2</v>
      </c>
      <c r="M25" s="34">
        <f t="shared" si="2"/>
        <v>0.35388082238469237</v>
      </c>
      <c r="N25" s="20"/>
      <c r="O25" s="20"/>
      <c r="P25" s="35"/>
      <c r="Q25" s="35"/>
      <c r="R25" s="36"/>
      <c r="S25" s="36"/>
      <c r="T25" s="36">
        <f>SUM(T5:T24)</f>
        <v>91341</v>
      </c>
      <c r="U25" s="36"/>
      <c r="V25" s="36"/>
    </row>
    <row r="26" spans="1:23" ht="6" customHeight="1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5"/>
    </row>
    <row r="27" spans="1:23">
      <c r="A27" s="130" t="s">
        <v>49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</row>
    <row r="28" spans="1:23" ht="13.2" customHeight="1">
      <c r="A28" s="104">
        <v>21</v>
      </c>
      <c r="B28" s="105" t="s">
        <v>50</v>
      </c>
      <c r="C28" s="19" t="s">
        <v>22</v>
      </c>
      <c r="D28" s="10">
        <v>6162421151.8400002</v>
      </c>
      <c r="E28" s="10">
        <v>89866328.5</v>
      </c>
      <c r="F28" s="10">
        <v>0</v>
      </c>
      <c r="G28" s="10">
        <v>11245852.119999999</v>
      </c>
      <c r="H28" s="12">
        <f>(E28+F28)-G28</f>
        <v>78620476.379999995</v>
      </c>
      <c r="I28" s="43">
        <v>6044569279.4099998</v>
      </c>
      <c r="J28" s="13">
        <f>(I28/$I$75)</f>
        <v>1.0962338343992748E-3</v>
      </c>
      <c r="K28" s="43">
        <v>6126386529.7299995</v>
      </c>
      <c r="L28" s="13">
        <f>(K28/$K$75)</f>
        <v>1.0756663086116483E-3</v>
      </c>
      <c r="M28" s="13">
        <f t="shared" ref="M28:M75" si="15">((K28-I28)/I28)</f>
        <v>1.3535662598607149E-2</v>
      </c>
      <c r="N28" s="20">
        <f t="shared" ref="N28" si="16">(G28/K28)</f>
        <v>1.8356419506713076E-3</v>
      </c>
      <c r="O28" s="21">
        <f t="shared" ref="O28" si="17">H28/K28</f>
        <v>1.2833091088600467E-2</v>
      </c>
      <c r="P28" s="24">
        <f t="shared" ref="P28" si="18">K28/V28</f>
        <v>100.3078390186956</v>
      </c>
      <c r="Q28" s="24">
        <f t="shared" ref="Q28" si="19">H28/V28</f>
        <v>1.2872596350275927</v>
      </c>
      <c r="R28" s="10">
        <v>100</v>
      </c>
      <c r="S28" s="10">
        <v>100</v>
      </c>
      <c r="T28" s="10">
        <v>932</v>
      </c>
      <c r="U28" s="18">
        <v>60218201</v>
      </c>
      <c r="V28" s="18">
        <v>61075850</v>
      </c>
    </row>
    <row r="29" spans="1:23" ht="15" customHeight="1">
      <c r="A29" s="97">
        <v>22</v>
      </c>
      <c r="B29" s="19" t="s">
        <v>51</v>
      </c>
      <c r="C29" s="19" t="s">
        <v>52</v>
      </c>
      <c r="D29" s="10">
        <v>40612794192.209999</v>
      </c>
      <c r="E29" s="10">
        <v>669906488.70000005</v>
      </c>
      <c r="F29" s="10">
        <v>0</v>
      </c>
      <c r="G29" s="10">
        <v>63719232.799999997</v>
      </c>
      <c r="H29" s="12">
        <f t="shared" ref="H29:H74" si="20">(E29+F29)-G29</f>
        <v>606187255.9000001</v>
      </c>
      <c r="I29" s="43">
        <v>40162857195.43</v>
      </c>
      <c r="J29" s="13">
        <f t="shared" ref="J29:J74" si="21">(I29/$I$75)</f>
        <v>7.2838743190109028E-3</v>
      </c>
      <c r="K29" s="43">
        <v>40162857195.43</v>
      </c>
      <c r="L29" s="13">
        <f t="shared" ref="L29:L74" si="22">(K29/$K$75)</f>
        <v>7.0517640591327398E-3</v>
      </c>
      <c r="M29" s="13">
        <f t="shared" ref="M29:M74" si="23">((K29-I29)/I29)</f>
        <v>0</v>
      </c>
      <c r="N29" s="20">
        <f t="shared" ref="N29:N74" si="24">(G29/K29)</f>
        <v>1.5865214093197133E-3</v>
      </c>
      <c r="O29" s="21">
        <f t="shared" ref="O29:O74" si="25">H29/K29</f>
        <v>1.5093230368305972E-2</v>
      </c>
      <c r="P29" s="24">
        <f t="shared" ref="P29:P74" si="26">K29/V29</f>
        <v>99.306665059850445</v>
      </c>
      <c r="Q29" s="24">
        <f t="shared" ref="Q29:Q74" si="27">H29/V29</f>
        <v>1.4988583728565243</v>
      </c>
      <c r="R29" s="10">
        <v>100</v>
      </c>
      <c r="S29" s="10">
        <v>100</v>
      </c>
      <c r="T29" s="10">
        <v>4787</v>
      </c>
      <c r="U29" s="18">
        <v>383914343.13999999</v>
      </c>
      <c r="V29" s="18">
        <v>404432644.79000002</v>
      </c>
    </row>
    <row r="30" spans="1:23" ht="15" customHeight="1">
      <c r="A30" s="104">
        <v>23</v>
      </c>
      <c r="B30" s="19" t="s">
        <v>298</v>
      </c>
      <c r="C30" s="19" t="s">
        <v>299</v>
      </c>
      <c r="D30" s="10">
        <v>1232524240.3900001</v>
      </c>
      <c r="E30" s="10">
        <v>24726134.16</v>
      </c>
      <c r="F30" s="10">
        <v>0</v>
      </c>
      <c r="G30" s="10">
        <v>3289142</v>
      </c>
      <c r="H30" s="12">
        <f t="shared" si="20"/>
        <v>21436992.16</v>
      </c>
      <c r="I30" s="43">
        <v>1774679866.1199999</v>
      </c>
      <c r="J30" s="13">
        <f t="shared" si="21"/>
        <v>3.218532246945828E-4</v>
      </c>
      <c r="K30" s="43">
        <v>1846329326.45</v>
      </c>
      <c r="L30" s="13">
        <f t="shared" si="22"/>
        <v>3.2417710528483915E-4</v>
      </c>
      <c r="M30" s="13">
        <f t="shared" si="23"/>
        <v>4.03731747330002E-2</v>
      </c>
      <c r="N30" s="20">
        <f t="shared" si="24"/>
        <v>1.7814492533269482E-3</v>
      </c>
      <c r="O30" s="21">
        <f t="shared" si="25"/>
        <v>1.161060047787771E-2</v>
      </c>
      <c r="P30" s="24">
        <f t="shared" si="26"/>
        <v>0.99630261930618946</v>
      </c>
      <c r="Q30" s="24">
        <f t="shared" si="27"/>
        <v>1.1567671667827257E-2</v>
      </c>
      <c r="R30" s="10">
        <v>1</v>
      </c>
      <c r="S30" s="10">
        <v>1</v>
      </c>
      <c r="T30" s="10">
        <v>176</v>
      </c>
      <c r="U30" s="18">
        <v>1767818174</v>
      </c>
      <c r="V30" s="18">
        <v>1853181243</v>
      </c>
    </row>
    <row r="31" spans="1:23">
      <c r="A31" s="124">
        <v>24</v>
      </c>
      <c r="B31" s="105" t="s">
        <v>53</v>
      </c>
      <c r="C31" s="19" t="s">
        <v>24</v>
      </c>
      <c r="D31" s="10">
        <v>3359979837.1199999</v>
      </c>
      <c r="E31" s="10">
        <v>46570266.909999996</v>
      </c>
      <c r="F31" s="10">
        <v>0</v>
      </c>
      <c r="G31" s="10">
        <v>4277097.21</v>
      </c>
      <c r="H31" s="12">
        <f t="shared" si="20"/>
        <v>42293169.699999996</v>
      </c>
      <c r="I31" s="43">
        <v>3507187026.5599999</v>
      </c>
      <c r="J31" s="13">
        <f t="shared" si="21"/>
        <v>6.3605807202470087E-4</v>
      </c>
      <c r="K31" s="43">
        <v>3374218001.7600002</v>
      </c>
      <c r="L31" s="13">
        <f t="shared" si="22"/>
        <v>5.924426421334716E-4</v>
      </c>
      <c r="M31" s="13">
        <f t="shared" si="23"/>
        <v>-3.7913297407016662E-2</v>
      </c>
      <c r="N31" s="20">
        <f t="shared" si="24"/>
        <v>1.2675817649508881E-3</v>
      </c>
      <c r="O31" s="21">
        <f t="shared" si="25"/>
        <v>1.2534213757955111E-2</v>
      </c>
      <c r="P31" s="24">
        <f t="shared" si="26"/>
        <v>125.52743667492589</v>
      </c>
      <c r="Q31" s="24">
        <f t="shared" si="27"/>
        <v>1.5733877237716951</v>
      </c>
      <c r="R31" s="10">
        <v>100</v>
      </c>
      <c r="S31" s="10">
        <v>100</v>
      </c>
      <c r="T31" s="10">
        <v>1971</v>
      </c>
      <c r="U31" s="18">
        <v>27211269.34</v>
      </c>
      <c r="V31" s="18">
        <v>26880322.670000002</v>
      </c>
    </row>
    <row r="32" spans="1:23">
      <c r="A32" s="104">
        <v>25</v>
      </c>
      <c r="B32" s="19" t="s">
        <v>296</v>
      </c>
      <c r="C32" s="19" t="s">
        <v>297</v>
      </c>
      <c r="D32" s="10">
        <v>1232524240.3900001</v>
      </c>
      <c r="E32" s="10">
        <v>24726134.16</v>
      </c>
      <c r="F32" s="10">
        <v>0</v>
      </c>
      <c r="G32" s="10">
        <v>3289142</v>
      </c>
      <c r="H32" s="12">
        <f t="shared" si="20"/>
        <v>21436992.16</v>
      </c>
      <c r="I32" s="43">
        <v>751756096.84000003</v>
      </c>
      <c r="J32" s="13">
        <f t="shared" si="21"/>
        <v>1.3633733529684763E-4</v>
      </c>
      <c r="K32" s="43">
        <v>1846329326.45</v>
      </c>
      <c r="L32" s="13">
        <f t="shared" si="22"/>
        <v>3.2417710528483915E-4</v>
      </c>
      <c r="M32" s="13">
        <f t="shared" si="23"/>
        <v>1.4560217525485046</v>
      </c>
      <c r="N32" s="20">
        <f t="shared" si="24"/>
        <v>1.7814492533269482E-3</v>
      </c>
      <c r="O32" s="21">
        <f t="shared" si="25"/>
        <v>1.161060047787771E-2</v>
      </c>
      <c r="P32" s="24">
        <f t="shared" si="26"/>
        <v>0.99630261930618946</v>
      </c>
      <c r="Q32" s="24">
        <f t="shared" si="27"/>
        <v>1.1567671667827257E-2</v>
      </c>
      <c r="R32" s="10">
        <v>1</v>
      </c>
      <c r="S32" s="10">
        <v>1</v>
      </c>
      <c r="T32" s="10">
        <v>176</v>
      </c>
      <c r="U32" s="18">
        <v>1767818174</v>
      </c>
      <c r="V32" s="18">
        <v>1853181243</v>
      </c>
    </row>
    <row r="33" spans="1:22">
      <c r="A33" s="124">
        <v>26</v>
      </c>
      <c r="B33" s="19" t="s">
        <v>54</v>
      </c>
      <c r="C33" s="77" t="s">
        <v>55</v>
      </c>
      <c r="D33" s="10">
        <v>152219894236</v>
      </c>
      <c r="E33" s="10">
        <v>6055222727</v>
      </c>
      <c r="F33" s="10">
        <v>0</v>
      </c>
      <c r="G33" s="10">
        <v>6055222727</v>
      </c>
      <c r="H33" s="12">
        <f t="shared" si="20"/>
        <v>0</v>
      </c>
      <c r="I33" s="43">
        <v>390223685451</v>
      </c>
      <c r="J33" s="13">
        <f t="shared" si="21"/>
        <v>7.077037042697619E-2</v>
      </c>
      <c r="K33" s="43">
        <v>405313077838</v>
      </c>
      <c r="L33" s="13">
        <f t="shared" si="22"/>
        <v>7.1164563344853396E-2</v>
      </c>
      <c r="M33" s="13">
        <f t="shared" si="23"/>
        <v>3.8668571256920178E-2</v>
      </c>
      <c r="N33" s="20">
        <f t="shared" si="24"/>
        <v>1.4939618428547767E-2</v>
      </c>
      <c r="O33" s="21">
        <f t="shared" si="25"/>
        <v>0</v>
      </c>
      <c r="P33" s="24">
        <f t="shared" si="26"/>
        <v>1</v>
      </c>
      <c r="Q33" s="24">
        <f t="shared" si="27"/>
        <v>0</v>
      </c>
      <c r="R33" s="10">
        <v>1</v>
      </c>
      <c r="S33" s="10">
        <v>1</v>
      </c>
      <c r="T33" s="10">
        <v>84170</v>
      </c>
      <c r="U33" s="18">
        <v>390223685451</v>
      </c>
      <c r="V33" s="18">
        <v>405313077838</v>
      </c>
    </row>
    <row r="34" spans="1:22">
      <c r="A34" s="104">
        <v>27</v>
      </c>
      <c r="B34" s="19" t="s">
        <v>246</v>
      </c>
      <c r="C34" s="77" t="s">
        <v>92</v>
      </c>
      <c r="D34" s="10">
        <v>1300161041.45</v>
      </c>
      <c r="E34" s="10">
        <v>40435419.020000003</v>
      </c>
      <c r="F34" s="10">
        <v>0</v>
      </c>
      <c r="G34" s="10">
        <v>9567922.9000000004</v>
      </c>
      <c r="H34" s="12">
        <f t="shared" si="20"/>
        <v>30867496.120000005</v>
      </c>
      <c r="I34" s="43">
        <v>2301525442.71</v>
      </c>
      <c r="J34" s="13">
        <f t="shared" si="21"/>
        <v>4.174011322235583E-4</v>
      </c>
      <c r="K34" s="43">
        <v>2367855819.5599999</v>
      </c>
      <c r="L34" s="13">
        <f t="shared" si="22"/>
        <v>4.1574633209814232E-4</v>
      </c>
      <c r="M34" s="13">
        <f t="shared" si="23"/>
        <v>2.8820179703030881E-2</v>
      </c>
      <c r="N34" s="20">
        <f t="shared" si="24"/>
        <v>4.0407540108493315E-3</v>
      </c>
      <c r="O34" s="21">
        <f t="shared" si="25"/>
        <v>1.3036053912157486E-2</v>
      </c>
      <c r="P34" s="24">
        <f t="shared" si="26"/>
        <v>0.96636942259167935</v>
      </c>
      <c r="Q34" s="24">
        <f t="shared" si="27"/>
        <v>1.259764389196563E-2</v>
      </c>
      <c r="R34" s="10">
        <v>1</v>
      </c>
      <c r="S34" s="10">
        <v>1</v>
      </c>
      <c r="T34" s="10">
        <v>403</v>
      </c>
      <c r="U34" s="18">
        <v>2360525234</v>
      </c>
      <c r="V34" s="18">
        <v>2450259460</v>
      </c>
    </row>
    <row r="35" spans="1:22" ht="15" customHeight="1">
      <c r="A35" s="124">
        <v>28</v>
      </c>
      <c r="B35" s="19" t="s">
        <v>56</v>
      </c>
      <c r="C35" s="19" t="s">
        <v>28</v>
      </c>
      <c r="D35" s="10">
        <v>48897410368.760002</v>
      </c>
      <c r="E35" s="10">
        <v>2512079947.6700001</v>
      </c>
      <c r="F35" s="10">
        <v>0</v>
      </c>
      <c r="G35" s="10">
        <v>237986742.25999999</v>
      </c>
      <c r="H35" s="12">
        <f t="shared" si="20"/>
        <v>2274093205.4099998</v>
      </c>
      <c r="I35" s="43">
        <v>172650882417.22</v>
      </c>
      <c r="J35" s="13">
        <f t="shared" si="21"/>
        <v>3.1311699824395321E-2</v>
      </c>
      <c r="K35" s="43">
        <v>172769901135.07001</v>
      </c>
      <c r="L35" s="13">
        <f t="shared" si="22"/>
        <v>3.0334808437454334E-2</v>
      </c>
      <c r="M35" s="13">
        <f t="shared" si="23"/>
        <v>6.8936061133120113E-4</v>
      </c>
      <c r="N35" s="20">
        <f t="shared" si="24"/>
        <v>1.3774780253763301E-3</v>
      </c>
      <c r="O35" s="21">
        <f t="shared" si="25"/>
        <v>1.31625543018175E-2</v>
      </c>
      <c r="P35" s="24">
        <f t="shared" si="26"/>
        <v>1.005317131475441</v>
      </c>
      <c r="Q35" s="24">
        <f t="shared" si="27"/>
        <v>1.3232541333592895E-2</v>
      </c>
      <c r="R35" s="10">
        <v>1</v>
      </c>
      <c r="S35" s="10">
        <v>1</v>
      </c>
      <c r="T35" s="10">
        <v>40594</v>
      </c>
      <c r="U35" s="18">
        <v>172769901135.07001</v>
      </c>
      <c r="V35" s="18">
        <v>171856119552.54999</v>
      </c>
    </row>
    <row r="36" spans="1:22" ht="15" customHeight="1">
      <c r="A36" s="104">
        <v>29</v>
      </c>
      <c r="B36" s="19" t="s">
        <v>241</v>
      </c>
      <c r="C36" s="19" t="s">
        <v>94</v>
      </c>
      <c r="D36" s="10">
        <v>27151334352.41</v>
      </c>
      <c r="E36" s="10">
        <v>328461680.26999998</v>
      </c>
      <c r="F36" s="10">
        <v>0</v>
      </c>
      <c r="G36" s="10">
        <v>30838540.190000001</v>
      </c>
      <c r="H36" s="12">
        <f t="shared" si="20"/>
        <v>297623140.07999998</v>
      </c>
      <c r="I36" s="43">
        <v>21665953291.360001</v>
      </c>
      <c r="J36" s="13">
        <f t="shared" si="21"/>
        <v>3.9293041331178941E-3</v>
      </c>
      <c r="K36" s="43">
        <v>27010533722.360001</v>
      </c>
      <c r="L36" s="13">
        <f t="shared" si="22"/>
        <v>4.7424890613361114E-3</v>
      </c>
      <c r="M36" s="13">
        <f t="shared" si="23"/>
        <v>0.24668106494678563</v>
      </c>
      <c r="N36" s="20">
        <f t="shared" si="24"/>
        <v>1.1417227259182621E-3</v>
      </c>
      <c r="O36" s="21">
        <f t="shared" si="25"/>
        <v>1.1018780418752705E-2</v>
      </c>
      <c r="P36" s="24">
        <f t="shared" si="26"/>
        <v>1.2466810649467857</v>
      </c>
      <c r="Q36" s="24">
        <f t="shared" si="27"/>
        <v>1.373690490686541E-2</v>
      </c>
      <c r="R36" s="10">
        <v>1</v>
      </c>
      <c r="S36" s="10">
        <v>1</v>
      </c>
      <c r="T36" s="10">
        <v>1839</v>
      </c>
      <c r="U36" s="18">
        <v>21665953291.360001</v>
      </c>
      <c r="V36" s="18">
        <v>21665953291.360001</v>
      </c>
    </row>
    <row r="37" spans="1:22">
      <c r="A37" s="124">
        <v>30</v>
      </c>
      <c r="B37" s="77" t="s">
        <v>236</v>
      </c>
      <c r="C37" s="77" t="s">
        <v>41</v>
      </c>
      <c r="D37" s="10">
        <v>40479976856.019997</v>
      </c>
      <c r="E37" s="10">
        <v>579162237.11000001</v>
      </c>
      <c r="F37" s="10">
        <v>0</v>
      </c>
      <c r="G37" s="10">
        <v>66298745.579999998</v>
      </c>
      <c r="H37" s="12">
        <f t="shared" si="20"/>
        <v>512863491.53000003</v>
      </c>
      <c r="I37" s="43">
        <v>41057743651.720001</v>
      </c>
      <c r="J37" s="13">
        <f t="shared" si="21"/>
        <v>7.4461695572626049E-3</v>
      </c>
      <c r="K37" s="43">
        <v>39913422863.870003</v>
      </c>
      <c r="L37" s="13">
        <f t="shared" si="22"/>
        <v>7.0079685680438063E-3</v>
      </c>
      <c r="M37" s="13">
        <f t="shared" si="23"/>
        <v>-2.7871010096339289E-2</v>
      </c>
      <c r="N37" s="20">
        <f t="shared" si="24"/>
        <v>1.6610638933704238E-3</v>
      </c>
      <c r="O37" s="21">
        <f t="shared" si="25"/>
        <v>1.2849398892176917E-2</v>
      </c>
      <c r="P37" s="24">
        <f t="shared" si="26"/>
        <v>100.00034441131226</v>
      </c>
      <c r="Q37" s="24">
        <f t="shared" si="27"/>
        <v>1.2849443146960258</v>
      </c>
      <c r="R37" s="10">
        <v>100</v>
      </c>
      <c r="S37" s="10">
        <v>100</v>
      </c>
      <c r="T37" s="10">
        <v>10356</v>
      </c>
      <c r="U37" s="18">
        <v>410576063.79000002</v>
      </c>
      <c r="V37" s="18">
        <v>399132853.98000002</v>
      </c>
    </row>
    <row r="38" spans="1:22">
      <c r="A38" s="104">
        <v>31</v>
      </c>
      <c r="B38" s="25" t="s">
        <v>192</v>
      </c>
      <c r="C38" s="25" t="s">
        <v>193</v>
      </c>
      <c r="D38" s="10">
        <v>3911175073.3600001</v>
      </c>
      <c r="E38" s="10">
        <v>95102352.900000006</v>
      </c>
      <c r="F38" s="10">
        <v>0</v>
      </c>
      <c r="G38" s="10">
        <v>4971051.2</v>
      </c>
      <c r="H38" s="12">
        <f t="shared" si="20"/>
        <v>90131301.700000003</v>
      </c>
      <c r="I38" s="43">
        <v>3481773926.8899999</v>
      </c>
      <c r="J38" s="13">
        <f t="shared" si="21"/>
        <v>6.3144919115867924E-4</v>
      </c>
      <c r="K38" s="43">
        <v>3832831702.1199999</v>
      </c>
      <c r="L38" s="13">
        <f t="shared" si="22"/>
        <v>6.7296568842691387E-4</v>
      </c>
      <c r="M38" s="13">
        <f t="shared" si="23"/>
        <v>0.10082727443006986</v>
      </c>
      <c r="N38" s="20">
        <f t="shared" si="24"/>
        <v>1.2969656865576521E-3</v>
      </c>
      <c r="O38" s="21">
        <f t="shared" si="25"/>
        <v>2.3515590744604558E-2</v>
      </c>
      <c r="P38" s="24">
        <f t="shared" si="26"/>
        <v>1.0014991335398233</v>
      </c>
      <c r="Q38" s="24">
        <f t="shared" si="27"/>
        <v>2.3550843755398551E-2</v>
      </c>
      <c r="R38" s="10">
        <v>1</v>
      </c>
      <c r="S38" s="10">
        <v>1</v>
      </c>
      <c r="T38" s="10">
        <v>733</v>
      </c>
      <c r="U38" s="18">
        <v>3473486075.8299999</v>
      </c>
      <c r="V38" s="18">
        <v>3827094376.5799999</v>
      </c>
    </row>
    <row r="39" spans="1:22">
      <c r="A39" s="123">
        <v>32</v>
      </c>
      <c r="B39" s="19" t="s">
        <v>208</v>
      </c>
      <c r="C39" s="19" t="s">
        <v>57</v>
      </c>
      <c r="D39" s="10">
        <v>99655549907.610001</v>
      </c>
      <c r="E39" s="10">
        <v>1444919230.0599999</v>
      </c>
      <c r="F39" s="10">
        <v>0</v>
      </c>
      <c r="G39" s="10">
        <v>155718649.88999999</v>
      </c>
      <c r="H39" s="12">
        <f t="shared" si="20"/>
        <v>1289200580.1700001</v>
      </c>
      <c r="I39" s="43">
        <v>93350937832.470001</v>
      </c>
      <c r="J39" s="13">
        <f t="shared" si="21"/>
        <v>1.6929983228655396E-2</v>
      </c>
      <c r="K39" s="43">
        <v>97973286407.020004</v>
      </c>
      <c r="L39" s="13">
        <f t="shared" si="22"/>
        <v>1.7202075451911707E-2</v>
      </c>
      <c r="M39" s="13">
        <f t="shared" si="23"/>
        <v>4.9515823642236875E-2</v>
      </c>
      <c r="N39" s="20">
        <f t="shared" si="24"/>
        <v>1.58939906581354E-3</v>
      </c>
      <c r="O39" s="21">
        <f t="shared" si="25"/>
        <v>1.3158694859067481E-2</v>
      </c>
      <c r="P39" s="24">
        <f t="shared" si="26"/>
        <v>100.00000000002041</v>
      </c>
      <c r="Q39" s="24">
        <f t="shared" si="27"/>
        <v>1.3158694859070168</v>
      </c>
      <c r="R39" s="10">
        <v>100</v>
      </c>
      <c r="S39" s="10">
        <v>100</v>
      </c>
      <c r="T39" s="10">
        <v>6159</v>
      </c>
      <c r="U39" s="18">
        <v>933509378.32000005</v>
      </c>
      <c r="V39" s="18">
        <v>979732864.07000005</v>
      </c>
    </row>
    <row r="40" spans="1:22">
      <c r="A40" s="104">
        <v>33</v>
      </c>
      <c r="B40" s="19" t="s">
        <v>58</v>
      </c>
      <c r="C40" s="19" t="s">
        <v>59</v>
      </c>
      <c r="D40" s="10">
        <v>16544854213.559999</v>
      </c>
      <c r="E40" s="10">
        <v>606517470.83000004</v>
      </c>
      <c r="F40" s="10">
        <v>0</v>
      </c>
      <c r="G40" s="10">
        <v>48154380.770000003</v>
      </c>
      <c r="H40" s="12">
        <f t="shared" si="20"/>
        <v>558363090.06000006</v>
      </c>
      <c r="I40" s="43">
        <v>41744375800</v>
      </c>
      <c r="J40" s="13">
        <f t="shared" si="21"/>
        <v>7.5706961129089765E-3</v>
      </c>
      <c r="K40" s="43">
        <v>42631190600</v>
      </c>
      <c r="L40" s="13">
        <f t="shared" si="22"/>
        <v>7.4851521695355047E-3</v>
      </c>
      <c r="M40" s="13">
        <f t="shared" si="23"/>
        <v>2.1243934853614459E-2</v>
      </c>
      <c r="N40" s="20">
        <f t="shared" si="24"/>
        <v>1.1295574928184154E-3</v>
      </c>
      <c r="O40" s="21">
        <f t="shared" si="25"/>
        <v>1.3097525126591235E-2</v>
      </c>
      <c r="P40" s="24">
        <f t="shared" si="26"/>
        <v>100</v>
      </c>
      <c r="Q40" s="24">
        <f t="shared" si="27"/>
        <v>1.3097525126591234</v>
      </c>
      <c r="R40" s="10">
        <v>100</v>
      </c>
      <c r="S40" s="10">
        <v>100</v>
      </c>
      <c r="T40" s="10">
        <v>5888</v>
      </c>
      <c r="U40" s="18">
        <v>417443758</v>
      </c>
      <c r="V40" s="18">
        <v>426311906</v>
      </c>
    </row>
    <row r="41" spans="1:22">
      <c r="A41" s="123">
        <v>34</v>
      </c>
      <c r="B41" s="19" t="s">
        <v>60</v>
      </c>
      <c r="C41" s="19" t="s">
        <v>61</v>
      </c>
      <c r="D41" s="10">
        <v>67297211655.970001</v>
      </c>
      <c r="E41" s="10">
        <v>870647249.86000001</v>
      </c>
      <c r="F41" s="10">
        <v>0</v>
      </c>
      <c r="G41" s="10">
        <v>123969167.06</v>
      </c>
      <c r="H41" s="12">
        <f t="shared" si="20"/>
        <v>746678082.79999995</v>
      </c>
      <c r="I41" s="43">
        <v>65442549957.68</v>
      </c>
      <c r="J41" s="13">
        <f t="shared" si="21"/>
        <v>1.186856071239804E-2</v>
      </c>
      <c r="K41" s="43">
        <v>67571133487.860001</v>
      </c>
      <c r="L41" s="13">
        <f t="shared" si="22"/>
        <v>1.186408845979142E-2</v>
      </c>
      <c r="M41" s="13">
        <f t="shared" si="23"/>
        <v>3.252598701542804E-2</v>
      </c>
      <c r="N41" s="20">
        <f t="shared" si="24"/>
        <v>1.8346468478625212E-3</v>
      </c>
      <c r="O41" s="21">
        <f t="shared" si="25"/>
        <v>1.1050252441512618E-2</v>
      </c>
      <c r="P41" s="24">
        <f t="shared" si="26"/>
        <v>1</v>
      </c>
      <c r="Q41" s="24">
        <f t="shared" si="27"/>
        <v>1.1050252441512618E-2</v>
      </c>
      <c r="R41" s="10">
        <v>1</v>
      </c>
      <c r="S41" s="10">
        <v>1</v>
      </c>
      <c r="T41" s="10">
        <v>17018</v>
      </c>
      <c r="U41" s="18">
        <v>65442079957.68</v>
      </c>
      <c r="V41" s="18">
        <v>67571133487.860001</v>
      </c>
    </row>
    <row r="42" spans="1:22">
      <c r="A42" s="104">
        <v>35</v>
      </c>
      <c r="B42" s="72" t="s">
        <v>280</v>
      </c>
      <c r="C42" s="73" t="s">
        <v>101</v>
      </c>
      <c r="D42" s="10">
        <v>1596994969.46</v>
      </c>
      <c r="E42" s="10">
        <v>24926109.370000001</v>
      </c>
      <c r="F42" s="10">
        <v>0</v>
      </c>
      <c r="G42" s="10">
        <v>1756489.33</v>
      </c>
      <c r="H42" s="12">
        <f t="shared" ref="H42" si="28">(E42+F42)-G42</f>
        <v>23169620.039999999</v>
      </c>
      <c r="I42" s="43">
        <v>1469784659.4000001</v>
      </c>
      <c r="J42" s="13">
        <f t="shared" si="21"/>
        <v>2.6655789659053484E-4</v>
      </c>
      <c r="K42" s="43">
        <v>1584333041.0999999</v>
      </c>
      <c r="L42" s="13">
        <f t="shared" si="22"/>
        <v>2.7817599586009331E-4</v>
      </c>
      <c r="M42" s="13">
        <f t="shared" si="23"/>
        <v>7.7935485968918125E-2</v>
      </c>
      <c r="N42" s="20">
        <f t="shared" si="24"/>
        <v>1.1086616793527656E-3</v>
      </c>
      <c r="O42" s="21">
        <f t="shared" si="25"/>
        <v>1.4624210591425506E-2</v>
      </c>
      <c r="P42" s="24">
        <f t="shared" si="26"/>
        <v>1000.0000006942984</v>
      </c>
      <c r="Q42" s="24">
        <f t="shared" si="27"/>
        <v>14.624210601579071</v>
      </c>
      <c r="R42" s="10">
        <v>1000</v>
      </c>
      <c r="S42" s="10">
        <v>1000</v>
      </c>
      <c r="T42" s="10">
        <v>125</v>
      </c>
      <c r="U42" s="18">
        <v>1466862.56</v>
      </c>
      <c r="V42" s="18">
        <v>1584333.04</v>
      </c>
    </row>
    <row r="43" spans="1:22">
      <c r="A43" s="123">
        <v>36</v>
      </c>
      <c r="B43" s="19" t="s">
        <v>62</v>
      </c>
      <c r="C43" s="19" t="s">
        <v>63</v>
      </c>
      <c r="D43" s="10">
        <v>33379911796.52</v>
      </c>
      <c r="E43" s="10">
        <v>1261246940.03</v>
      </c>
      <c r="F43" s="10">
        <v>0</v>
      </c>
      <c r="G43" s="10">
        <v>132203356.48</v>
      </c>
      <c r="H43" s="12">
        <f t="shared" si="20"/>
        <v>1129043583.55</v>
      </c>
      <c r="I43" s="43">
        <v>88560877904.910004</v>
      </c>
      <c r="J43" s="13">
        <f t="shared" si="21"/>
        <v>1.6061265290509115E-2</v>
      </c>
      <c r="K43" s="43">
        <v>86933786351.570007</v>
      </c>
      <c r="L43" s="13">
        <f t="shared" si="22"/>
        <v>1.5263768390165258E-2</v>
      </c>
      <c r="M43" s="13">
        <f t="shared" si="23"/>
        <v>-1.8372577054701789E-2</v>
      </c>
      <c r="N43" s="20">
        <f t="shared" si="24"/>
        <v>1.5207362065808886E-3</v>
      </c>
      <c r="O43" s="21">
        <f t="shared" si="25"/>
        <v>1.2987396856085628E-2</v>
      </c>
      <c r="P43" s="24">
        <f t="shared" si="26"/>
        <v>101.45839152074424</v>
      </c>
      <c r="Q43" s="24">
        <f t="shared" si="27"/>
        <v>1.3176803950600184</v>
      </c>
      <c r="R43" s="10">
        <v>100</v>
      </c>
      <c r="S43" s="10">
        <v>100</v>
      </c>
      <c r="T43" s="10">
        <v>8234</v>
      </c>
      <c r="U43" s="18">
        <v>845987303</v>
      </c>
      <c r="V43" s="18">
        <v>856841756</v>
      </c>
    </row>
    <row r="44" spans="1:22">
      <c r="A44" s="104">
        <v>37</v>
      </c>
      <c r="B44" s="19" t="s">
        <v>64</v>
      </c>
      <c r="C44" s="19" t="s">
        <v>63</v>
      </c>
      <c r="D44" s="10">
        <v>5191524358.21</v>
      </c>
      <c r="E44" s="10">
        <v>149128113.72</v>
      </c>
      <c r="F44" s="10">
        <v>0</v>
      </c>
      <c r="G44" s="10">
        <v>13056928.25</v>
      </c>
      <c r="H44" s="12">
        <f t="shared" si="20"/>
        <v>136071185.47</v>
      </c>
      <c r="I44" s="43">
        <v>11264743012.299999</v>
      </c>
      <c r="J44" s="13">
        <f t="shared" si="21"/>
        <v>2.0429565540692109E-3</v>
      </c>
      <c r="K44" s="43">
        <v>10062961798.639999</v>
      </c>
      <c r="L44" s="13">
        <f t="shared" si="22"/>
        <v>1.7668472139514464E-3</v>
      </c>
      <c r="M44" s="13">
        <f t="shared" si="23"/>
        <v>-0.10668518690109238</v>
      </c>
      <c r="N44" s="20">
        <f t="shared" si="24"/>
        <v>1.2975233843941089E-3</v>
      </c>
      <c r="O44" s="21">
        <f t="shared" si="25"/>
        <v>1.3521981717985842E-2</v>
      </c>
      <c r="P44" s="24">
        <f t="shared" si="26"/>
        <v>1015640.0684941461</v>
      </c>
      <c r="Q44" s="24">
        <f t="shared" si="27"/>
        <v>13733.466438231731</v>
      </c>
      <c r="R44" s="10">
        <v>1038519.14</v>
      </c>
      <c r="S44" s="10">
        <v>1038519.14</v>
      </c>
      <c r="T44" s="10">
        <v>96</v>
      </c>
      <c r="U44" s="18">
        <v>8596</v>
      </c>
      <c r="V44" s="18">
        <v>9908</v>
      </c>
    </row>
    <row r="45" spans="1:22">
      <c r="A45" s="123">
        <v>38</v>
      </c>
      <c r="B45" s="77" t="s">
        <v>65</v>
      </c>
      <c r="C45" s="77" t="s">
        <v>66</v>
      </c>
      <c r="D45" s="10">
        <v>7911718137</v>
      </c>
      <c r="E45" s="10">
        <v>137723572.03999999</v>
      </c>
      <c r="F45" s="10">
        <v>0</v>
      </c>
      <c r="G45" s="10">
        <v>13323475</v>
      </c>
      <c r="H45" s="12">
        <f t="shared" si="20"/>
        <v>124400097.03999999</v>
      </c>
      <c r="I45" s="43">
        <v>8061187529.0100002</v>
      </c>
      <c r="J45" s="13">
        <f t="shared" si="21"/>
        <v>1.4619646340790734E-3</v>
      </c>
      <c r="K45" s="43">
        <v>7491273043</v>
      </c>
      <c r="L45" s="13">
        <f t="shared" si="22"/>
        <v>1.3153120492579978E-3</v>
      </c>
      <c r="M45" s="13">
        <f t="shared" si="23"/>
        <v>-7.0698576848514508E-2</v>
      </c>
      <c r="N45" s="20">
        <f t="shared" si="24"/>
        <v>1.7785328239303371E-3</v>
      </c>
      <c r="O45" s="21">
        <f t="shared" si="25"/>
        <v>1.6606002254348745E-2</v>
      </c>
      <c r="P45" s="24">
        <f t="shared" si="26"/>
        <v>0.93470352007867363</v>
      </c>
      <c r="Q45" s="24">
        <f t="shared" si="27"/>
        <v>1.5521688761574162E-2</v>
      </c>
      <c r="R45" s="10">
        <v>1</v>
      </c>
      <c r="S45" s="10">
        <v>1</v>
      </c>
      <c r="T45" s="10">
        <v>11947</v>
      </c>
      <c r="U45" s="18">
        <v>8172000783</v>
      </c>
      <c r="V45" s="18">
        <v>8014598086</v>
      </c>
    </row>
    <row r="46" spans="1:22">
      <c r="A46" s="104">
        <v>39</v>
      </c>
      <c r="B46" s="19" t="s">
        <v>311</v>
      </c>
      <c r="C46" s="19" t="s">
        <v>264</v>
      </c>
      <c r="D46" s="10">
        <v>67284930926.949997</v>
      </c>
      <c r="E46" s="10">
        <v>966930793.79999995</v>
      </c>
      <c r="F46" s="10">
        <v>0</v>
      </c>
      <c r="G46" s="10">
        <v>84773394.290000007</v>
      </c>
      <c r="H46" s="12">
        <f>(E46+F46)-G46</f>
        <v>882157399.50999999</v>
      </c>
      <c r="I46" s="43">
        <v>61437883954.089996</v>
      </c>
      <c r="J46" s="13">
        <f t="shared" si="21"/>
        <v>1.1142280614400321E-2</v>
      </c>
      <c r="K46" s="43">
        <v>67125177509.889999</v>
      </c>
      <c r="L46" s="13">
        <f t="shared" si="22"/>
        <v>1.1785787846812071E-2</v>
      </c>
      <c r="M46" s="13">
        <f t="shared" si="23"/>
        <v>9.2569815068010541E-2</v>
      </c>
      <c r="N46" s="20">
        <f t="shared" si="24"/>
        <v>1.2629150109511409E-3</v>
      </c>
      <c r="O46" s="21">
        <f t="shared" si="25"/>
        <v>1.3141974922599286E-2</v>
      </c>
      <c r="P46" s="24">
        <f t="shared" si="26"/>
        <v>0.99993732952955205</v>
      </c>
      <c r="Q46" s="24">
        <f t="shared" si="27"/>
        <v>1.3141151308848272E-2</v>
      </c>
      <c r="R46" s="10">
        <v>1</v>
      </c>
      <c r="S46" s="10">
        <v>1</v>
      </c>
      <c r="T46" s="10">
        <v>3670</v>
      </c>
      <c r="U46" s="18">
        <v>61420466400</v>
      </c>
      <c r="V46" s="18">
        <v>67129384540</v>
      </c>
    </row>
    <row r="47" spans="1:22">
      <c r="A47" s="123">
        <v>40</v>
      </c>
      <c r="B47" s="105" t="s">
        <v>310</v>
      </c>
      <c r="C47" s="12" t="s">
        <v>328</v>
      </c>
      <c r="D47" s="10">
        <v>736835416130.55005</v>
      </c>
      <c r="E47" s="10">
        <v>10830218372.959999</v>
      </c>
      <c r="F47" s="10">
        <v>0</v>
      </c>
      <c r="G47" s="10">
        <v>1181606727.49</v>
      </c>
      <c r="H47" s="12">
        <f t="shared" ref="H47" si="29">(E47+F47)-G47</f>
        <v>9648611645.4699993</v>
      </c>
      <c r="I47" s="43">
        <v>723970332792.89001</v>
      </c>
      <c r="J47" s="13">
        <f t="shared" si="21"/>
        <v>0.13129815165032485</v>
      </c>
      <c r="K47" s="43">
        <v>726008332091.96997</v>
      </c>
      <c r="L47" s="13">
        <f t="shared" si="22"/>
        <v>0.12747199328885414</v>
      </c>
      <c r="M47" s="13">
        <f t="shared" si="23"/>
        <v>2.815031509948595E-3</v>
      </c>
      <c r="N47" s="20">
        <f t="shared" si="24"/>
        <v>1.6275387970896115E-3</v>
      </c>
      <c r="O47" s="21">
        <f t="shared" si="25"/>
        <v>1.3289946160353051E-2</v>
      </c>
      <c r="P47" s="24">
        <f t="shared" si="26"/>
        <v>100.0000000126679</v>
      </c>
      <c r="Q47" s="24">
        <f t="shared" si="27"/>
        <v>1.3289946162036608</v>
      </c>
      <c r="R47" s="10">
        <v>100</v>
      </c>
      <c r="S47" s="10">
        <v>100</v>
      </c>
      <c r="T47" s="10">
        <v>17310</v>
      </c>
      <c r="U47" s="18">
        <v>7236392624</v>
      </c>
      <c r="V47" s="18">
        <v>7260083320</v>
      </c>
    </row>
    <row r="48" spans="1:22" s="6" customFormat="1">
      <c r="A48" s="104">
        <v>41</v>
      </c>
      <c r="B48" s="19" t="s">
        <v>301</v>
      </c>
      <c r="C48" s="19" t="s">
        <v>67</v>
      </c>
      <c r="D48" s="10">
        <v>2816522231.1599998</v>
      </c>
      <c r="E48" s="10">
        <v>100727941.37</v>
      </c>
      <c r="F48" s="10">
        <v>0</v>
      </c>
      <c r="G48" s="10">
        <v>6768248.5499999998</v>
      </c>
      <c r="H48" s="12">
        <f>(E48+F48)-G48</f>
        <v>93959692.820000008</v>
      </c>
      <c r="I48" s="43">
        <v>5856019435.8400002</v>
      </c>
      <c r="J48" s="13">
        <f t="shared" si="21"/>
        <v>1.0620387233106815E-3</v>
      </c>
      <c r="K48" s="43">
        <v>6302863531.6099997</v>
      </c>
      <c r="L48" s="13">
        <f t="shared" si="22"/>
        <v>1.1066520069912568E-3</v>
      </c>
      <c r="M48" s="13">
        <f t="shared" si="23"/>
        <v>7.6305090969340891E-2</v>
      </c>
      <c r="N48" s="20">
        <f t="shared" si="24"/>
        <v>1.0738370767597949E-3</v>
      </c>
      <c r="O48" s="21">
        <f t="shared" si="25"/>
        <v>1.4907461084755392E-2</v>
      </c>
      <c r="P48" s="24">
        <f t="shared" si="26"/>
        <v>1.0507314059689115</v>
      </c>
      <c r="Q48" s="24">
        <f t="shared" si="27"/>
        <v>1.5663737545011869E-2</v>
      </c>
      <c r="R48" s="10">
        <v>1</v>
      </c>
      <c r="S48" s="10">
        <v>1</v>
      </c>
      <c r="T48" s="10">
        <v>2303</v>
      </c>
      <c r="U48" s="18">
        <v>5685333231.0900002</v>
      </c>
      <c r="V48" s="18">
        <v>5998548721.21</v>
      </c>
    </row>
    <row r="49" spans="1:22">
      <c r="A49" s="123">
        <v>42</v>
      </c>
      <c r="B49" s="105" t="s">
        <v>242</v>
      </c>
      <c r="C49" s="19" t="s">
        <v>243</v>
      </c>
      <c r="D49" s="10">
        <v>4893285021.8299999</v>
      </c>
      <c r="E49" s="10">
        <v>74634856.219999999</v>
      </c>
      <c r="F49" s="10">
        <v>0</v>
      </c>
      <c r="G49" s="10">
        <v>69742140.599999994</v>
      </c>
      <c r="H49" s="12">
        <f>(E49+F49)-G49</f>
        <v>4892715.6200000048</v>
      </c>
      <c r="I49" s="43">
        <v>4213314403.5599999</v>
      </c>
      <c r="J49" s="13">
        <f t="shared" si="21"/>
        <v>7.6412025251782769E-4</v>
      </c>
      <c r="K49" s="43">
        <v>5126533258</v>
      </c>
      <c r="L49" s="13">
        <f t="shared" si="22"/>
        <v>9.0011282814875498E-4</v>
      </c>
      <c r="M49" s="13">
        <f t="shared" si="23"/>
        <v>0.21674595507716787</v>
      </c>
      <c r="N49" s="20">
        <f t="shared" si="24"/>
        <v>1.3604152570583011E-2</v>
      </c>
      <c r="O49" s="21">
        <f t="shared" si="25"/>
        <v>9.543906912853592E-4</v>
      </c>
      <c r="P49" s="24">
        <f t="shared" si="26"/>
        <v>0.99839545967615229</v>
      </c>
      <c r="Q49" s="24">
        <f t="shared" si="27"/>
        <v>9.5285933293648688E-4</v>
      </c>
      <c r="R49" s="10">
        <v>1</v>
      </c>
      <c r="S49" s="10">
        <v>1</v>
      </c>
      <c r="T49" s="10">
        <v>776</v>
      </c>
      <c r="U49" s="18">
        <v>4557322214.96</v>
      </c>
      <c r="V49" s="18">
        <v>5134772207.0600004</v>
      </c>
    </row>
    <row r="50" spans="1:22">
      <c r="A50" s="104">
        <v>43</v>
      </c>
      <c r="B50" s="19" t="s">
        <v>294</v>
      </c>
      <c r="C50" s="19" t="s">
        <v>295</v>
      </c>
      <c r="D50" s="10">
        <v>7398998.5899999999</v>
      </c>
      <c r="E50" s="10">
        <v>610000</v>
      </c>
      <c r="F50" s="10">
        <v>0</v>
      </c>
      <c r="G50" s="10">
        <f>E50-611916</f>
        <v>-1916</v>
      </c>
      <c r="H50" s="12">
        <f t="shared" si="20"/>
        <v>611916</v>
      </c>
      <c r="I50" s="43">
        <v>8498998.5899999999</v>
      </c>
      <c r="J50" s="13">
        <f t="shared" si="21"/>
        <v>1.5413653781099745E-6</v>
      </c>
      <c r="K50" s="43">
        <v>8498998.5899999999</v>
      </c>
      <c r="L50" s="13">
        <f t="shared" si="22"/>
        <v>1.4922477378527095E-6</v>
      </c>
      <c r="M50" s="13">
        <f t="shared" si="23"/>
        <v>0</v>
      </c>
      <c r="N50" s="20">
        <f t="shared" si="24"/>
        <v>-2.2543832425791707E-4</v>
      </c>
      <c r="O50" s="21">
        <f t="shared" si="25"/>
        <v>7.1998600013887054E-2</v>
      </c>
      <c r="P50" s="24">
        <f t="shared" si="26"/>
        <v>8.5997010897611026E-3</v>
      </c>
      <c r="Q50" s="24">
        <f t="shared" si="27"/>
        <v>6.1916643900069819E-4</v>
      </c>
      <c r="R50" s="10">
        <v>1</v>
      </c>
      <c r="S50" s="10">
        <v>1</v>
      </c>
      <c r="T50" s="10">
        <v>24</v>
      </c>
      <c r="U50" s="18">
        <v>1000000000</v>
      </c>
      <c r="V50" s="18">
        <v>988290000</v>
      </c>
    </row>
    <row r="51" spans="1:22" ht="15.6" customHeight="1">
      <c r="A51" s="124">
        <v>44</v>
      </c>
      <c r="B51" s="19" t="s">
        <v>68</v>
      </c>
      <c r="C51" s="19" t="s">
        <v>69</v>
      </c>
      <c r="D51" s="10">
        <v>2066307430.5799999</v>
      </c>
      <c r="E51" s="10">
        <v>27132555.079999998</v>
      </c>
      <c r="F51" s="10">
        <v>0</v>
      </c>
      <c r="G51" s="10">
        <v>1687289.96</v>
      </c>
      <c r="H51" s="12">
        <f t="shared" si="20"/>
        <v>25445265.119999997</v>
      </c>
      <c r="I51" s="43">
        <v>2000433635.1800001</v>
      </c>
      <c r="J51" s="13">
        <f t="shared" si="21"/>
        <v>3.6279558277619759E-4</v>
      </c>
      <c r="K51" s="43">
        <v>2027716580.51</v>
      </c>
      <c r="L51" s="13">
        <f t="shared" si="22"/>
        <v>3.5602494202466729E-4</v>
      </c>
      <c r="M51" s="13">
        <f t="shared" si="23"/>
        <v>1.3638515594917494E-2</v>
      </c>
      <c r="N51" s="20">
        <f t="shared" si="24"/>
        <v>8.3211331219455839E-4</v>
      </c>
      <c r="O51" s="21">
        <f t="shared" si="25"/>
        <v>1.2548728636227921E-2</v>
      </c>
      <c r="P51" s="24">
        <f t="shared" si="26"/>
        <v>10.048732562293555</v>
      </c>
      <c r="Q51" s="24">
        <f t="shared" si="27"/>
        <v>0.1260988180622491</v>
      </c>
      <c r="R51" s="10">
        <v>10</v>
      </c>
      <c r="S51" s="10">
        <v>10</v>
      </c>
      <c r="T51" s="10">
        <v>563</v>
      </c>
      <c r="U51" s="18">
        <v>200101300</v>
      </c>
      <c r="V51" s="18">
        <v>201788292</v>
      </c>
    </row>
    <row r="52" spans="1:22">
      <c r="A52" s="104">
        <v>45</v>
      </c>
      <c r="B52" s="105" t="s">
        <v>70</v>
      </c>
      <c r="C52" s="19" t="s">
        <v>71</v>
      </c>
      <c r="D52" s="10">
        <v>4334125649.5</v>
      </c>
      <c r="E52" s="10">
        <v>204442669.02000001</v>
      </c>
      <c r="F52" s="10">
        <v>0</v>
      </c>
      <c r="G52" s="10">
        <v>22797344.329999998</v>
      </c>
      <c r="H52" s="12">
        <f t="shared" si="20"/>
        <v>181645324.69</v>
      </c>
      <c r="I52" s="43">
        <v>12045070667.049999</v>
      </c>
      <c r="J52" s="13">
        <f t="shared" si="21"/>
        <v>2.1844755833850403E-3</v>
      </c>
      <c r="K52" s="43">
        <v>14144972212.639999</v>
      </c>
      <c r="L52" s="13">
        <f t="shared" si="22"/>
        <v>2.4835635119574099E-3</v>
      </c>
      <c r="M52" s="13">
        <f t="shared" si="23"/>
        <v>0.17433700504011193</v>
      </c>
      <c r="N52" s="20">
        <f t="shared" si="24"/>
        <v>1.6116924082486502E-3</v>
      </c>
      <c r="O52" s="21">
        <f t="shared" si="25"/>
        <v>1.2841688336982456E-2</v>
      </c>
      <c r="P52" s="24">
        <f t="shared" si="26"/>
        <v>99.063077241947681</v>
      </c>
      <c r="Q52" s="24">
        <f t="shared" si="27"/>
        <v>1.2721371636435117</v>
      </c>
      <c r="R52" s="10">
        <v>100</v>
      </c>
      <c r="S52" s="10">
        <v>100</v>
      </c>
      <c r="T52" s="10">
        <v>2057</v>
      </c>
      <c r="U52" s="18">
        <v>118379738</v>
      </c>
      <c r="V52" s="18">
        <v>142787531</v>
      </c>
    </row>
    <row r="53" spans="1:22">
      <c r="A53" s="124">
        <v>46</v>
      </c>
      <c r="B53" s="72" t="s">
        <v>226</v>
      </c>
      <c r="C53" s="72" t="s">
        <v>204</v>
      </c>
      <c r="D53" s="10">
        <v>151454805.81</v>
      </c>
      <c r="E53" s="10">
        <v>2738415.30307726</v>
      </c>
      <c r="F53" s="10">
        <v>0</v>
      </c>
      <c r="G53" s="10">
        <v>261573.35</v>
      </c>
      <c r="H53" s="12">
        <f t="shared" si="20"/>
        <v>2476841.9530772599</v>
      </c>
      <c r="I53" s="43">
        <v>222316154.75999999</v>
      </c>
      <c r="J53" s="13">
        <f t="shared" si="21"/>
        <v>4.0318917612810547E-5</v>
      </c>
      <c r="K53" s="43">
        <v>151155618.49000001</v>
      </c>
      <c r="L53" s="13">
        <f t="shared" si="22"/>
        <v>2.6539789054774947E-5</v>
      </c>
      <c r="M53" s="13">
        <f t="shared" si="23"/>
        <v>-0.32008711353801927</v>
      </c>
      <c r="N53" s="20">
        <f t="shared" si="24"/>
        <v>1.7304904218119084E-3</v>
      </c>
      <c r="O53" s="21">
        <f t="shared" si="25"/>
        <v>1.6386039618111317E-2</v>
      </c>
      <c r="P53" s="24">
        <f t="shared" si="26"/>
        <v>1.1885191363791019</v>
      </c>
      <c r="Q53" s="24">
        <f t="shared" si="27"/>
        <v>1.9475121655591416E-2</v>
      </c>
      <c r="R53" s="10">
        <v>1</v>
      </c>
      <c r="S53" s="10">
        <v>1</v>
      </c>
      <c r="T53" s="10">
        <v>147</v>
      </c>
      <c r="U53" s="18">
        <v>215306466.38999999</v>
      </c>
      <c r="V53" s="18">
        <v>127179793.63</v>
      </c>
    </row>
    <row r="54" spans="1:22">
      <c r="A54" s="104">
        <v>47</v>
      </c>
      <c r="B54" s="77" t="s">
        <v>244</v>
      </c>
      <c r="C54" s="77" t="s">
        <v>34</v>
      </c>
      <c r="D54" s="10">
        <v>2492451492.3400002</v>
      </c>
      <c r="E54" s="10">
        <v>33347147.350000001</v>
      </c>
      <c r="F54" s="10">
        <v>0</v>
      </c>
      <c r="G54" s="10">
        <v>3494018.4</v>
      </c>
      <c r="H54" s="12">
        <f t="shared" si="20"/>
        <v>29853128.950000003</v>
      </c>
      <c r="I54" s="43">
        <v>2332510588.3299999</v>
      </c>
      <c r="J54" s="13">
        <f t="shared" si="21"/>
        <v>4.2302055081606851E-4</v>
      </c>
      <c r="K54" s="43">
        <v>2491503890.5500002</v>
      </c>
      <c r="L54" s="13">
        <f t="shared" si="22"/>
        <v>4.3745636678879158E-4</v>
      </c>
      <c r="M54" s="13">
        <f t="shared" si="23"/>
        <v>6.8164021640662389E-2</v>
      </c>
      <c r="N54" s="20">
        <f t="shared" si="24"/>
        <v>1.4023732466372726E-3</v>
      </c>
      <c r="O54" s="21">
        <f t="shared" si="25"/>
        <v>1.1981971636981838E-2</v>
      </c>
      <c r="P54" s="24">
        <f t="shared" si="26"/>
        <v>99.999999981938629</v>
      </c>
      <c r="Q54" s="24">
        <f t="shared" si="27"/>
        <v>1.198197163481773</v>
      </c>
      <c r="R54" s="10">
        <v>100</v>
      </c>
      <c r="S54" s="10">
        <v>100</v>
      </c>
      <c r="T54" s="10">
        <v>9492</v>
      </c>
      <c r="U54" s="18">
        <v>23357232.359999999</v>
      </c>
      <c r="V54" s="18">
        <v>24915038.91</v>
      </c>
    </row>
    <row r="55" spans="1:22">
      <c r="A55" s="124">
        <v>48</v>
      </c>
      <c r="B55" s="77" t="s">
        <v>72</v>
      </c>
      <c r="C55" s="77" t="s">
        <v>34</v>
      </c>
      <c r="D55" s="10">
        <v>458402439935.03998</v>
      </c>
      <c r="E55" s="10">
        <v>6519798292.0600004</v>
      </c>
      <c r="F55" s="10">
        <v>0</v>
      </c>
      <c r="G55" s="10">
        <v>515017599.69</v>
      </c>
      <c r="H55" s="12">
        <f t="shared" si="20"/>
        <v>6004780692.3700008</v>
      </c>
      <c r="I55" s="43">
        <v>413189260922.78003</v>
      </c>
      <c r="J55" s="13">
        <f t="shared" si="21"/>
        <v>7.4935372049899557E-2</v>
      </c>
      <c r="K55" s="43">
        <v>448529126180.92999</v>
      </c>
      <c r="L55" s="13">
        <f t="shared" si="22"/>
        <v>7.87524043940976E-2</v>
      </c>
      <c r="M55" s="13">
        <f t="shared" si="23"/>
        <v>8.5529486364735285E-2</v>
      </c>
      <c r="N55" s="20">
        <f t="shared" si="24"/>
        <v>1.148236691059946E-3</v>
      </c>
      <c r="O55" s="21">
        <f t="shared" si="25"/>
        <v>1.3387716297263963E-2</v>
      </c>
      <c r="P55" s="24">
        <f t="shared" si="26"/>
        <v>99.999999999984382</v>
      </c>
      <c r="Q55" s="24">
        <f t="shared" si="27"/>
        <v>1.3387716297261871</v>
      </c>
      <c r="R55" s="10">
        <v>100</v>
      </c>
      <c r="S55" s="10">
        <v>100</v>
      </c>
      <c r="T55" s="10">
        <v>41815</v>
      </c>
      <c r="U55" s="18">
        <v>4131892609.23</v>
      </c>
      <c r="V55" s="18">
        <v>4485291261.8100004</v>
      </c>
    </row>
    <row r="56" spans="1:22">
      <c r="A56" s="104">
        <v>49</v>
      </c>
      <c r="B56" s="19" t="s">
        <v>252</v>
      </c>
      <c r="C56" s="77" t="s">
        <v>253</v>
      </c>
      <c r="D56" s="10">
        <v>2952810173.0100002</v>
      </c>
      <c r="E56" s="10">
        <v>93043713.950000003</v>
      </c>
      <c r="F56" s="10">
        <v>0</v>
      </c>
      <c r="G56" s="10">
        <v>93043713.760000005</v>
      </c>
      <c r="H56" s="12">
        <f t="shared" si="20"/>
        <v>0.18999999761581421</v>
      </c>
      <c r="I56" s="43">
        <v>5748510777.5900002</v>
      </c>
      <c r="J56" s="13">
        <f t="shared" si="21"/>
        <v>1.0425411175729203E-3</v>
      </c>
      <c r="K56" s="43">
        <v>6336207303.46</v>
      </c>
      <c r="L56" s="13">
        <f t="shared" si="22"/>
        <v>1.1125064812081587E-3</v>
      </c>
      <c r="M56" s="13">
        <f t="shared" si="23"/>
        <v>0.10223456971866116</v>
      </c>
      <c r="N56" s="20">
        <f t="shared" si="24"/>
        <v>1.4684449119774193E-2</v>
      </c>
      <c r="O56" s="21">
        <f t="shared" si="25"/>
        <v>2.998639225583123E-11</v>
      </c>
      <c r="P56" s="24">
        <f t="shared" si="26"/>
        <v>100.00000000725986</v>
      </c>
      <c r="Q56" s="24">
        <f t="shared" si="27"/>
        <v>2.9986392258008197E-9</v>
      </c>
      <c r="R56" s="10">
        <v>100</v>
      </c>
      <c r="S56" s="10">
        <v>100</v>
      </c>
      <c r="T56" s="10">
        <v>997</v>
      </c>
      <c r="U56" s="18">
        <v>57551210.670000002</v>
      </c>
      <c r="V56" s="18">
        <v>63362073.030000001</v>
      </c>
    </row>
    <row r="57" spans="1:22">
      <c r="A57" s="123">
        <v>50</v>
      </c>
      <c r="B57" s="19" t="s">
        <v>73</v>
      </c>
      <c r="C57" s="19" t="s">
        <v>37</v>
      </c>
      <c r="D57" s="10">
        <v>111767629813.00999</v>
      </c>
      <c r="E57" s="10">
        <v>1603959531.27</v>
      </c>
      <c r="F57" s="10">
        <v>0</v>
      </c>
      <c r="G57" s="10">
        <v>151925244.46000001</v>
      </c>
      <c r="H57" s="12">
        <f t="shared" si="20"/>
        <v>1452034286.8099999</v>
      </c>
      <c r="I57" s="43">
        <v>110148854498.25</v>
      </c>
      <c r="J57" s="13">
        <f t="shared" si="21"/>
        <v>1.9976427689003262E-2</v>
      </c>
      <c r="K57" s="43">
        <v>112683904768.12</v>
      </c>
      <c r="L57" s="13">
        <f t="shared" si="22"/>
        <v>1.9784954686365847E-2</v>
      </c>
      <c r="M57" s="13">
        <f t="shared" si="23"/>
        <v>2.3014767438278454E-2</v>
      </c>
      <c r="N57" s="20">
        <f t="shared" si="24"/>
        <v>1.34824263298854E-3</v>
      </c>
      <c r="O57" s="21">
        <f t="shared" si="25"/>
        <v>1.2885906729962758E-2</v>
      </c>
      <c r="P57" s="24">
        <f t="shared" si="26"/>
        <v>10.021823582469839</v>
      </c>
      <c r="Q57" s="24">
        <f t="shared" si="27"/>
        <v>0.12914028394784757</v>
      </c>
      <c r="R57" s="10">
        <v>10</v>
      </c>
      <c r="S57" s="10">
        <v>10</v>
      </c>
      <c r="T57" s="10">
        <v>11005</v>
      </c>
      <c r="U57" s="18">
        <v>10970182157.91</v>
      </c>
      <c r="V57" s="18">
        <v>11243852362.879999</v>
      </c>
    </row>
    <row r="58" spans="1:22">
      <c r="A58" s="104">
        <v>51</v>
      </c>
      <c r="B58" s="19" t="s">
        <v>319</v>
      </c>
      <c r="C58" s="19" t="s">
        <v>323</v>
      </c>
      <c r="D58" s="10">
        <v>441013689.02999997</v>
      </c>
      <c r="E58" s="10">
        <v>216069.62</v>
      </c>
      <c r="F58" s="10">
        <v>435645.9</v>
      </c>
      <c r="G58" s="10"/>
      <c r="H58" s="12">
        <f t="shared" si="20"/>
        <v>651715.52</v>
      </c>
      <c r="I58" s="43">
        <v>0</v>
      </c>
      <c r="J58" s="13">
        <f t="shared" si="21"/>
        <v>0</v>
      </c>
      <c r="K58" s="43">
        <v>440435645.89999998</v>
      </c>
      <c r="L58" s="13">
        <f t="shared" si="22"/>
        <v>7.7331357253934073E-5</v>
      </c>
      <c r="M58" s="13" t="e">
        <f t="shared" si="23"/>
        <v>#DIV/0!</v>
      </c>
      <c r="N58" s="20">
        <f t="shared" si="24"/>
        <v>0</v>
      </c>
      <c r="O58" s="21">
        <f t="shared" si="25"/>
        <v>1.4797065724965657E-3</v>
      </c>
      <c r="P58" s="24">
        <f t="shared" si="26"/>
        <v>0.99868928528891843</v>
      </c>
      <c r="Q58" s="24">
        <f t="shared" si="27"/>
        <v>1.4777670993239103E-3</v>
      </c>
      <c r="R58" s="10">
        <v>1</v>
      </c>
      <c r="S58" s="10">
        <v>1</v>
      </c>
      <c r="T58" s="10">
        <v>279</v>
      </c>
      <c r="U58" s="4">
        <v>440435645.89999998</v>
      </c>
      <c r="V58" s="18">
        <v>441013689.02999997</v>
      </c>
    </row>
    <row r="59" spans="1:22" ht="14.1" customHeight="1">
      <c r="A59" s="123">
        <v>52</v>
      </c>
      <c r="B59" s="105" t="s">
        <v>74</v>
      </c>
      <c r="C59" s="19" t="s">
        <v>237</v>
      </c>
      <c r="D59" s="10">
        <v>19606082418.119999</v>
      </c>
      <c r="E59" s="10">
        <v>758246630.75</v>
      </c>
      <c r="F59" s="10">
        <v>96854466.930000007</v>
      </c>
      <c r="G59" s="10">
        <v>54561925.630000003</v>
      </c>
      <c r="H59" s="12">
        <f t="shared" si="20"/>
        <v>800539172.05000007</v>
      </c>
      <c r="I59" s="43">
        <v>40865505534</v>
      </c>
      <c r="J59" s="13">
        <f t="shared" si="21"/>
        <v>7.411305546418401E-3</v>
      </c>
      <c r="K59" s="43">
        <v>43928340162</v>
      </c>
      <c r="L59" s="13">
        <f t="shared" si="22"/>
        <v>7.7129047075614144E-3</v>
      </c>
      <c r="M59" s="13">
        <f t="shared" si="23"/>
        <v>7.4949143243847285E-2</v>
      </c>
      <c r="N59" s="20">
        <f t="shared" si="24"/>
        <v>1.24206663463234E-3</v>
      </c>
      <c r="O59" s="21">
        <f t="shared" si="25"/>
        <v>1.8223751889958791E-2</v>
      </c>
      <c r="P59" s="24">
        <f t="shared" si="26"/>
        <v>100</v>
      </c>
      <c r="Q59" s="24">
        <f t="shared" si="27"/>
        <v>1.8223751889958788</v>
      </c>
      <c r="R59" s="10">
        <v>100</v>
      </c>
      <c r="S59" s="10">
        <v>100</v>
      </c>
      <c r="T59" s="10">
        <v>6346</v>
      </c>
      <c r="U59" s="18">
        <v>408655055.33999997</v>
      </c>
      <c r="V59" s="18">
        <v>439283401.62</v>
      </c>
    </row>
    <row r="60" spans="1:22">
      <c r="A60" s="104">
        <v>53</v>
      </c>
      <c r="B60" s="105" t="s">
        <v>75</v>
      </c>
      <c r="C60" s="77" t="s">
        <v>76</v>
      </c>
      <c r="D60" s="10">
        <v>184842122.09</v>
      </c>
      <c r="E60" s="10">
        <v>2851719.16</v>
      </c>
      <c r="F60" s="10">
        <v>0</v>
      </c>
      <c r="G60" s="10">
        <v>279410.46000000002</v>
      </c>
      <c r="H60" s="12">
        <f t="shared" si="20"/>
        <v>2572308.7000000002</v>
      </c>
      <c r="I60" s="43">
        <v>178725572.81999999</v>
      </c>
      <c r="J60" s="13">
        <f t="shared" si="21"/>
        <v>3.2413396379634075E-5</v>
      </c>
      <c r="K60" s="43">
        <v>174166697.44</v>
      </c>
      <c r="L60" s="13">
        <f t="shared" si="22"/>
        <v>3.058005687516149E-5</v>
      </c>
      <c r="M60" s="13">
        <f t="shared" si="23"/>
        <v>-2.5507683696677132E-2</v>
      </c>
      <c r="N60" s="20">
        <f t="shared" si="24"/>
        <v>1.6042703002751501E-3</v>
      </c>
      <c r="O60" s="21">
        <f t="shared" si="25"/>
        <v>1.4769233945462819E-2</v>
      </c>
      <c r="P60" s="24">
        <f t="shared" si="26"/>
        <v>1.0629689908787756</v>
      </c>
      <c r="Q60" s="24">
        <f t="shared" si="27"/>
        <v>1.569923770306117E-2</v>
      </c>
      <c r="R60" s="10">
        <v>1</v>
      </c>
      <c r="S60" s="10">
        <v>1</v>
      </c>
      <c r="T60" s="10">
        <v>104</v>
      </c>
      <c r="U60" s="18">
        <v>176619274</v>
      </c>
      <c r="V60" s="18">
        <v>163849274</v>
      </c>
    </row>
    <row r="61" spans="1:22" ht="15" customHeight="1">
      <c r="A61" s="123">
        <v>54</v>
      </c>
      <c r="B61" s="77" t="s">
        <v>77</v>
      </c>
      <c r="C61" s="77" t="s">
        <v>39</v>
      </c>
      <c r="D61" s="10">
        <v>2882673825.5599999</v>
      </c>
      <c r="E61" s="10">
        <v>112113970.06</v>
      </c>
      <c r="F61" s="10">
        <v>0</v>
      </c>
      <c r="G61" s="10">
        <v>3519264.16</v>
      </c>
      <c r="H61" s="12">
        <f t="shared" si="20"/>
        <v>108594705.90000001</v>
      </c>
      <c r="I61" s="43">
        <v>2982811096.4200001</v>
      </c>
      <c r="J61" s="13">
        <f t="shared" si="21"/>
        <v>5.4095805579655251E-4</v>
      </c>
      <c r="K61" s="43">
        <v>2982811096.4200001</v>
      </c>
      <c r="L61" s="13">
        <f t="shared" si="22"/>
        <v>5.2371971402747405E-4</v>
      </c>
      <c r="M61" s="13">
        <f t="shared" si="23"/>
        <v>0</v>
      </c>
      <c r="N61" s="20">
        <f t="shared" si="24"/>
        <v>1.1798481520414942E-3</v>
      </c>
      <c r="O61" s="21">
        <f t="shared" si="25"/>
        <v>3.6406833148212595E-2</v>
      </c>
      <c r="P61" s="24">
        <f t="shared" si="26"/>
        <v>19.251623289507346</v>
      </c>
      <c r="Q61" s="24">
        <f t="shared" si="27"/>
        <v>0.70089063693333753</v>
      </c>
      <c r="R61" s="10">
        <v>10</v>
      </c>
      <c r="S61" s="10">
        <v>10</v>
      </c>
      <c r="T61" s="10">
        <v>982</v>
      </c>
      <c r="U61" s="18">
        <v>153822436.56999999</v>
      </c>
      <c r="V61" s="18">
        <v>154938160.36000001</v>
      </c>
    </row>
    <row r="62" spans="1:22" ht="15" customHeight="1">
      <c r="A62" s="104">
        <v>55</v>
      </c>
      <c r="B62" s="10" t="s">
        <v>187</v>
      </c>
      <c r="C62" s="10" t="s">
        <v>188</v>
      </c>
      <c r="D62" s="10">
        <v>909797340.37</v>
      </c>
      <c r="E62" s="10">
        <v>25866283.710000001</v>
      </c>
      <c r="F62" s="10">
        <v>0</v>
      </c>
      <c r="G62" s="10">
        <v>4054050.16</v>
      </c>
      <c r="H62" s="12">
        <f t="shared" si="20"/>
        <v>21812233.550000001</v>
      </c>
      <c r="I62" s="43">
        <v>1523167054</v>
      </c>
      <c r="J62" s="13">
        <f t="shared" si="21"/>
        <v>2.7623924598313952E-4</v>
      </c>
      <c r="K62" s="43">
        <v>1700540419</v>
      </c>
      <c r="L62" s="13">
        <f t="shared" si="22"/>
        <v>2.9857959929133822E-4</v>
      </c>
      <c r="M62" s="13">
        <f t="shared" si="23"/>
        <v>0.11645036868030892</v>
      </c>
      <c r="N62" s="20">
        <f t="shared" si="24"/>
        <v>2.3839775372019546E-3</v>
      </c>
      <c r="O62" s="21">
        <f t="shared" si="25"/>
        <v>1.28266481092091E-2</v>
      </c>
      <c r="P62" s="24">
        <f t="shared" si="26"/>
        <v>1</v>
      </c>
      <c r="Q62" s="24">
        <f t="shared" si="27"/>
        <v>1.28266481092091E-2</v>
      </c>
      <c r="R62" s="10">
        <v>1</v>
      </c>
      <c r="S62" s="10">
        <v>1</v>
      </c>
      <c r="T62" s="10">
        <v>251</v>
      </c>
      <c r="U62" s="18">
        <v>1523167054</v>
      </c>
      <c r="V62" s="18">
        <v>1700540419</v>
      </c>
    </row>
    <row r="63" spans="1:22" ht="15" customHeight="1">
      <c r="A63" s="123">
        <v>56</v>
      </c>
      <c r="B63" s="10" t="s">
        <v>271</v>
      </c>
      <c r="C63" s="10" t="s">
        <v>272</v>
      </c>
      <c r="D63" s="10">
        <v>1176340612.3299999</v>
      </c>
      <c r="E63" s="10">
        <v>29279514.399999999</v>
      </c>
      <c r="F63" s="10">
        <v>0</v>
      </c>
      <c r="G63" s="10">
        <v>7373388.1699999999</v>
      </c>
      <c r="H63" s="12">
        <f t="shared" si="20"/>
        <v>21906126.229999997</v>
      </c>
      <c r="I63" s="43">
        <v>2427364830.9000001</v>
      </c>
      <c r="J63" s="13">
        <f t="shared" si="21"/>
        <v>4.4022317109138775E-4</v>
      </c>
      <c r="K63" s="43">
        <v>2350213847.71</v>
      </c>
      <c r="L63" s="13">
        <f t="shared" si="22"/>
        <v>4.1264876803743063E-4</v>
      </c>
      <c r="M63" s="13">
        <f t="shared" si="23"/>
        <v>-3.1783843206377262E-2</v>
      </c>
      <c r="N63" s="20">
        <f t="shared" si="24"/>
        <v>3.1373264935803512E-3</v>
      </c>
      <c r="O63" s="21">
        <f t="shared" si="25"/>
        <v>9.3209076490400541E-3</v>
      </c>
      <c r="P63" s="24">
        <f t="shared" si="26"/>
        <v>1</v>
      </c>
      <c r="Q63" s="24">
        <f t="shared" si="27"/>
        <v>9.3209076490400541E-3</v>
      </c>
      <c r="R63" s="10">
        <v>1</v>
      </c>
      <c r="S63" s="10">
        <v>1</v>
      </c>
      <c r="T63" s="10">
        <v>2839</v>
      </c>
      <c r="U63" s="18">
        <v>2427364830.9000001</v>
      </c>
      <c r="V63" s="18">
        <v>2350213847.71</v>
      </c>
    </row>
    <row r="64" spans="1:22" ht="15" customHeight="1">
      <c r="A64" s="104">
        <v>57</v>
      </c>
      <c r="B64" s="72" t="s">
        <v>189</v>
      </c>
      <c r="C64" s="73" t="s">
        <v>190</v>
      </c>
      <c r="D64" s="10">
        <v>15491386802.957199</v>
      </c>
      <c r="E64" s="10">
        <v>215601666.71509999</v>
      </c>
      <c r="F64" s="10">
        <v>0</v>
      </c>
      <c r="G64" s="10">
        <v>215601666.72</v>
      </c>
      <c r="H64" s="12">
        <f t="shared" si="20"/>
        <v>-4.9000084400177002E-3</v>
      </c>
      <c r="I64" s="43">
        <v>15382237580.200001</v>
      </c>
      <c r="J64" s="13">
        <f t="shared" si="21"/>
        <v>2.7896990678265817E-3</v>
      </c>
      <c r="K64" s="43">
        <v>15246991548.08</v>
      </c>
      <c r="L64" s="13">
        <f t="shared" si="22"/>
        <v>2.6770552325367267E-3</v>
      </c>
      <c r="M64" s="13">
        <f t="shared" si="23"/>
        <v>-8.7923510097184677E-3</v>
      </c>
      <c r="N64" s="20">
        <f t="shared" si="24"/>
        <v>1.4140603806339091E-2</v>
      </c>
      <c r="O64" s="21">
        <f t="shared" si="25"/>
        <v>-3.2137542836342302E-13</v>
      </c>
      <c r="P64" s="24">
        <f t="shared" si="26"/>
        <v>98.406948376394155</v>
      </c>
      <c r="Q64" s="24">
        <f t="shared" si="27"/>
        <v>-3.1625575188400928E-11</v>
      </c>
      <c r="R64" s="10">
        <v>100</v>
      </c>
      <c r="S64" s="10">
        <v>100</v>
      </c>
      <c r="T64" s="10">
        <v>198</v>
      </c>
      <c r="U64" s="18">
        <v>153822436.56999999</v>
      </c>
      <c r="V64" s="18">
        <v>154938160.36000001</v>
      </c>
    </row>
    <row r="65" spans="1:23" ht="15" customHeight="1">
      <c r="A65" s="123">
        <v>58</v>
      </c>
      <c r="B65" s="106" t="s">
        <v>191</v>
      </c>
      <c r="C65" s="73" t="s">
        <v>101</v>
      </c>
      <c r="D65" s="10">
        <v>123622427.29000001</v>
      </c>
      <c r="E65" s="10">
        <v>2046176.68</v>
      </c>
      <c r="F65" s="10">
        <v>0</v>
      </c>
      <c r="G65" s="10">
        <v>134949.74</v>
      </c>
      <c r="H65" s="12">
        <f t="shared" si="20"/>
        <v>1911226.94</v>
      </c>
      <c r="I65" s="43">
        <v>99925000</v>
      </c>
      <c r="J65" s="13">
        <f t="shared" si="21"/>
        <v>1.8122245082951496E-5</v>
      </c>
      <c r="K65" s="43">
        <v>105315000</v>
      </c>
      <c r="L65" s="13">
        <f t="shared" si="22"/>
        <v>1.8491127966166434E-5</v>
      </c>
      <c r="M65" s="13">
        <f t="shared" si="23"/>
        <v>5.3940455341506127E-2</v>
      </c>
      <c r="N65" s="20">
        <f t="shared" si="24"/>
        <v>1.2813914447134785E-3</v>
      </c>
      <c r="O65" s="21">
        <f t="shared" si="25"/>
        <v>1.8147718178796943E-2</v>
      </c>
      <c r="P65" s="24">
        <f t="shared" si="26"/>
        <v>1053.9404553415061</v>
      </c>
      <c r="Q65" s="24">
        <f t="shared" si="27"/>
        <v>19.126614360770578</v>
      </c>
      <c r="R65" s="10">
        <v>1000</v>
      </c>
      <c r="S65" s="10">
        <v>1000</v>
      </c>
      <c r="T65" s="10">
        <v>31</v>
      </c>
      <c r="U65" s="18">
        <v>99925</v>
      </c>
      <c r="V65" s="18">
        <v>99925</v>
      </c>
    </row>
    <row r="66" spans="1:23" ht="15" customHeight="1">
      <c r="A66" s="124">
        <v>59</v>
      </c>
      <c r="B66" s="72" t="s">
        <v>300</v>
      </c>
      <c r="C66" s="72" t="s">
        <v>30</v>
      </c>
      <c r="D66" s="10">
        <v>2070743683.5</v>
      </c>
      <c r="E66" s="10">
        <v>32289453.719999999</v>
      </c>
      <c r="F66" s="10">
        <v>0</v>
      </c>
      <c r="G66" s="10">
        <v>32289453.719999999</v>
      </c>
      <c r="H66" s="12">
        <f t="shared" si="20"/>
        <v>0</v>
      </c>
      <c r="I66" s="43">
        <v>2036770000</v>
      </c>
      <c r="J66" s="13">
        <f t="shared" si="21"/>
        <v>3.6938549029375152E-4</v>
      </c>
      <c r="K66" s="43">
        <v>2138468968</v>
      </c>
      <c r="L66" s="13">
        <f t="shared" si="22"/>
        <v>3.7547076236968977E-4</v>
      </c>
      <c r="M66" s="13">
        <f t="shared" si="23"/>
        <v>4.9931493492146879E-2</v>
      </c>
      <c r="N66" s="20">
        <f t="shared" si="24"/>
        <v>1.5099332374319494E-2</v>
      </c>
      <c r="O66" s="21">
        <f t="shared" si="25"/>
        <v>0</v>
      </c>
      <c r="P66" s="24">
        <f t="shared" si="26"/>
        <v>1.0499314934921469</v>
      </c>
      <c r="Q66" s="24">
        <f t="shared" si="27"/>
        <v>0</v>
      </c>
      <c r="R66" s="10">
        <v>1</v>
      </c>
      <c r="S66" s="10">
        <v>1</v>
      </c>
      <c r="T66" s="10">
        <v>404</v>
      </c>
      <c r="U66" s="18">
        <v>1700997000</v>
      </c>
      <c r="V66" s="18">
        <v>2036770000</v>
      </c>
    </row>
    <row r="67" spans="1:23">
      <c r="A67" s="124">
        <v>60</v>
      </c>
      <c r="B67" s="19" t="s">
        <v>78</v>
      </c>
      <c r="C67" s="19" t="s">
        <v>43</v>
      </c>
      <c r="D67" s="10">
        <v>2757170419220.0601</v>
      </c>
      <c r="E67" s="10">
        <v>38907141970.57</v>
      </c>
      <c r="F67" s="10">
        <v>0</v>
      </c>
      <c r="G67" s="10">
        <v>4472971982.0100002</v>
      </c>
      <c r="H67" s="12">
        <f t="shared" si="20"/>
        <v>34434169988.559998</v>
      </c>
      <c r="I67" s="43">
        <v>2692454819144.0698</v>
      </c>
      <c r="J67" s="13">
        <f t="shared" si="21"/>
        <v>0.48829948568729226</v>
      </c>
      <c r="K67" s="43">
        <v>2780811192641.2798</v>
      </c>
      <c r="L67" s="13">
        <f t="shared" si="22"/>
        <v>0.48825272385584018</v>
      </c>
      <c r="M67" s="13">
        <f t="shared" si="23"/>
        <v>3.2816288269341659E-2</v>
      </c>
      <c r="N67" s="20">
        <f t="shared" si="24"/>
        <v>1.6085133697126221E-3</v>
      </c>
      <c r="O67" s="21">
        <f t="shared" si="25"/>
        <v>1.2382778837945346E-2</v>
      </c>
      <c r="P67" s="24">
        <f t="shared" si="26"/>
        <v>1</v>
      </c>
      <c r="Q67" s="24">
        <f t="shared" si="27"/>
        <v>1.2382778837945346E-2</v>
      </c>
      <c r="R67" s="10">
        <v>100</v>
      </c>
      <c r="S67" s="10">
        <v>100</v>
      </c>
      <c r="T67" s="10">
        <v>322446</v>
      </c>
      <c r="U67" s="18">
        <v>2692454819144.0498</v>
      </c>
      <c r="V67" s="18">
        <v>2780811192641.2798</v>
      </c>
    </row>
    <row r="68" spans="1:23">
      <c r="A68" s="104">
        <v>61</v>
      </c>
      <c r="B68" s="19" t="s">
        <v>273</v>
      </c>
      <c r="C68" s="19" t="s">
        <v>274</v>
      </c>
      <c r="D68" s="10">
        <v>5279884547.1599998</v>
      </c>
      <c r="E68" s="10">
        <v>494173444.98000002</v>
      </c>
      <c r="F68" s="10">
        <v>0</v>
      </c>
      <c r="G68" s="10">
        <v>43183473.060000002</v>
      </c>
      <c r="H68" s="12">
        <f t="shared" si="20"/>
        <v>450989971.92000002</v>
      </c>
      <c r="I68" s="43">
        <v>10838433894.346001</v>
      </c>
      <c r="J68" s="13">
        <f t="shared" si="21"/>
        <v>1.965641784825686E-3</v>
      </c>
      <c r="K68" s="43">
        <v>13586230747.65</v>
      </c>
      <c r="L68" s="13">
        <f t="shared" si="22"/>
        <v>2.3854601085568175E-3</v>
      </c>
      <c r="M68" s="13">
        <f t="shared" si="23"/>
        <v>0.25352342230342156</v>
      </c>
      <c r="N68" s="20">
        <f t="shared" si="24"/>
        <v>3.1784734016437497E-3</v>
      </c>
      <c r="O68" s="21">
        <f t="shared" si="25"/>
        <v>3.3194635090237033E-2</v>
      </c>
      <c r="P68" s="24">
        <f t="shared" si="26"/>
        <v>99.99999999742387</v>
      </c>
      <c r="Q68" s="24">
        <f t="shared" si="27"/>
        <v>3.3194635089381896</v>
      </c>
      <c r="R68" s="10">
        <v>100</v>
      </c>
      <c r="S68" s="10">
        <v>100</v>
      </c>
      <c r="T68" s="10">
        <v>1382</v>
      </c>
      <c r="U68" s="18">
        <v>108384338.94</v>
      </c>
      <c r="V68" s="18">
        <v>135862307.47999999</v>
      </c>
    </row>
    <row r="69" spans="1:23">
      <c r="A69" s="124">
        <v>62</v>
      </c>
      <c r="B69" s="105" t="s">
        <v>79</v>
      </c>
      <c r="C69" s="19" t="s">
        <v>80</v>
      </c>
      <c r="D69" s="10">
        <v>16201483541.309999</v>
      </c>
      <c r="E69" s="10">
        <v>269056941.88</v>
      </c>
      <c r="F69" s="10">
        <v>0</v>
      </c>
      <c r="G69" s="10">
        <v>23583711</v>
      </c>
      <c r="H69" s="12">
        <f t="shared" si="20"/>
        <v>245473230.88</v>
      </c>
      <c r="I69" s="43">
        <v>15864716277.549999</v>
      </c>
      <c r="J69" s="13">
        <f t="shared" si="21"/>
        <v>2.8772006660320345E-3</v>
      </c>
      <c r="K69" s="43">
        <v>16212404655.809999</v>
      </c>
      <c r="L69" s="13">
        <f t="shared" si="22"/>
        <v>2.8465617350790979E-3</v>
      </c>
      <c r="M69" s="13">
        <f t="shared" si="23"/>
        <v>2.1915827057809447E-2</v>
      </c>
      <c r="N69" s="20">
        <f t="shared" si="24"/>
        <v>1.4546707598707984E-3</v>
      </c>
      <c r="O69" s="21">
        <f t="shared" si="25"/>
        <v>1.5141074756731437E-2</v>
      </c>
      <c r="P69" s="24">
        <f t="shared" si="26"/>
        <v>1.0150945652430008</v>
      </c>
      <c r="Q69" s="24">
        <f t="shared" si="27"/>
        <v>1.5369622697496071E-2</v>
      </c>
      <c r="R69" s="10">
        <v>1</v>
      </c>
      <c r="S69" s="10">
        <v>1</v>
      </c>
      <c r="T69" s="10">
        <v>895</v>
      </c>
      <c r="U69" s="18">
        <v>15220755077.48</v>
      </c>
      <c r="V69" s="18">
        <v>15971324456.780001</v>
      </c>
    </row>
    <row r="70" spans="1:23">
      <c r="A70" s="104">
        <v>63</v>
      </c>
      <c r="B70" s="19" t="s">
        <v>81</v>
      </c>
      <c r="C70" s="19" t="s">
        <v>47</v>
      </c>
      <c r="D70" s="10">
        <v>65384875042.820007</v>
      </c>
      <c r="E70" s="10">
        <v>3246179298</v>
      </c>
      <c r="F70" s="10">
        <v>0</v>
      </c>
      <c r="G70" s="10">
        <v>335132183.31</v>
      </c>
      <c r="H70" s="12">
        <f t="shared" si="20"/>
        <v>2911047114.6900001</v>
      </c>
      <c r="I70" s="43">
        <v>220367381208</v>
      </c>
      <c r="J70" s="13">
        <f t="shared" si="21"/>
        <v>3.9965491023663507E-2</v>
      </c>
      <c r="K70" s="43">
        <v>229043210473.32999</v>
      </c>
      <c r="L70" s="13">
        <f t="shared" si="22"/>
        <v>4.0215233486625236E-2</v>
      </c>
      <c r="M70" s="13">
        <f t="shared" si="23"/>
        <v>3.936984329428074E-2</v>
      </c>
      <c r="N70" s="20">
        <f t="shared" si="24"/>
        <v>1.4631832247610898E-3</v>
      </c>
      <c r="O70" s="21">
        <f t="shared" si="25"/>
        <v>1.2709597934268239E-2</v>
      </c>
      <c r="P70" s="24">
        <f t="shared" si="26"/>
        <v>1.0055652976188609</v>
      </c>
      <c r="Q70" s="24">
        <f t="shared" si="27"/>
        <v>1.2780330629388501E-2</v>
      </c>
      <c r="R70" s="10">
        <v>1</v>
      </c>
      <c r="S70" s="10">
        <v>1</v>
      </c>
      <c r="T70" s="10">
        <v>21174</v>
      </c>
      <c r="U70" s="18">
        <v>214226027286.76001</v>
      </c>
      <c r="V70" s="18">
        <v>227775571626.92001</v>
      </c>
    </row>
    <row r="71" spans="1:23">
      <c r="A71" s="124">
        <v>64</v>
      </c>
      <c r="B71" s="147" t="s">
        <v>82</v>
      </c>
      <c r="C71" s="19" t="s">
        <v>83</v>
      </c>
      <c r="D71" s="10">
        <v>1216714033.21</v>
      </c>
      <c r="E71" s="10">
        <v>39314567.450000003</v>
      </c>
      <c r="F71" s="10">
        <v>0</v>
      </c>
      <c r="G71" s="10">
        <v>4902079.07</v>
      </c>
      <c r="H71" s="12">
        <f t="shared" si="20"/>
        <v>34412488.380000003</v>
      </c>
      <c r="I71" s="43">
        <v>2752397085.2399998</v>
      </c>
      <c r="J71" s="13">
        <f t="shared" si="21"/>
        <v>4.9917052333570795E-4</v>
      </c>
      <c r="K71" s="43">
        <v>2762874433.5700002</v>
      </c>
      <c r="L71" s="13">
        <f t="shared" si="22"/>
        <v>4.8510340127799913E-4</v>
      </c>
      <c r="M71" s="13">
        <f t="shared" si="23"/>
        <v>3.8066267349962735E-3</v>
      </c>
      <c r="N71" s="20">
        <f t="shared" si="24"/>
        <v>1.7742677736048483E-3</v>
      </c>
      <c r="O71" s="21">
        <f t="shared" si="25"/>
        <v>1.2455321154618853E-2</v>
      </c>
      <c r="P71" s="24">
        <f t="shared" si="26"/>
        <v>1.010770052790521</v>
      </c>
      <c r="Q71" s="24">
        <f t="shared" si="27"/>
        <v>1.258946562097699E-2</v>
      </c>
      <c r="R71" s="10">
        <v>1</v>
      </c>
      <c r="S71" s="10">
        <v>1</v>
      </c>
      <c r="T71" s="10">
        <v>167</v>
      </c>
      <c r="U71" s="18">
        <v>2671291461.9099998</v>
      </c>
      <c r="V71" s="18">
        <v>2733435192.25</v>
      </c>
    </row>
    <row r="72" spans="1:23">
      <c r="A72" s="104">
        <v>65</v>
      </c>
      <c r="B72" s="105" t="s">
        <v>84</v>
      </c>
      <c r="C72" s="19" t="s">
        <v>85</v>
      </c>
      <c r="D72" s="10">
        <v>10184113624.049999</v>
      </c>
      <c r="E72" s="10">
        <v>130680948.27</v>
      </c>
      <c r="F72" s="10">
        <v>0</v>
      </c>
      <c r="G72" s="10">
        <v>13906187.970000001</v>
      </c>
      <c r="H72" s="12">
        <f t="shared" si="20"/>
        <v>116774760.3</v>
      </c>
      <c r="I72" s="43">
        <v>9267367654</v>
      </c>
      <c r="J72" s="13">
        <f t="shared" si="21"/>
        <v>1.6807156157078334E-3</v>
      </c>
      <c r="K72" s="43">
        <v>10331214640.219999</v>
      </c>
      <c r="L72" s="13">
        <f t="shared" si="22"/>
        <v>1.813946844782226E-3</v>
      </c>
      <c r="M72" s="13">
        <f t="shared" si="23"/>
        <v>0.11479494781463856</v>
      </c>
      <c r="N72" s="20">
        <f t="shared" si="24"/>
        <v>1.3460361103971676E-3</v>
      </c>
      <c r="O72" s="21">
        <f t="shared" si="25"/>
        <v>1.1303100784044239E-2</v>
      </c>
      <c r="P72" s="24">
        <f t="shared" si="26"/>
        <v>1.0112643747796457</v>
      </c>
      <c r="Q72" s="24">
        <f t="shared" si="27"/>
        <v>1.143042314744782E-2</v>
      </c>
      <c r="R72" s="10">
        <v>1</v>
      </c>
      <c r="S72" s="10">
        <v>1</v>
      </c>
      <c r="T72" s="10">
        <v>675</v>
      </c>
      <c r="U72" s="18">
        <v>8951241749.6900005</v>
      </c>
      <c r="V72" s="18">
        <v>10216136252.67</v>
      </c>
    </row>
    <row r="73" spans="1:23">
      <c r="A73" s="124">
        <v>66</v>
      </c>
      <c r="B73" s="72" t="s">
        <v>269</v>
      </c>
      <c r="C73" s="72" t="s">
        <v>267</v>
      </c>
      <c r="D73" s="10">
        <v>5482227085.0100002</v>
      </c>
      <c r="E73" s="10">
        <v>244741649.18000001</v>
      </c>
      <c r="F73" s="10">
        <v>0</v>
      </c>
      <c r="G73" s="10">
        <v>30181913.219999999</v>
      </c>
      <c r="H73" s="12">
        <f t="shared" si="20"/>
        <v>214559735.96000001</v>
      </c>
      <c r="I73" s="43">
        <v>15633246590.190001</v>
      </c>
      <c r="J73" s="13">
        <f t="shared" si="21"/>
        <v>2.8352216777547058E-3</v>
      </c>
      <c r="K73" s="43">
        <v>15470884417.190001</v>
      </c>
      <c r="L73" s="13">
        <f t="shared" si="22"/>
        <v>2.7163661729860942E-3</v>
      </c>
      <c r="M73" s="13">
        <f t="shared" si="23"/>
        <v>-1.0385697690068018E-2</v>
      </c>
      <c r="N73" s="20">
        <f t="shared" si="24"/>
        <v>1.9508847979281835E-3</v>
      </c>
      <c r="O73" s="21">
        <f t="shared" si="25"/>
        <v>1.3868614758804514E-2</v>
      </c>
      <c r="P73" s="24">
        <f t="shared" si="26"/>
        <v>1</v>
      </c>
      <c r="Q73" s="24">
        <f t="shared" si="27"/>
        <v>1.3868614758804514E-2</v>
      </c>
      <c r="R73" s="10">
        <v>1</v>
      </c>
      <c r="S73" s="10">
        <v>1</v>
      </c>
      <c r="T73" s="10">
        <v>6294</v>
      </c>
      <c r="U73" s="18">
        <v>15617759632.84</v>
      </c>
      <c r="V73" s="18">
        <v>15470884417.190001</v>
      </c>
    </row>
    <row r="74" spans="1:23">
      <c r="A74" s="104">
        <v>67</v>
      </c>
      <c r="B74" s="72" t="s">
        <v>330</v>
      </c>
      <c r="C74" s="19" t="s">
        <v>86</v>
      </c>
      <c r="D74" s="10">
        <v>146376422627.39001</v>
      </c>
      <c r="E74" s="10">
        <v>2113746434.26</v>
      </c>
      <c r="F74" s="10">
        <v>0</v>
      </c>
      <c r="G74" s="10">
        <v>171555253.27000001</v>
      </c>
      <c r="H74" s="12">
        <f t="shared" si="20"/>
        <v>1942191180.99</v>
      </c>
      <c r="I74" s="43">
        <v>146576596463.29999</v>
      </c>
      <c r="J74" s="13">
        <f t="shared" si="21"/>
        <v>2.6582907225747351E-2</v>
      </c>
      <c r="K74" s="43">
        <v>148401063048.10999</v>
      </c>
      <c r="L74" s="13">
        <f t="shared" si="22"/>
        <v>2.605614629575782E-2</v>
      </c>
      <c r="M74" s="13">
        <f t="shared" si="23"/>
        <v>1.2447188902130153E-2</v>
      </c>
      <c r="N74" s="20">
        <f t="shared" si="24"/>
        <v>1.1560244229138958E-3</v>
      </c>
      <c r="O74" s="21">
        <f t="shared" si="25"/>
        <v>1.3087447900291409E-2</v>
      </c>
      <c r="P74" s="24">
        <f t="shared" si="26"/>
        <v>1.0124763245005906</v>
      </c>
      <c r="Q74" s="24">
        <f t="shared" si="27"/>
        <v>1.3250731147180018E-2</v>
      </c>
      <c r="R74" s="10">
        <v>1</v>
      </c>
      <c r="S74" s="10">
        <v>1</v>
      </c>
      <c r="T74" s="10">
        <v>8392</v>
      </c>
      <c r="U74" s="18">
        <v>140965970503.38</v>
      </c>
      <c r="V74" s="18">
        <v>146572378491.23001</v>
      </c>
    </row>
    <row r="75" spans="1:23" ht="15" customHeight="1">
      <c r="A75" s="125" t="s">
        <v>48</v>
      </c>
      <c r="B75" s="125"/>
      <c r="C75" s="125"/>
      <c r="D75" s="125"/>
      <c r="E75" s="125"/>
      <c r="F75" s="125"/>
      <c r="G75" s="125"/>
      <c r="H75" s="125"/>
      <c r="I75" s="26">
        <f>SUM(I28:I74)</f>
        <v>5513941542154.9756</v>
      </c>
      <c r="J75" s="34">
        <f>(I75/$I$247)</f>
        <v>0.64106473739932535</v>
      </c>
      <c r="K75" s="36">
        <f>SUM(K28:K74)</f>
        <v>5695434058576.4609</v>
      </c>
      <c r="L75" s="34">
        <f>(K75/$K$247)</f>
        <v>0.64141646687121534</v>
      </c>
      <c r="M75" s="34">
        <f t="shared" si="15"/>
        <v>3.291520503689524E-2</v>
      </c>
      <c r="N75" s="20"/>
      <c r="O75" s="20"/>
      <c r="P75" s="37"/>
      <c r="Q75" s="37"/>
      <c r="R75" s="36"/>
      <c r="S75" s="36"/>
      <c r="T75" s="36">
        <f>SUM(T28:T74)</f>
        <v>658622</v>
      </c>
      <c r="U75" s="36"/>
      <c r="V75" s="36"/>
    </row>
    <row r="76" spans="1:23" ht="6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5"/>
    </row>
    <row r="77" spans="1:23" ht="12.75" customHeight="1">
      <c r="A77" s="133" t="s">
        <v>87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5"/>
    </row>
    <row r="78" spans="1:23">
      <c r="A78" s="124">
        <v>68</v>
      </c>
      <c r="B78" s="19" t="s">
        <v>88</v>
      </c>
      <c r="C78" s="19" t="s">
        <v>24</v>
      </c>
      <c r="D78" s="10">
        <v>1132608422.46</v>
      </c>
      <c r="E78" s="10">
        <v>15364444.539999999</v>
      </c>
      <c r="F78" s="10">
        <v>0</v>
      </c>
      <c r="G78" s="10">
        <v>1487485.91</v>
      </c>
      <c r="H78" s="12">
        <f t="shared" ref="H78:H115" si="30">(E78+F78)-G78</f>
        <v>13876958.629999999</v>
      </c>
      <c r="I78" s="10">
        <v>777592090.50999999</v>
      </c>
      <c r="J78" s="13">
        <f t="shared" ref="J78:J115" si="31">(I78/$I$116)</f>
        <v>3.0794346810966268E-3</v>
      </c>
      <c r="K78" s="10">
        <v>1136428594.8599999</v>
      </c>
      <c r="L78" s="13">
        <f t="shared" ref="L78" si="32">(K78/$K$116)</f>
        <v>4.8436078990997406E-3</v>
      </c>
      <c r="M78" s="13">
        <f t="shared" ref="M78:M116" si="33">((K78-I78)/I78)</f>
        <v>0.46147139191532865</v>
      </c>
      <c r="N78" s="20">
        <f t="shared" ref="N78" si="34">(G78/K78)</f>
        <v>1.3089127787947361E-3</v>
      </c>
      <c r="O78" s="21">
        <f t="shared" ref="O78" si="35">H78/K78</f>
        <v>1.2211025569723141E-2</v>
      </c>
      <c r="P78" s="24">
        <f t="shared" ref="P78" si="36">K78/V78</f>
        <v>1.7687098192636379</v>
      </c>
      <c r="Q78" s="24">
        <f t="shared" ref="Q78" si="37">H78/V78</f>
        <v>2.1597760828448678E-2</v>
      </c>
      <c r="R78" s="10">
        <v>1.78</v>
      </c>
      <c r="S78" s="10">
        <v>1.78</v>
      </c>
      <c r="T78" s="17">
        <v>434</v>
      </c>
      <c r="U78" s="10">
        <v>438921519.81</v>
      </c>
      <c r="V78" s="10">
        <v>642518395.32000005</v>
      </c>
    </row>
    <row r="79" spans="1:23" ht="13.2" customHeight="1">
      <c r="A79" s="122">
        <v>69</v>
      </c>
      <c r="B79" s="19" t="s">
        <v>89</v>
      </c>
      <c r="C79" s="77" t="s">
        <v>26</v>
      </c>
      <c r="D79" s="10">
        <v>964842945</v>
      </c>
      <c r="E79" s="10">
        <v>15959932</v>
      </c>
      <c r="F79" s="10">
        <v>3104684</v>
      </c>
      <c r="G79" s="10">
        <v>2446478</v>
      </c>
      <c r="H79" s="12">
        <f t="shared" si="30"/>
        <v>16618138</v>
      </c>
      <c r="I79" s="10">
        <v>1216251531</v>
      </c>
      <c r="J79" s="13">
        <f t="shared" si="31"/>
        <v>4.8166219682633247E-3</v>
      </c>
      <c r="K79" s="10">
        <v>1207175560</v>
      </c>
      <c r="L79" s="13">
        <f t="shared" ref="L79:L115" si="38">(K79/$K$116)</f>
        <v>5.1451407545200613E-3</v>
      </c>
      <c r="M79" s="13">
        <f t="shared" ref="M79:M115" si="39">((K79-I79)/I79)</f>
        <v>-7.4622483661235363E-3</v>
      </c>
      <c r="N79" s="20">
        <f t="shared" ref="N79:N115" si="40">(G79/K79)</f>
        <v>2.0266132624487529E-3</v>
      </c>
      <c r="O79" s="21">
        <f t="shared" ref="O79:O115" si="41">H79/K79</f>
        <v>1.3766131912080792E-2</v>
      </c>
      <c r="P79" s="24">
        <f t="shared" ref="P79:P115" si="42">K79/V79</f>
        <v>1.3790519355601678</v>
      </c>
      <c r="Q79" s="24">
        <f t="shared" ref="Q79:Q115" si="43">H79/V79</f>
        <v>1.8984210858531608E-2</v>
      </c>
      <c r="R79" s="10">
        <v>1.3791</v>
      </c>
      <c r="S79" s="10">
        <v>1.3791</v>
      </c>
      <c r="T79" s="17">
        <v>1532</v>
      </c>
      <c r="U79" s="10">
        <v>889495394</v>
      </c>
      <c r="V79" s="10">
        <v>875366278</v>
      </c>
    </row>
    <row r="80" spans="1:23" ht="15" customHeight="1">
      <c r="A80" s="123">
        <v>70</v>
      </c>
      <c r="B80" s="19" t="s">
        <v>90</v>
      </c>
      <c r="C80" s="19" t="s">
        <v>91</v>
      </c>
      <c r="D80" s="10">
        <v>497449689</v>
      </c>
      <c r="E80" s="10">
        <v>11663870</v>
      </c>
      <c r="F80" s="10">
        <v>22710</v>
      </c>
      <c r="G80" s="10">
        <v>1260852</v>
      </c>
      <c r="H80" s="12">
        <f t="shared" si="30"/>
        <v>10425728</v>
      </c>
      <c r="I80" s="10">
        <v>653295296</v>
      </c>
      <c r="J80" s="13">
        <f t="shared" si="31"/>
        <v>2.5871922001935725E-3</v>
      </c>
      <c r="K80" s="10">
        <v>671867582</v>
      </c>
      <c r="L80" s="13">
        <f t="shared" si="38"/>
        <v>2.8635878594071682E-3</v>
      </c>
      <c r="M80" s="13">
        <f t="shared" si="39"/>
        <v>2.8428623493410243E-2</v>
      </c>
      <c r="N80" s="20">
        <f t="shared" si="40"/>
        <v>1.8766376497087785E-3</v>
      </c>
      <c r="O80" s="21">
        <f t="shared" si="41"/>
        <v>1.551753392977368E-2</v>
      </c>
      <c r="P80" s="24">
        <f t="shared" si="42"/>
        <v>1.2376187200994693</v>
      </c>
      <c r="Q80" s="24">
        <f t="shared" si="43"/>
        <v>1.9204790481266592E-2</v>
      </c>
      <c r="R80" s="10">
        <v>1.2376</v>
      </c>
      <c r="S80" s="10">
        <v>1.2376</v>
      </c>
      <c r="T80" s="17">
        <v>785</v>
      </c>
      <c r="U80" s="10">
        <v>536182881</v>
      </c>
      <c r="V80" s="10">
        <v>542871218</v>
      </c>
    </row>
    <row r="81" spans="1:24">
      <c r="A81" s="123">
        <v>71</v>
      </c>
      <c r="B81" s="19" t="s">
        <v>331</v>
      </c>
      <c r="C81" s="77" t="s">
        <v>92</v>
      </c>
      <c r="D81" s="10">
        <v>272614701.25</v>
      </c>
      <c r="E81" s="10">
        <v>9759804.2899999991</v>
      </c>
      <c r="F81" s="10">
        <v>0</v>
      </c>
      <c r="G81" s="10">
        <v>513290.85</v>
      </c>
      <c r="H81" s="12">
        <f t="shared" si="30"/>
        <v>9246513.4399999995</v>
      </c>
      <c r="I81" s="10">
        <v>330586808.55000001</v>
      </c>
      <c r="J81" s="13">
        <f t="shared" si="31"/>
        <v>1.3091960370818984E-3</v>
      </c>
      <c r="K81" s="10">
        <v>323376468.63999999</v>
      </c>
      <c r="L81" s="13">
        <f t="shared" si="38"/>
        <v>1.3782729728660532E-3</v>
      </c>
      <c r="M81" s="13">
        <f t="shared" si="39"/>
        <v>-2.1810730868619913E-2</v>
      </c>
      <c r="N81" s="20">
        <f t="shared" si="40"/>
        <v>1.5872857173520032E-3</v>
      </c>
      <c r="O81" s="21">
        <f t="shared" si="41"/>
        <v>2.8593649621097551E-2</v>
      </c>
      <c r="P81" s="24">
        <f t="shared" si="42"/>
        <v>1234.0446663562886</v>
      </c>
      <c r="Q81" s="24">
        <f t="shared" si="43"/>
        <v>35.285840806575941</v>
      </c>
      <c r="R81" s="10">
        <v>1234.04</v>
      </c>
      <c r="S81" s="10">
        <v>1234.04</v>
      </c>
      <c r="T81" s="17">
        <v>98</v>
      </c>
      <c r="U81" s="10">
        <v>256816</v>
      </c>
      <c r="V81" s="10">
        <v>262046</v>
      </c>
    </row>
    <row r="82" spans="1:24">
      <c r="A82" s="123">
        <v>72</v>
      </c>
      <c r="B82" s="19" t="s">
        <v>93</v>
      </c>
      <c r="C82" s="77" t="s">
        <v>94</v>
      </c>
      <c r="D82" s="10">
        <v>1801437090.7</v>
      </c>
      <c r="E82" s="10">
        <v>17035581.850000001</v>
      </c>
      <c r="F82" s="10">
        <v>26946364.300000001</v>
      </c>
      <c r="G82" s="10">
        <v>2534275.6</v>
      </c>
      <c r="H82" s="12">
        <f t="shared" si="30"/>
        <v>41447670.550000004</v>
      </c>
      <c r="I82" s="10">
        <v>1870945009.47</v>
      </c>
      <c r="J82" s="13">
        <f t="shared" si="31"/>
        <v>7.4093512767186278E-3</v>
      </c>
      <c r="K82" s="10">
        <v>1793787545.9300001</v>
      </c>
      <c r="L82" s="13">
        <f t="shared" si="38"/>
        <v>7.6453580683119287E-3</v>
      </c>
      <c r="M82" s="13">
        <f t="shared" si="39"/>
        <v>-4.1239835029602004E-2</v>
      </c>
      <c r="N82" s="20">
        <f t="shared" si="40"/>
        <v>1.4128069992180091E-3</v>
      </c>
      <c r="O82" s="21">
        <f t="shared" si="41"/>
        <v>2.3106231640442797E-2</v>
      </c>
      <c r="P82" s="24">
        <f t="shared" si="42"/>
        <v>1.153135410003997</v>
      </c>
      <c r="Q82" s="24">
        <f t="shared" si="43"/>
        <v>2.6644613896349329E-2</v>
      </c>
      <c r="R82" s="10">
        <v>1.1531</v>
      </c>
      <c r="S82" s="10">
        <v>1.1531</v>
      </c>
      <c r="T82" s="17">
        <v>1143</v>
      </c>
      <c r="U82" s="10">
        <v>1611447010.9000001</v>
      </c>
      <c r="V82" s="10">
        <v>1555574072.54</v>
      </c>
    </row>
    <row r="83" spans="1:24">
      <c r="A83" s="124">
        <v>73</v>
      </c>
      <c r="B83" s="19" t="s">
        <v>95</v>
      </c>
      <c r="C83" s="19" t="s">
        <v>96</v>
      </c>
      <c r="D83" s="10">
        <v>521633875.92000002</v>
      </c>
      <c r="E83" s="10">
        <v>6860959.0099999998</v>
      </c>
      <c r="F83" s="10">
        <v>0</v>
      </c>
      <c r="G83" s="10">
        <v>1018767.47</v>
      </c>
      <c r="H83" s="12">
        <f t="shared" si="30"/>
        <v>5842191.54</v>
      </c>
      <c r="I83" s="10">
        <v>499492065.88999999</v>
      </c>
      <c r="J83" s="13">
        <f t="shared" si="31"/>
        <v>1.9780977834090848E-3</v>
      </c>
      <c r="K83" s="10">
        <v>505334257.42000002</v>
      </c>
      <c r="L83" s="13">
        <f t="shared" si="38"/>
        <v>2.1538009620628617E-3</v>
      </c>
      <c r="M83" s="13">
        <f t="shared" si="39"/>
        <v>1.1696264923828881E-2</v>
      </c>
      <c r="N83" s="20">
        <f t="shared" si="40"/>
        <v>2.0160269268134508E-3</v>
      </c>
      <c r="O83" s="21">
        <f t="shared" si="41"/>
        <v>1.1561043911464647E-2</v>
      </c>
      <c r="P83" s="24">
        <f t="shared" si="42"/>
        <v>2.8777816601822459</v>
      </c>
      <c r="Q83" s="24">
        <f t="shared" si="43"/>
        <v>3.3270160140974579E-2</v>
      </c>
      <c r="R83" s="10">
        <v>2.8658999999999999</v>
      </c>
      <c r="S83" s="10">
        <v>2.8658999999999999</v>
      </c>
      <c r="T83" s="17">
        <v>1390</v>
      </c>
      <c r="U83" s="10">
        <v>175598539.81</v>
      </c>
      <c r="V83" s="10">
        <v>175598539.81</v>
      </c>
    </row>
    <row r="84" spans="1:24">
      <c r="A84" s="124">
        <v>74</v>
      </c>
      <c r="B84" s="19" t="s">
        <v>282</v>
      </c>
      <c r="C84" s="19" t="s">
        <v>283</v>
      </c>
      <c r="D84" s="10">
        <v>2884187951.5</v>
      </c>
      <c r="E84" s="10">
        <v>48402653.240000002</v>
      </c>
      <c r="F84" s="10">
        <v>0</v>
      </c>
      <c r="G84" s="10">
        <v>7640551.1299999999</v>
      </c>
      <c r="H84" s="12">
        <f t="shared" ref="H84" si="44">(E84+F84)-G84</f>
        <v>40762102.109999999</v>
      </c>
      <c r="I84" s="10">
        <v>3060819673.9000001</v>
      </c>
      <c r="J84" s="13">
        <f t="shared" si="31"/>
        <v>1.2121515086667813E-2</v>
      </c>
      <c r="K84" s="10">
        <v>3508717351.9400001</v>
      </c>
      <c r="L84" s="13">
        <f t="shared" si="38"/>
        <v>1.4954614094041304E-2</v>
      </c>
      <c r="M84" s="13">
        <f t="shared" si="39"/>
        <v>0.146332592494514</v>
      </c>
      <c r="N84" s="20">
        <f t="shared" si="40"/>
        <v>2.1775909438175385E-3</v>
      </c>
      <c r="O84" s="21">
        <f t="shared" si="41"/>
        <v>1.1617379806173981E-2</v>
      </c>
      <c r="P84" s="24">
        <f t="shared" si="42"/>
        <v>1196.5678183403029</v>
      </c>
      <c r="Q84" s="24">
        <f t="shared" si="43"/>
        <v>13.90098280950429</v>
      </c>
      <c r="R84" s="10">
        <v>1196.56</v>
      </c>
      <c r="S84" s="10">
        <v>1196.56</v>
      </c>
      <c r="T84" s="17">
        <v>327</v>
      </c>
      <c r="U84" s="10">
        <v>2590615</v>
      </c>
      <c r="V84" s="10">
        <v>2932318</v>
      </c>
    </row>
    <row r="85" spans="1:24">
      <c r="A85" s="124">
        <v>75</v>
      </c>
      <c r="B85" s="105" t="s">
        <v>326</v>
      </c>
      <c r="C85" s="19" t="s">
        <v>41</v>
      </c>
      <c r="D85" s="10">
        <v>1193204118.6099999</v>
      </c>
      <c r="E85" s="10">
        <v>15059335.98</v>
      </c>
      <c r="F85" s="10">
        <v>0</v>
      </c>
      <c r="G85" s="10">
        <v>2411281.96</v>
      </c>
      <c r="H85" s="12">
        <f>(E85+F85)-G85</f>
        <v>12648054.02</v>
      </c>
      <c r="I85" s="10">
        <v>1174794607.9200001</v>
      </c>
      <c r="J85" s="13">
        <f t="shared" si="31"/>
        <v>4.6524434892610805E-3</v>
      </c>
      <c r="K85" s="10">
        <v>1190237754.3699999</v>
      </c>
      <c r="L85" s="13">
        <f t="shared" si="38"/>
        <v>5.0729496027715516E-3</v>
      </c>
      <c r="M85" s="13">
        <f t="shared" si="39"/>
        <v>1.3145401201102073E-2</v>
      </c>
      <c r="N85" s="20">
        <f t="shared" si="40"/>
        <v>2.0258826029899432E-3</v>
      </c>
      <c r="O85" s="21">
        <f t="shared" si="41"/>
        <v>1.0626493718219089E-2</v>
      </c>
      <c r="P85" s="24">
        <f t="shared" si="42"/>
        <v>115.30587583766547</v>
      </c>
      <c r="Q85" s="24">
        <f t="shared" si="43"/>
        <v>1.2252971652627025</v>
      </c>
      <c r="R85" s="10">
        <v>115.31</v>
      </c>
      <c r="S85" s="10">
        <v>115.59</v>
      </c>
      <c r="T85" s="17">
        <v>3452</v>
      </c>
      <c r="U85" s="10">
        <v>10164543</v>
      </c>
      <c r="V85" s="10">
        <v>10322438</v>
      </c>
    </row>
    <row r="86" spans="1:24">
      <c r="A86" s="124">
        <v>76</v>
      </c>
      <c r="B86" s="72" t="s">
        <v>223</v>
      </c>
      <c r="C86" s="73" t="s">
        <v>193</v>
      </c>
      <c r="D86" s="10">
        <v>202184780.34999999</v>
      </c>
      <c r="E86" s="10">
        <v>7132227.3300000001</v>
      </c>
      <c r="F86" s="10">
        <v>0</v>
      </c>
      <c r="G86" s="10">
        <v>443463.15</v>
      </c>
      <c r="H86" s="12">
        <f t="shared" si="30"/>
        <v>6688764.1799999997</v>
      </c>
      <c r="I86" s="10">
        <v>212509777.19</v>
      </c>
      <c r="J86" s="13">
        <f t="shared" si="31"/>
        <v>8.4158517806141061E-4</v>
      </c>
      <c r="K86" s="10">
        <v>198485938.63999999</v>
      </c>
      <c r="L86" s="13">
        <f t="shared" si="38"/>
        <v>8.4597313426046513E-4</v>
      </c>
      <c r="M86" s="13">
        <f t="shared" si="39"/>
        <v>-6.5991498063929677E-2</v>
      </c>
      <c r="N86" s="20">
        <f t="shared" si="40"/>
        <v>2.2342295531791938E-3</v>
      </c>
      <c r="O86" s="21">
        <f t="shared" si="41"/>
        <v>3.3698932155247607E-2</v>
      </c>
      <c r="P86" s="24">
        <f t="shared" si="42"/>
        <v>12.041511794625197</v>
      </c>
      <c r="Q86" s="24">
        <f t="shared" si="43"/>
        <v>0.4057860890136884</v>
      </c>
      <c r="R86" s="10">
        <v>12.041499999999999</v>
      </c>
      <c r="S86" s="10">
        <v>12.0869</v>
      </c>
      <c r="T86" s="17">
        <v>47</v>
      </c>
      <c r="U86" s="10">
        <v>17758467.809999999</v>
      </c>
      <c r="V86" s="10">
        <v>16483473.34</v>
      </c>
    </row>
    <row r="87" spans="1:24">
      <c r="A87" s="124">
        <v>77</v>
      </c>
      <c r="B87" s="77" t="s">
        <v>97</v>
      </c>
      <c r="C87" s="19" t="s">
        <v>57</v>
      </c>
      <c r="D87" s="10">
        <v>2145898427.5899999</v>
      </c>
      <c r="E87" s="10">
        <v>29970229.550000001</v>
      </c>
      <c r="F87" s="10">
        <v>0</v>
      </c>
      <c r="G87" s="10">
        <v>3796912.66</v>
      </c>
      <c r="H87" s="12">
        <f t="shared" si="30"/>
        <v>26173316.890000001</v>
      </c>
      <c r="I87" s="10">
        <v>2116369468.0799999</v>
      </c>
      <c r="J87" s="13">
        <f t="shared" si="31"/>
        <v>8.381285789243454E-3</v>
      </c>
      <c r="K87" s="10">
        <v>2110677764.55</v>
      </c>
      <c r="L87" s="13">
        <f t="shared" si="38"/>
        <v>8.9959857918640307E-3</v>
      </c>
      <c r="M87" s="13">
        <f t="shared" si="39"/>
        <v>-2.6893714050616902E-3</v>
      </c>
      <c r="N87" s="20">
        <f t="shared" si="40"/>
        <v>1.7989068363590348E-3</v>
      </c>
      <c r="O87" s="21">
        <f t="shared" si="41"/>
        <v>1.2400432377502303E-2</v>
      </c>
      <c r="P87" s="24">
        <f t="shared" si="42"/>
        <v>4955.7064880477274</v>
      </c>
      <c r="Q87" s="24">
        <f t="shared" si="43"/>
        <v>61.452903187785267</v>
      </c>
      <c r="R87" s="10">
        <v>4955.71</v>
      </c>
      <c r="S87" s="10">
        <v>4955.71</v>
      </c>
      <c r="T87" s="17">
        <v>1229</v>
      </c>
      <c r="U87" s="10">
        <v>430007.01</v>
      </c>
      <c r="V87" s="10">
        <v>425908.55</v>
      </c>
    </row>
    <row r="88" spans="1:24">
      <c r="A88" s="124">
        <v>78</v>
      </c>
      <c r="B88" s="19" t="s">
        <v>98</v>
      </c>
      <c r="C88" s="19" t="s">
        <v>59</v>
      </c>
      <c r="D88" s="10">
        <v>351182930.13</v>
      </c>
      <c r="E88" s="10">
        <v>4351302.51</v>
      </c>
      <c r="F88" s="10">
        <v>0</v>
      </c>
      <c r="G88" s="10">
        <v>742761.41</v>
      </c>
      <c r="H88" s="12">
        <f t="shared" si="30"/>
        <v>3608541.0999999996</v>
      </c>
      <c r="I88" s="10">
        <v>372523484.97000003</v>
      </c>
      <c r="J88" s="13">
        <f t="shared" si="31"/>
        <v>1.4752744441976077E-3</v>
      </c>
      <c r="K88" s="10">
        <v>369395496.38999999</v>
      </c>
      <c r="L88" s="13">
        <f t="shared" si="38"/>
        <v>1.5744121120314573E-3</v>
      </c>
      <c r="M88" s="13">
        <f t="shared" si="39"/>
        <v>-8.3967553891318974E-3</v>
      </c>
      <c r="N88" s="20">
        <f t="shared" si="40"/>
        <v>2.0107484180473282E-3</v>
      </c>
      <c r="O88" s="21">
        <f t="shared" si="41"/>
        <v>9.768773943551759E-3</v>
      </c>
      <c r="P88" s="24">
        <f t="shared" si="42"/>
        <v>114.82693572783882</v>
      </c>
      <c r="Q88" s="24">
        <f t="shared" si="43"/>
        <v>1.1217183777560042</v>
      </c>
      <c r="R88" s="10">
        <v>116.53</v>
      </c>
      <c r="S88" s="10">
        <v>116.53</v>
      </c>
      <c r="T88" s="17">
        <v>97</v>
      </c>
      <c r="U88" s="10">
        <v>3232687</v>
      </c>
      <c r="V88" s="10">
        <v>3216976</v>
      </c>
      <c r="W88" s="15"/>
      <c r="X88" s="15"/>
    </row>
    <row r="89" spans="1:24">
      <c r="A89" s="124">
        <v>79</v>
      </c>
      <c r="B89" s="77" t="s">
        <v>99</v>
      </c>
      <c r="C89" s="77" t="s">
        <v>61</v>
      </c>
      <c r="D89" s="10">
        <v>1132235979.98</v>
      </c>
      <c r="E89" s="10">
        <v>17459273.050000001</v>
      </c>
      <c r="F89" s="10">
        <v>10160267.109999999</v>
      </c>
      <c r="G89" s="10">
        <v>3144884.44</v>
      </c>
      <c r="H89" s="12">
        <f t="shared" si="30"/>
        <v>24474655.719999999</v>
      </c>
      <c r="I89" s="10">
        <v>1379994115.4000001</v>
      </c>
      <c r="J89" s="13">
        <f t="shared" si="31"/>
        <v>5.4650784010480758E-3</v>
      </c>
      <c r="K89" s="10">
        <v>1128818358.8199999</v>
      </c>
      <c r="L89" s="13">
        <f t="shared" si="38"/>
        <v>4.8111720737746147E-3</v>
      </c>
      <c r="M89" s="13">
        <f t="shared" si="39"/>
        <v>-0.18201219394851931</v>
      </c>
      <c r="N89" s="20">
        <f t="shared" si="40"/>
        <v>2.7859968926156344E-3</v>
      </c>
      <c r="O89" s="21">
        <f t="shared" si="41"/>
        <v>2.168165987802002E-2</v>
      </c>
      <c r="P89" s="24">
        <f t="shared" si="42"/>
        <v>1.559867672933871</v>
      </c>
      <c r="Q89" s="24">
        <f t="shared" si="43"/>
        <v>3.3820520339270764E-2</v>
      </c>
      <c r="R89" s="10">
        <v>1.5599000000000001</v>
      </c>
      <c r="S89" s="10">
        <v>1.5599000000000001</v>
      </c>
      <c r="T89" s="17">
        <v>2826</v>
      </c>
      <c r="U89" s="10">
        <v>886212609.07000005</v>
      </c>
      <c r="V89" s="10">
        <v>723662896.79999995</v>
      </c>
    </row>
    <row r="90" spans="1:24">
      <c r="A90" s="123">
        <v>80</v>
      </c>
      <c r="B90" s="72" t="s">
        <v>234</v>
      </c>
      <c r="C90" s="73" t="s">
        <v>61</v>
      </c>
      <c r="D90" s="16">
        <v>171560799.93000001</v>
      </c>
      <c r="E90" s="10">
        <v>2267302.25</v>
      </c>
      <c r="F90" s="10">
        <v>958002.2</v>
      </c>
      <c r="G90" s="10">
        <v>252294.74</v>
      </c>
      <c r="H90" s="12">
        <f t="shared" si="30"/>
        <v>2973009.71</v>
      </c>
      <c r="I90" s="10">
        <v>144574642.06</v>
      </c>
      <c r="J90" s="13">
        <f t="shared" si="31"/>
        <v>5.7254719048736207E-4</v>
      </c>
      <c r="K90" s="10">
        <v>172317680.30000001</v>
      </c>
      <c r="L90" s="13">
        <f t="shared" si="38"/>
        <v>7.3444058098383704E-4</v>
      </c>
      <c r="M90" s="13">
        <f t="shared" si="39"/>
        <v>0.19189422048498903</v>
      </c>
      <c r="N90" s="20">
        <f t="shared" si="40"/>
        <v>1.4641256750947567E-3</v>
      </c>
      <c r="O90" s="21">
        <f t="shared" si="41"/>
        <v>1.7253074117664986E-2</v>
      </c>
      <c r="P90" s="24">
        <f t="shared" si="42"/>
        <v>1.0461334932914834</v>
      </c>
      <c r="Q90" s="24">
        <f t="shared" si="43"/>
        <v>1.804901869672975E-2</v>
      </c>
      <c r="R90" s="17">
        <v>1.0461</v>
      </c>
      <c r="S90" s="18">
        <v>1.0461</v>
      </c>
      <c r="T90" s="17">
        <v>100</v>
      </c>
      <c r="U90" s="10">
        <v>138398765.28999999</v>
      </c>
      <c r="V90" s="10">
        <v>164718634.28999999</v>
      </c>
    </row>
    <row r="91" spans="1:24">
      <c r="A91" s="123">
        <v>81</v>
      </c>
      <c r="B91" s="105" t="s">
        <v>218</v>
      </c>
      <c r="C91" s="19" t="s">
        <v>45</v>
      </c>
      <c r="D91" s="10">
        <v>237922945.11000001</v>
      </c>
      <c r="E91" s="10">
        <v>3340779.19</v>
      </c>
      <c r="F91" s="10">
        <v>0</v>
      </c>
      <c r="G91" s="10">
        <v>385769.17</v>
      </c>
      <c r="H91" s="12">
        <f t="shared" si="30"/>
        <v>2955010.02</v>
      </c>
      <c r="I91" s="10">
        <v>234940722.27000001</v>
      </c>
      <c r="J91" s="13">
        <f t="shared" si="31"/>
        <v>9.3041662458991342E-4</v>
      </c>
      <c r="K91" s="10">
        <v>242761363.34</v>
      </c>
      <c r="L91" s="13">
        <f t="shared" si="38"/>
        <v>1.0346808082690861E-3</v>
      </c>
      <c r="M91" s="13">
        <f t="shared" si="39"/>
        <v>3.3287720385111901E-2</v>
      </c>
      <c r="N91" s="20">
        <f t="shared" si="40"/>
        <v>1.5890880026889207E-3</v>
      </c>
      <c r="O91" s="21">
        <f t="shared" si="41"/>
        <v>1.2172488979893203E-2</v>
      </c>
      <c r="P91" s="24">
        <f t="shared" si="42"/>
        <v>148.80645543983965</v>
      </c>
      <c r="Q91" s="24">
        <f t="shared" si="43"/>
        <v>1.8113449389784171</v>
      </c>
      <c r="R91" s="10">
        <v>148.81</v>
      </c>
      <c r="S91" s="10">
        <v>148.81</v>
      </c>
      <c r="T91" s="17">
        <v>414</v>
      </c>
      <c r="U91" s="10">
        <v>1605346.15</v>
      </c>
      <c r="V91" s="10">
        <v>1631390</v>
      </c>
    </row>
    <row r="92" spans="1:24">
      <c r="A92" s="123">
        <v>82</v>
      </c>
      <c r="B92" s="19" t="s">
        <v>100</v>
      </c>
      <c r="C92" s="19" t="s">
        <v>101</v>
      </c>
      <c r="D92" s="10">
        <v>2731512484.3200002</v>
      </c>
      <c r="E92" s="10">
        <v>43234842.619999997</v>
      </c>
      <c r="F92" s="10">
        <v>0</v>
      </c>
      <c r="G92" s="10">
        <v>4298143.26</v>
      </c>
      <c r="H92" s="12">
        <f t="shared" si="30"/>
        <v>38936699.359999999</v>
      </c>
      <c r="I92" s="10">
        <v>2692474933.4099998</v>
      </c>
      <c r="J92" s="13">
        <f t="shared" si="31"/>
        <v>1.0662789384197648E-2</v>
      </c>
      <c r="K92" s="10">
        <v>2685212421.4899998</v>
      </c>
      <c r="L92" s="13">
        <f t="shared" si="38"/>
        <v>1.1444727943590657E-2</v>
      </c>
      <c r="M92" s="13">
        <f t="shared" si="39"/>
        <v>-2.6973368739229664E-3</v>
      </c>
      <c r="N92" s="20">
        <f t="shared" si="40"/>
        <v>1.6006715988655376E-3</v>
      </c>
      <c r="O92" s="21">
        <f t="shared" si="41"/>
        <v>1.4500416819312337E-2</v>
      </c>
      <c r="P92" s="24">
        <f t="shared" si="42"/>
        <v>1359.5700007062114</v>
      </c>
      <c r="Q92" s="24">
        <f t="shared" si="43"/>
        <v>19.714331705272834</v>
      </c>
      <c r="R92" s="10">
        <v>1359.57</v>
      </c>
      <c r="S92" s="10">
        <v>1359.57</v>
      </c>
      <c r="T92" s="17">
        <v>322</v>
      </c>
      <c r="U92" s="10">
        <v>2008461.83</v>
      </c>
      <c r="V92" s="10">
        <v>1975045.36</v>
      </c>
    </row>
    <row r="93" spans="1:24">
      <c r="A93" s="123">
        <v>83</v>
      </c>
      <c r="B93" s="19" t="s">
        <v>102</v>
      </c>
      <c r="C93" s="19" t="s">
        <v>63</v>
      </c>
      <c r="D93" s="10">
        <v>164191465.22999999</v>
      </c>
      <c r="E93" s="10">
        <v>1653010.89</v>
      </c>
      <c r="F93" s="10">
        <v>0</v>
      </c>
      <c r="G93" s="10">
        <v>529229.85</v>
      </c>
      <c r="H93" s="12">
        <f t="shared" si="30"/>
        <v>1123781.04</v>
      </c>
      <c r="I93" s="10">
        <v>177841732.19</v>
      </c>
      <c r="J93" s="13">
        <f t="shared" si="31"/>
        <v>7.0429214048846019E-4</v>
      </c>
      <c r="K93" s="10">
        <v>178303713.47999999</v>
      </c>
      <c r="L93" s="13">
        <f t="shared" si="38"/>
        <v>7.5995384044075253E-4</v>
      </c>
      <c r="M93" s="13">
        <f t="shared" si="39"/>
        <v>2.5977102466952285E-3</v>
      </c>
      <c r="N93" s="20">
        <f t="shared" si="40"/>
        <v>2.9681370043892147E-3</v>
      </c>
      <c r="O93" s="21">
        <f t="shared" si="41"/>
        <v>6.302622744455923E-3</v>
      </c>
      <c r="P93" s="24">
        <f t="shared" si="42"/>
        <v>1219.7461604449277</v>
      </c>
      <c r="Q93" s="24">
        <f t="shared" si="43"/>
        <v>7.687599893282985</v>
      </c>
      <c r="R93" s="10">
        <v>973.94</v>
      </c>
      <c r="S93" s="10">
        <v>973.94</v>
      </c>
      <c r="T93" s="17">
        <v>286</v>
      </c>
      <c r="U93" s="10">
        <v>148875</v>
      </c>
      <c r="V93" s="10">
        <v>146181</v>
      </c>
    </row>
    <row r="94" spans="1:24">
      <c r="A94" s="123">
        <v>84</v>
      </c>
      <c r="B94" s="19" t="s">
        <v>103</v>
      </c>
      <c r="C94" s="77" t="s">
        <v>66</v>
      </c>
      <c r="D94" s="10">
        <v>727217180.70000005</v>
      </c>
      <c r="E94" s="10">
        <v>9155565.4700000007</v>
      </c>
      <c r="F94" s="10">
        <v>0</v>
      </c>
      <c r="G94" s="10">
        <v>1275587</v>
      </c>
      <c r="H94" s="12">
        <f t="shared" si="30"/>
        <v>7879978.4700000007</v>
      </c>
      <c r="I94" s="10">
        <v>739971432.38999999</v>
      </c>
      <c r="J94" s="13">
        <f t="shared" si="31"/>
        <v>2.9304486500473341E-3</v>
      </c>
      <c r="K94" s="10">
        <v>766313549</v>
      </c>
      <c r="L94" s="13">
        <f t="shared" si="38"/>
        <v>3.2661289727409708E-3</v>
      </c>
      <c r="M94" s="13">
        <f t="shared" si="39"/>
        <v>3.5598829166848797E-2</v>
      </c>
      <c r="N94" s="20">
        <f t="shared" si="40"/>
        <v>1.6645758145142752E-3</v>
      </c>
      <c r="O94" s="21">
        <f t="shared" si="41"/>
        <v>1.0282969001765622E-2</v>
      </c>
      <c r="P94" s="24">
        <f t="shared" si="42"/>
        <v>1.2473939852077121</v>
      </c>
      <c r="Q94" s="24">
        <f t="shared" si="43"/>
        <v>1.2826913682879788E-2</v>
      </c>
      <c r="R94" s="10">
        <v>12433</v>
      </c>
      <c r="S94" s="10">
        <v>1.2433000000000001</v>
      </c>
      <c r="T94" s="17">
        <v>57</v>
      </c>
      <c r="U94" s="10">
        <v>606155051</v>
      </c>
      <c r="V94" s="10">
        <v>614331605</v>
      </c>
    </row>
    <row r="95" spans="1:24">
      <c r="A95" s="124">
        <v>85</v>
      </c>
      <c r="B95" s="19" t="s">
        <v>327</v>
      </c>
      <c r="C95" s="19" t="s">
        <v>264</v>
      </c>
      <c r="D95" s="10">
        <v>1160492110.9100001</v>
      </c>
      <c r="E95" s="10">
        <v>16483098.310000001</v>
      </c>
      <c r="F95" s="10">
        <v>0</v>
      </c>
      <c r="G95" s="10">
        <v>1659494.78</v>
      </c>
      <c r="H95" s="12">
        <f>(E95+F95)-G95</f>
        <v>14823603.530000001</v>
      </c>
      <c r="I95" s="10">
        <v>1109865885.22</v>
      </c>
      <c r="J95" s="13">
        <f t="shared" si="31"/>
        <v>4.3953115521929596E-3</v>
      </c>
      <c r="K95" s="10">
        <v>1151877906.0599999</v>
      </c>
      <c r="L95" s="13">
        <f t="shared" si="38"/>
        <v>4.9094548921289763E-3</v>
      </c>
      <c r="M95" s="13">
        <f t="shared" si="39"/>
        <v>3.7853241008189202E-2</v>
      </c>
      <c r="N95" s="20">
        <f t="shared" si="40"/>
        <v>1.4406863533621408E-3</v>
      </c>
      <c r="O95" s="21">
        <f t="shared" si="41"/>
        <v>1.2869075317803567E-2</v>
      </c>
      <c r="P95" s="24">
        <f t="shared" si="42"/>
        <v>3.8121182074914213</v>
      </c>
      <c r="Q95" s="24">
        <f t="shared" si="43"/>
        <v>4.9058436332577428E-2</v>
      </c>
      <c r="R95" s="10">
        <v>3.81</v>
      </c>
      <c r="S95" s="10">
        <v>3.84</v>
      </c>
      <c r="T95" s="17">
        <v>810</v>
      </c>
      <c r="U95" s="10">
        <v>295346853</v>
      </c>
      <c r="V95" s="10">
        <v>302162169</v>
      </c>
    </row>
    <row r="96" spans="1:24">
      <c r="A96" s="124">
        <v>86</v>
      </c>
      <c r="B96" s="19" t="s">
        <v>329</v>
      </c>
      <c r="C96" s="12" t="s">
        <v>328</v>
      </c>
      <c r="D96" s="10">
        <v>11892161718.24</v>
      </c>
      <c r="E96" s="10">
        <v>128663771.17</v>
      </c>
      <c r="F96" s="10">
        <v>0</v>
      </c>
      <c r="G96" s="10">
        <v>13598614.91</v>
      </c>
      <c r="H96" s="12">
        <f>(E96+F96)-G96</f>
        <v>115065156.26000001</v>
      </c>
      <c r="I96" s="10">
        <v>11640925458.389999</v>
      </c>
      <c r="J96" s="13">
        <f t="shared" si="31"/>
        <v>4.6100609836598909E-2</v>
      </c>
      <c r="K96" s="10">
        <v>11477109664.450001</v>
      </c>
      <c r="L96" s="13">
        <f t="shared" si="38"/>
        <v>4.8916948483166585E-2</v>
      </c>
      <c r="M96" s="13">
        <f t="shared" si="39"/>
        <v>-1.4072402965344235E-2</v>
      </c>
      <c r="N96" s="20">
        <f t="shared" si="40"/>
        <v>1.1848466475946726E-3</v>
      </c>
      <c r="O96" s="21">
        <f t="shared" si="41"/>
        <v>1.0025621399820796E-2</v>
      </c>
      <c r="P96" s="24">
        <f t="shared" si="42"/>
        <v>1720.6070288645631</v>
      </c>
      <c r="Q96" s="24">
        <f t="shared" si="43"/>
        <v>17.250154649266641</v>
      </c>
      <c r="R96" s="10">
        <v>1720.6</v>
      </c>
      <c r="S96" s="10">
        <v>1720.6</v>
      </c>
      <c r="T96" s="17">
        <v>2041</v>
      </c>
      <c r="U96" s="10">
        <v>6856341.8700000001</v>
      </c>
      <c r="V96" s="10">
        <v>6670384.04</v>
      </c>
    </row>
    <row r="97" spans="1:22" ht="14.7" customHeight="1">
      <c r="A97" s="123">
        <v>87</v>
      </c>
      <c r="B97" s="19" t="s">
        <v>104</v>
      </c>
      <c r="C97" s="19" t="s">
        <v>69</v>
      </c>
      <c r="D97" s="10">
        <v>23782805.16</v>
      </c>
      <c r="E97" s="10">
        <v>297563.14</v>
      </c>
      <c r="F97" s="10">
        <v>0</v>
      </c>
      <c r="G97" s="10">
        <v>249741.79</v>
      </c>
      <c r="H97" s="12">
        <f>(E97+F97)-G97</f>
        <v>47821.350000000006</v>
      </c>
      <c r="I97" s="10">
        <v>23630535.18</v>
      </c>
      <c r="J97" s="13">
        <f t="shared" si="31"/>
        <v>9.3582085587366322E-5</v>
      </c>
      <c r="K97" s="10">
        <v>23846602.050000001</v>
      </c>
      <c r="L97" s="13">
        <f t="shared" si="38"/>
        <v>1.016373493050809E-4</v>
      </c>
      <c r="M97" s="13">
        <f t="shared" si="39"/>
        <v>9.143545347329753E-3</v>
      </c>
      <c r="N97" s="20">
        <f t="shared" si="40"/>
        <v>1.0472845962555072E-2</v>
      </c>
      <c r="O97" s="21">
        <f t="shared" si="41"/>
        <v>2.0053737593193075E-3</v>
      </c>
      <c r="P97" s="24">
        <f t="shared" si="42"/>
        <v>0.72855499365567167</v>
      </c>
      <c r="Q97" s="24">
        <f t="shared" si="43"/>
        <v>1.4610250664981285E-3</v>
      </c>
      <c r="R97" s="10">
        <v>0.72850000000000004</v>
      </c>
      <c r="S97" s="10">
        <v>0.72850000000000004</v>
      </c>
      <c r="T97" s="17">
        <v>728</v>
      </c>
      <c r="U97" s="10">
        <v>32731368.609999999</v>
      </c>
      <c r="V97" s="10">
        <v>32731368.609999999</v>
      </c>
    </row>
    <row r="98" spans="1:22" ht="14.7" customHeight="1">
      <c r="A98" s="123">
        <v>88</v>
      </c>
      <c r="B98" s="19" t="s">
        <v>219</v>
      </c>
      <c r="C98" s="77" t="s">
        <v>34</v>
      </c>
      <c r="D98" s="10">
        <v>14457754289.02</v>
      </c>
      <c r="E98" s="10">
        <v>120208702.05</v>
      </c>
      <c r="F98" s="10">
        <v>0</v>
      </c>
      <c r="G98" s="10">
        <v>3355094.57</v>
      </c>
      <c r="H98" s="12">
        <f t="shared" si="30"/>
        <v>116853607.48</v>
      </c>
      <c r="I98" s="10">
        <v>10910227443.860001</v>
      </c>
      <c r="J98" s="13">
        <f t="shared" si="31"/>
        <v>4.3206885948697316E-2</v>
      </c>
      <c r="K98" s="10">
        <v>11006233708.219999</v>
      </c>
      <c r="L98" s="13">
        <f t="shared" si="38"/>
        <v>4.6910013325597133E-2</v>
      </c>
      <c r="M98" s="13">
        <f t="shared" si="39"/>
        <v>8.7996574639723577E-3</v>
      </c>
      <c r="N98" s="20">
        <f t="shared" si="40"/>
        <v>3.0483584657068014E-4</v>
      </c>
      <c r="O98" s="21">
        <f t="shared" si="41"/>
        <v>1.0617038541779098E-2</v>
      </c>
      <c r="P98" s="24">
        <f t="shared" si="42"/>
        <v>1</v>
      </c>
      <c r="Q98" s="24">
        <f t="shared" si="43"/>
        <v>1.0617038541779098E-2</v>
      </c>
      <c r="R98" s="10">
        <v>1</v>
      </c>
      <c r="S98" s="10">
        <v>1</v>
      </c>
      <c r="T98" s="17">
        <v>5976</v>
      </c>
      <c r="U98" s="10">
        <v>10910227443.860001</v>
      </c>
      <c r="V98" s="10">
        <v>11006233708.219999</v>
      </c>
    </row>
    <row r="99" spans="1:22">
      <c r="A99" s="123">
        <v>89</v>
      </c>
      <c r="B99" s="77" t="s">
        <v>105</v>
      </c>
      <c r="C99" s="77" t="s">
        <v>106</v>
      </c>
      <c r="D99" s="10">
        <v>1920705769.4100001</v>
      </c>
      <c r="E99" s="10">
        <v>22261662.859999999</v>
      </c>
      <c r="F99" s="10">
        <v>0</v>
      </c>
      <c r="G99" s="10">
        <v>2539987.15</v>
      </c>
      <c r="H99" s="12">
        <f t="shared" si="30"/>
        <v>19721675.710000001</v>
      </c>
      <c r="I99" s="10">
        <v>1781173263.9000001</v>
      </c>
      <c r="J99" s="13">
        <f t="shared" si="31"/>
        <v>7.0538355377281151E-3</v>
      </c>
      <c r="K99" s="10">
        <v>1899165264.5599999</v>
      </c>
      <c r="L99" s="13">
        <f t="shared" si="38"/>
        <v>8.0944917425734911E-3</v>
      </c>
      <c r="M99" s="13">
        <f t="shared" si="39"/>
        <v>6.6243976962492873E-2</v>
      </c>
      <c r="N99" s="20">
        <f t="shared" si="40"/>
        <v>1.3374229180568265E-3</v>
      </c>
      <c r="O99" s="21">
        <f t="shared" si="41"/>
        <v>1.0384391541917302E-2</v>
      </c>
      <c r="P99" s="24">
        <f t="shared" si="42"/>
        <v>297.92345710377583</v>
      </c>
      <c r="Q99" s="24">
        <f t="shared" si="43"/>
        <v>3.0937538280872126</v>
      </c>
      <c r="R99" s="10">
        <v>282.70999999999998</v>
      </c>
      <c r="S99" s="10">
        <v>282.70999999999998</v>
      </c>
      <c r="T99" s="17">
        <v>579</v>
      </c>
      <c r="U99" s="10">
        <v>6374675.1699999999</v>
      </c>
      <c r="V99" s="10">
        <v>6374675.1699999999</v>
      </c>
    </row>
    <row r="100" spans="1:22">
      <c r="A100" s="123">
        <v>90</v>
      </c>
      <c r="B100" s="106" t="s">
        <v>222</v>
      </c>
      <c r="C100" s="73" t="s">
        <v>37</v>
      </c>
      <c r="D100" s="10">
        <v>8846042.0399999991</v>
      </c>
      <c r="E100" s="10">
        <v>8056858.7400000002</v>
      </c>
      <c r="F100" s="10">
        <v>0</v>
      </c>
      <c r="G100" s="10">
        <v>1464304.66</v>
      </c>
      <c r="H100" s="12">
        <f t="shared" si="30"/>
        <v>6592554.0800000001</v>
      </c>
      <c r="I100" s="10">
        <v>812299682.84000003</v>
      </c>
      <c r="J100" s="13">
        <f t="shared" si="31"/>
        <v>3.2168843347424943E-3</v>
      </c>
      <c r="K100" s="10">
        <v>776628836.51999998</v>
      </c>
      <c r="L100" s="13">
        <f t="shared" si="38"/>
        <v>3.3100940826821827E-3</v>
      </c>
      <c r="M100" s="13">
        <f t="shared" si="39"/>
        <v>-4.3913406681738418E-2</v>
      </c>
      <c r="N100" s="20">
        <f t="shared" si="40"/>
        <v>1.8854626446288165E-3</v>
      </c>
      <c r="O100" s="21">
        <f t="shared" si="41"/>
        <v>8.4886805253595893E-3</v>
      </c>
      <c r="P100" s="24">
        <f t="shared" si="42"/>
        <v>113.40024779852239</v>
      </c>
      <c r="Q100" s="24">
        <f t="shared" si="43"/>
        <v>0.96261847505826859</v>
      </c>
      <c r="R100" s="10">
        <v>113.94</v>
      </c>
      <c r="S100" s="10">
        <v>113.94</v>
      </c>
      <c r="T100" s="17">
        <v>389</v>
      </c>
      <c r="U100" s="10">
        <v>6963458.2000000002</v>
      </c>
      <c r="V100" s="10">
        <v>6848563.8399999999</v>
      </c>
    </row>
    <row r="101" spans="1:22">
      <c r="A101" s="123">
        <v>91</v>
      </c>
      <c r="B101" s="105" t="s">
        <v>109</v>
      </c>
      <c r="C101" s="19" t="s">
        <v>22</v>
      </c>
      <c r="D101" s="10">
        <v>1700389797.3900001</v>
      </c>
      <c r="E101" s="10">
        <v>21072079.73</v>
      </c>
      <c r="F101" s="10">
        <v>71966768.450000003</v>
      </c>
      <c r="G101" s="10">
        <v>2367000.15</v>
      </c>
      <c r="H101" s="12">
        <f t="shared" si="30"/>
        <v>90671848.030000001</v>
      </c>
      <c r="I101" s="10">
        <v>1689342606.76</v>
      </c>
      <c r="J101" s="13">
        <f t="shared" si="31"/>
        <v>6.6901660587866067E-3</v>
      </c>
      <c r="K101" s="10">
        <v>1722297280.8099999</v>
      </c>
      <c r="L101" s="13">
        <f t="shared" si="38"/>
        <v>7.3406571707719248E-3</v>
      </c>
      <c r="M101" s="13">
        <f t="shared" si="39"/>
        <v>1.9507395313496483E-2</v>
      </c>
      <c r="N101" s="20">
        <f t="shared" si="40"/>
        <v>1.3743272873814182E-3</v>
      </c>
      <c r="O101" s="21">
        <f t="shared" si="41"/>
        <v>5.2645875389965686E-2</v>
      </c>
      <c r="P101" s="24">
        <f t="shared" si="42"/>
        <v>404.67975404811909</v>
      </c>
      <c r="Q101" s="24">
        <f t="shared" si="43"/>
        <v>21.30471990445924</v>
      </c>
      <c r="R101" s="10">
        <v>404.68</v>
      </c>
      <c r="S101" s="10">
        <v>404.68</v>
      </c>
      <c r="T101" s="17">
        <v>96</v>
      </c>
      <c r="U101" s="10">
        <v>4210109.34</v>
      </c>
      <c r="V101" s="10">
        <v>4255951.1900000004</v>
      </c>
    </row>
    <row r="102" spans="1:22">
      <c r="A102" s="123">
        <v>92</v>
      </c>
      <c r="B102" s="106" t="s">
        <v>224</v>
      </c>
      <c r="C102" s="73" t="s">
        <v>225</v>
      </c>
      <c r="D102" s="10">
        <v>5526609299.9200001</v>
      </c>
      <c r="E102" s="10">
        <v>80600192.569999993</v>
      </c>
      <c r="F102" s="10">
        <v>41376409.039999999</v>
      </c>
      <c r="G102" s="10">
        <v>11086121.779999999</v>
      </c>
      <c r="H102" s="12">
        <f t="shared" si="30"/>
        <v>110890479.82999998</v>
      </c>
      <c r="I102" s="10">
        <v>5679120373.54</v>
      </c>
      <c r="J102" s="13">
        <f t="shared" si="31"/>
        <v>2.2490558288641185E-2</v>
      </c>
      <c r="K102" s="10">
        <v>5745395499.6199999</v>
      </c>
      <c r="L102" s="13">
        <f t="shared" si="38"/>
        <v>2.4487630064289084E-2</v>
      </c>
      <c r="M102" s="13">
        <f t="shared" si="39"/>
        <v>1.1669963255011665E-2</v>
      </c>
      <c r="N102" s="20">
        <f t="shared" si="40"/>
        <v>1.9295663424272942E-3</v>
      </c>
      <c r="O102" s="21">
        <f t="shared" si="41"/>
        <v>1.9300756551456601E-2</v>
      </c>
      <c r="P102" s="24">
        <f t="shared" si="42"/>
        <v>104.08503180960196</v>
      </c>
      <c r="Q102" s="24">
        <f t="shared" si="43"/>
        <v>2.0089198596077438</v>
      </c>
      <c r="R102" s="10">
        <v>104.09</v>
      </c>
      <c r="S102" s="10">
        <v>104.09</v>
      </c>
      <c r="T102" s="17">
        <v>473</v>
      </c>
      <c r="U102" s="10">
        <v>54047282</v>
      </c>
      <c r="V102" s="10">
        <v>55199056</v>
      </c>
    </row>
    <row r="103" spans="1:22">
      <c r="A103" s="123">
        <v>93</v>
      </c>
      <c r="B103" s="77" t="s">
        <v>110</v>
      </c>
      <c r="C103" s="77" t="s">
        <v>39</v>
      </c>
      <c r="D103" s="10">
        <v>68768553.989999995</v>
      </c>
      <c r="E103" s="10">
        <v>4796052.3499999996</v>
      </c>
      <c r="F103" s="10">
        <v>0</v>
      </c>
      <c r="G103" s="10">
        <v>157442.69</v>
      </c>
      <c r="H103" s="12">
        <f t="shared" si="30"/>
        <v>4638609.6599999992</v>
      </c>
      <c r="I103" s="10">
        <v>69455872.370000005</v>
      </c>
      <c r="J103" s="13">
        <f t="shared" si="31"/>
        <v>2.7506043951876897E-4</v>
      </c>
      <c r="K103" s="10">
        <v>70146268.560000002</v>
      </c>
      <c r="L103" s="13">
        <f t="shared" si="38"/>
        <v>2.9897260771711225E-4</v>
      </c>
      <c r="M103" s="13">
        <f t="shared" si="39"/>
        <v>9.9400693770308138E-3</v>
      </c>
      <c r="N103" s="20">
        <f t="shared" si="40"/>
        <v>2.2444913069799362E-3</v>
      </c>
      <c r="O103" s="21">
        <f t="shared" si="41"/>
        <v>6.6127675145433273E-2</v>
      </c>
      <c r="P103" s="24">
        <f t="shared" si="42"/>
        <v>14.56085709195178</v>
      </c>
      <c r="Q103" s="24">
        <f t="shared" si="43"/>
        <v>0.96287562761566547</v>
      </c>
      <c r="R103" s="10">
        <v>12.58</v>
      </c>
      <c r="S103" s="10">
        <v>13.37</v>
      </c>
      <c r="T103" s="17">
        <v>54</v>
      </c>
      <c r="U103" s="10">
        <v>4817454.6399999997</v>
      </c>
      <c r="V103" s="10">
        <v>4817454.6399999997</v>
      </c>
    </row>
    <row r="104" spans="1:22">
      <c r="A104" s="123">
        <v>94</v>
      </c>
      <c r="B104" s="72" t="s">
        <v>239</v>
      </c>
      <c r="C104" s="73" t="s">
        <v>240</v>
      </c>
      <c r="D104" s="10">
        <v>1081616486.48</v>
      </c>
      <c r="E104" s="10">
        <v>14842531.25</v>
      </c>
      <c r="F104" s="10">
        <v>0</v>
      </c>
      <c r="G104" s="10">
        <v>2315781.37</v>
      </c>
      <c r="H104" s="12">
        <f t="shared" si="30"/>
        <v>12526749.879999999</v>
      </c>
      <c r="I104" s="10">
        <v>1001466054.84</v>
      </c>
      <c r="J104" s="13">
        <f t="shared" si="31"/>
        <v>3.966024524751326E-3</v>
      </c>
      <c r="K104" s="10">
        <v>1053042730.5700001</v>
      </c>
      <c r="L104" s="13">
        <f t="shared" si="38"/>
        <v>4.4882063958508207E-3</v>
      </c>
      <c r="M104" s="13">
        <f t="shared" si="39"/>
        <v>5.1501172187249228E-2</v>
      </c>
      <c r="N104" s="20">
        <f t="shared" si="40"/>
        <v>2.1991333331236179E-3</v>
      </c>
      <c r="O104" s="21">
        <f t="shared" si="41"/>
        <v>1.1895765970692767E-2</v>
      </c>
      <c r="P104" s="24">
        <f t="shared" si="42"/>
        <v>164.42355542479166</v>
      </c>
      <c r="Q104" s="24">
        <f t="shared" si="43"/>
        <v>1.9559441354025529</v>
      </c>
      <c r="R104" s="10">
        <v>164.42</v>
      </c>
      <c r="S104" s="10">
        <v>164.42</v>
      </c>
      <c r="T104" s="17">
        <v>191</v>
      </c>
      <c r="U104" s="10">
        <v>6157860.7300000004</v>
      </c>
      <c r="V104" s="10">
        <v>6404451.7699999996</v>
      </c>
    </row>
    <row r="105" spans="1:22">
      <c r="A105" s="123">
        <v>95</v>
      </c>
      <c r="B105" s="19" t="s">
        <v>111</v>
      </c>
      <c r="C105" s="19" t="s">
        <v>112</v>
      </c>
      <c r="D105" s="10">
        <v>12233345329.75</v>
      </c>
      <c r="E105" s="10">
        <v>177984191.47</v>
      </c>
      <c r="F105" s="10">
        <v>0</v>
      </c>
      <c r="G105" s="10">
        <v>19523974.120000001</v>
      </c>
      <c r="H105" s="12">
        <f t="shared" si="30"/>
        <v>158460217.34999999</v>
      </c>
      <c r="I105" s="10">
        <v>15524335167</v>
      </c>
      <c r="J105" s="13">
        <f t="shared" si="31"/>
        <v>6.1479761301163852E-2</v>
      </c>
      <c r="K105" s="10">
        <v>12095397383</v>
      </c>
      <c r="L105" s="13">
        <f t="shared" si="38"/>
        <v>5.1552171928819203E-2</v>
      </c>
      <c r="M105" s="13">
        <f t="shared" si="39"/>
        <v>-0.22087501636069257</v>
      </c>
      <c r="N105" s="20">
        <f t="shared" si="40"/>
        <v>1.6141655790028707E-3</v>
      </c>
      <c r="O105" s="21">
        <f t="shared" si="41"/>
        <v>1.3100869060549823E-2</v>
      </c>
      <c r="P105" s="24">
        <f t="shared" si="42"/>
        <v>1.0400000000309539</v>
      </c>
      <c r="Q105" s="24">
        <f t="shared" si="43"/>
        <v>1.3624903823377339E-2</v>
      </c>
      <c r="R105" s="10">
        <v>1.04</v>
      </c>
      <c r="S105" s="10">
        <v>1.04</v>
      </c>
      <c r="T105" s="17">
        <v>5394</v>
      </c>
      <c r="U105" s="10">
        <v>14927245353</v>
      </c>
      <c r="V105" s="10">
        <v>11630189791</v>
      </c>
    </row>
    <row r="106" spans="1:22">
      <c r="A106" s="123">
        <v>96</v>
      </c>
      <c r="B106" s="19" t="s">
        <v>113</v>
      </c>
      <c r="C106" s="19" t="s">
        <v>43</v>
      </c>
      <c r="D106" s="10">
        <v>15504966444.860001</v>
      </c>
      <c r="E106" s="10">
        <v>161617148.41</v>
      </c>
      <c r="F106" s="10">
        <v>0</v>
      </c>
      <c r="G106" s="10">
        <v>27537601.010000002</v>
      </c>
      <c r="H106" s="12">
        <f t="shared" si="30"/>
        <v>134079547.39999999</v>
      </c>
      <c r="I106" s="10">
        <v>15309037421.120001</v>
      </c>
      <c r="J106" s="13">
        <f t="shared" si="31"/>
        <v>6.0627135157564627E-2</v>
      </c>
      <c r="K106" s="10">
        <v>15535790609.719999</v>
      </c>
      <c r="L106" s="13">
        <f t="shared" si="38"/>
        <v>6.6215579629329516E-2</v>
      </c>
      <c r="M106" s="13">
        <f t="shared" si="39"/>
        <v>1.4811720839298159E-2</v>
      </c>
      <c r="N106" s="20">
        <f t="shared" si="40"/>
        <v>1.7725265293400032E-3</v>
      </c>
      <c r="O106" s="21">
        <f t="shared" si="41"/>
        <v>8.6303652493947003E-3</v>
      </c>
      <c r="P106" s="24">
        <f t="shared" si="42"/>
        <v>259.2480282357721</v>
      </c>
      <c r="Q106" s="24">
        <f t="shared" si="43"/>
        <v>2.237405173860104</v>
      </c>
      <c r="R106" s="10">
        <v>259.25</v>
      </c>
      <c r="S106" s="10">
        <v>259.25</v>
      </c>
      <c r="T106" s="17">
        <v>5892</v>
      </c>
      <c r="U106" s="10">
        <v>59051058.619999997</v>
      </c>
      <c r="V106" s="10">
        <v>59926359.770000003</v>
      </c>
    </row>
    <row r="107" spans="1:22">
      <c r="A107" s="123">
        <v>97</v>
      </c>
      <c r="B107" s="77" t="s">
        <v>114</v>
      </c>
      <c r="C107" s="19" t="s">
        <v>43</v>
      </c>
      <c r="D107" s="10">
        <v>1253320625.3399999</v>
      </c>
      <c r="E107" s="10">
        <v>11205861.42</v>
      </c>
      <c r="F107" s="10">
        <v>47490315.049999997</v>
      </c>
      <c r="G107" s="10">
        <v>2037207.45</v>
      </c>
      <c r="H107" s="12">
        <f t="shared" si="30"/>
        <v>56658969.019999996</v>
      </c>
      <c r="I107" s="10">
        <v>999848589.96000004</v>
      </c>
      <c r="J107" s="13">
        <f t="shared" si="31"/>
        <v>3.9596190102049256E-3</v>
      </c>
      <c r="K107" s="10">
        <v>1261604356.54</v>
      </c>
      <c r="L107" s="13">
        <f t="shared" si="38"/>
        <v>5.3771234325801064E-3</v>
      </c>
      <c r="M107" s="13">
        <f t="shared" si="39"/>
        <v>0.26179540503274773</v>
      </c>
      <c r="N107" s="20">
        <f t="shared" si="40"/>
        <v>1.6147752181096791E-3</v>
      </c>
      <c r="O107" s="21">
        <f t="shared" si="41"/>
        <v>4.4910251558887657E-2</v>
      </c>
      <c r="P107" s="24">
        <f t="shared" si="42"/>
        <v>10875.030560402629</v>
      </c>
      <c r="Q107" s="24">
        <f t="shared" si="43"/>
        <v>488.40035817827311</v>
      </c>
      <c r="R107" s="10">
        <v>10913.26</v>
      </c>
      <c r="S107" s="10">
        <v>10953.43</v>
      </c>
      <c r="T107" s="17">
        <v>31</v>
      </c>
      <c r="U107" s="10">
        <v>96496.320000000007</v>
      </c>
      <c r="V107" s="10">
        <v>116009.27</v>
      </c>
    </row>
    <row r="108" spans="1:22">
      <c r="A108" s="123">
        <v>98</v>
      </c>
      <c r="B108" s="19" t="s">
        <v>115</v>
      </c>
      <c r="C108" s="19" t="s">
        <v>43</v>
      </c>
      <c r="D108" s="10">
        <v>64276392.460000001</v>
      </c>
      <c r="E108" s="10">
        <v>99961641.810000002</v>
      </c>
      <c r="F108" s="10">
        <v>0</v>
      </c>
      <c r="G108" s="10">
        <v>9661448.5999999996</v>
      </c>
      <c r="H108" s="12">
        <f t="shared" si="30"/>
        <v>90300193.210000008</v>
      </c>
      <c r="I108" s="10">
        <v>6644259872.8599997</v>
      </c>
      <c r="J108" s="13">
        <f t="shared" si="31"/>
        <v>2.6312721711565071E-2</v>
      </c>
      <c r="K108" s="10">
        <v>5713458237.3599997</v>
      </c>
      <c r="L108" s="13">
        <f t="shared" si="38"/>
        <v>2.4351509258760416E-2</v>
      </c>
      <c r="M108" s="13">
        <f t="shared" si="39"/>
        <v>-0.14009109416416302</v>
      </c>
      <c r="N108" s="20">
        <f t="shared" si="40"/>
        <v>1.690998375874055E-3</v>
      </c>
      <c r="O108" s="21">
        <f t="shared" si="41"/>
        <v>1.5804822483786063E-2</v>
      </c>
      <c r="P108" s="24">
        <f t="shared" si="42"/>
        <v>171.65933762646335</v>
      </c>
      <c r="Q108" s="24">
        <f t="shared" si="43"/>
        <v>2.7130453588705508</v>
      </c>
      <c r="R108" s="10">
        <v>171.66</v>
      </c>
      <c r="S108" s="10">
        <v>171.66</v>
      </c>
      <c r="T108" s="17">
        <v>6235</v>
      </c>
      <c r="U108" s="10">
        <v>39640068.060000002</v>
      </c>
      <c r="V108" s="10">
        <v>33283701.989999998</v>
      </c>
    </row>
    <row r="109" spans="1:22">
      <c r="A109" s="123">
        <v>99</v>
      </c>
      <c r="B109" s="19" t="s">
        <v>116</v>
      </c>
      <c r="C109" s="19" t="s">
        <v>43</v>
      </c>
      <c r="D109" s="10">
        <v>5610182183.8599997</v>
      </c>
      <c r="E109" s="10">
        <v>63051675.520000003</v>
      </c>
      <c r="F109" s="10">
        <v>0</v>
      </c>
      <c r="G109" s="10">
        <v>10938382.26</v>
      </c>
      <c r="H109" s="12">
        <f t="shared" si="30"/>
        <v>52113293.260000005</v>
      </c>
      <c r="I109" s="10">
        <v>5716674685.2600002</v>
      </c>
      <c r="J109" s="13">
        <f t="shared" si="31"/>
        <v>2.2639281573441361E-2</v>
      </c>
      <c r="K109" s="10">
        <v>5669550484.5900002</v>
      </c>
      <c r="L109" s="13">
        <f t="shared" si="38"/>
        <v>2.416436865079755E-2</v>
      </c>
      <c r="M109" s="13">
        <f t="shared" si="39"/>
        <v>-8.2432888461374497E-3</v>
      </c>
      <c r="N109" s="20">
        <f t="shared" si="40"/>
        <v>1.9293209029059418E-3</v>
      </c>
      <c r="O109" s="21">
        <f t="shared" si="41"/>
        <v>9.1917857335683702E-3</v>
      </c>
      <c r="P109" s="24">
        <f t="shared" si="42"/>
        <v>388.15138892362125</v>
      </c>
      <c r="Q109" s="24">
        <f t="shared" si="43"/>
        <v>3.5678043991728901</v>
      </c>
      <c r="R109" s="10">
        <v>388.15</v>
      </c>
      <c r="S109" s="10">
        <v>388.15</v>
      </c>
      <c r="T109" s="17">
        <v>11973</v>
      </c>
      <c r="U109" s="10">
        <v>14730280.77</v>
      </c>
      <c r="V109" s="10">
        <v>14606544.369999999</v>
      </c>
    </row>
    <row r="110" spans="1:22">
      <c r="A110" s="124">
        <v>100</v>
      </c>
      <c r="B110" s="19" t="s">
        <v>284</v>
      </c>
      <c r="C110" s="19" t="s">
        <v>285</v>
      </c>
      <c r="D110" s="10">
        <v>119862885.90000001</v>
      </c>
      <c r="E110" s="10">
        <v>1756836.99</v>
      </c>
      <c r="F110" s="10">
        <v>0</v>
      </c>
      <c r="G110" s="10">
        <v>358548.56</v>
      </c>
      <c r="H110" s="12">
        <f t="shared" ref="H110" si="45">(E110+F110)-G110</f>
        <v>1398288.43</v>
      </c>
      <c r="I110" s="10">
        <v>117782943.78</v>
      </c>
      <c r="J110" s="13">
        <f t="shared" si="31"/>
        <v>4.6644620790818315E-4</v>
      </c>
      <c r="K110" s="10">
        <v>118026149.79000001</v>
      </c>
      <c r="L110" s="13">
        <f t="shared" si="38"/>
        <v>5.0304294876846124E-4</v>
      </c>
      <c r="M110" s="13">
        <f t="shared" si="39"/>
        <v>2.0648661189371859E-3</v>
      </c>
      <c r="N110" s="20">
        <f t="shared" si="40"/>
        <v>3.0378739003005138E-3</v>
      </c>
      <c r="O110" s="21">
        <f t="shared" si="41"/>
        <v>1.1847276493284988E-2</v>
      </c>
      <c r="P110" s="24">
        <f t="shared" si="42"/>
        <v>119.28531845448646</v>
      </c>
      <c r="Q110" s="24">
        <f t="shared" si="43"/>
        <v>1.4132061493198513</v>
      </c>
      <c r="R110" s="10">
        <v>119.28530000000001</v>
      </c>
      <c r="S110" s="10">
        <v>119.28530000000001</v>
      </c>
      <c r="T110" s="17">
        <v>26</v>
      </c>
      <c r="U110" s="10">
        <v>989613.76</v>
      </c>
      <c r="V110" s="10">
        <v>989444.06</v>
      </c>
    </row>
    <row r="111" spans="1:22">
      <c r="A111" s="124">
        <v>101</v>
      </c>
      <c r="B111" s="19" t="s">
        <v>117</v>
      </c>
      <c r="C111" s="19" t="s">
        <v>47</v>
      </c>
      <c r="D111" s="10">
        <v>72859689483.419983</v>
      </c>
      <c r="E111" s="10">
        <v>686290661</v>
      </c>
      <c r="F111" s="10">
        <v>0</v>
      </c>
      <c r="G111" s="10">
        <v>116151333</v>
      </c>
      <c r="H111" s="12">
        <f t="shared" si="30"/>
        <v>570139328</v>
      </c>
      <c r="I111" s="10">
        <v>78116121372</v>
      </c>
      <c r="J111" s="13">
        <f t="shared" si="31"/>
        <v>0.30935691893151612</v>
      </c>
      <c r="K111" s="10">
        <v>77583958703.049988</v>
      </c>
      <c r="L111" s="13">
        <f t="shared" si="38"/>
        <v>0.33067301977192443</v>
      </c>
      <c r="M111" s="13">
        <f t="shared" si="39"/>
        <v>-6.8124563739638128E-3</v>
      </c>
      <c r="N111" s="20">
        <f t="shared" si="40"/>
        <v>1.4971050065202957E-3</v>
      </c>
      <c r="O111" s="21">
        <f t="shared" si="41"/>
        <v>7.3486753902593351E-3</v>
      </c>
      <c r="P111" s="24">
        <f t="shared" si="42"/>
        <v>2.0333801025057072</v>
      </c>
      <c r="Q111" s="24">
        <f t="shared" si="43"/>
        <v>1.4942650318326693E-2</v>
      </c>
      <c r="R111" s="10">
        <v>2.0299999999999998</v>
      </c>
      <c r="S111" s="10">
        <v>2.0299999999999998</v>
      </c>
      <c r="T111" s="17">
        <v>1389</v>
      </c>
      <c r="U111" s="10">
        <v>38705757061.999992</v>
      </c>
      <c r="V111" s="10">
        <v>38155167647.919991</v>
      </c>
    </row>
    <row r="112" spans="1:22">
      <c r="A112" s="124">
        <v>102</v>
      </c>
      <c r="B112" s="19" t="s">
        <v>238</v>
      </c>
      <c r="C112" s="19" t="s">
        <v>47</v>
      </c>
      <c r="D112" s="10">
        <v>41092954364.689987</v>
      </c>
      <c r="E112" s="10">
        <v>939842313</v>
      </c>
      <c r="F112" s="10">
        <v>0</v>
      </c>
      <c r="G112" s="10">
        <v>115859106.23</v>
      </c>
      <c r="H112" s="12">
        <f t="shared" si="30"/>
        <v>823983206.76999998</v>
      </c>
      <c r="I112" s="10">
        <v>75037976976</v>
      </c>
      <c r="J112" s="13">
        <f t="shared" si="31"/>
        <v>0.29716679415767916</v>
      </c>
      <c r="K112" s="10">
        <v>60842338172.459991</v>
      </c>
      <c r="L112" s="13">
        <f t="shared" si="38"/>
        <v>0.25931803467874676</v>
      </c>
      <c r="M112" s="13">
        <f t="shared" si="39"/>
        <v>-0.18917939123119371</v>
      </c>
      <c r="N112" s="20">
        <f t="shared" si="40"/>
        <v>1.9042513767566398E-3</v>
      </c>
      <c r="O112" s="21">
        <f t="shared" si="41"/>
        <v>1.354292473827004E-2</v>
      </c>
      <c r="P112" s="24">
        <f t="shared" si="42"/>
        <v>135.36116651370529</v>
      </c>
      <c r="Q112" s="24">
        <f t="shared" si="43"/>
        <v>1.8331860905795492</v>
      </c>
      <c r="R112" s="10">
        <v>135.36116651370529</v>
      </c>
      <c r="S112" s="10">
        <v>135.36116651370529</v>
      </c>
      <c r="T112" s="17">
        <v>262</v>
      </c>
      <c r="U112" s="10">
        <v>495285382.7499997</v>
      </c>
      <c r="V112" s="10">
        <v>449481485.26999968</v>
      </c>
    </row>
    <row r="113" spans="1:23">
      <c r="A113" s="124">
        <v>103</v>
      </c>
      <c r="B113" s="106" t="s">
        <v>220</v>
      </c>
      <c r="C113" s="72" t="s">
        <v>221</v>
      </c>
      <c r="D113" s="10">
        <v>80000000</v>
      </c>
      <c r="E113" s="10">
        <v>2367104.9300000002</v>
      </c>
      <c r="F113" s="10">
        <v>0</v>
      </c>
      <c r="G113" s="10">
        <v>463400.99</v>
      </c>
      <c r="H113" s="12">
        <f>(E113+F113)-G113</f>
        <v>1903703.9400000002</v>
      </c>
      <c r="I113" s="10">
        <v>116945582.73</v>
      </c>
      <c r="J113" s="13">
        <f t="shared" si="31"/>
        <v>4.6313007508039391E-4</v>
      </c>
      <c r="K113" s="10">
        <v>117542803.66</v>
      </c>
      <c r="L113" s="13">
        <f t="shared" si="38"/>
        <v>5.009828640927885E-4</v>
      </c>
      <c r="M113" s="13">
        <f t="shared" si="39"/>
        <v>5.1068276035601589E-3</v>
      </c>
      <c r="N113" s="20">
        <f t="shared" si="40"/>
        <v>3.9424020490477383E-3</v>
      </c>
      <c r="O113" s="21">
        <f t="shared" si="41"/>
        <v>1.6195835735776598E-2</v>
      </c>
      <c r="P113" s="24">
        <f t="shared" si="42"/>
        <v>118.69774578322279</v>
      </c>
      <c r="Q113" s="24">
        <f t="shared" si="43"/>
        <v>1.9224091929120455</v>
      </c>
      <c r="R113" s="10">
        <v>118.6977</v>
      </c>
      <c r="S113" s="10">
        <v>118.6977</v>
      </c>
      <c r="T113" s="17">
        <v>88</v>
      </c>
      <c r="U113" s="10">
        <v>991640.15</v>
      </c>
      <c r="V113" s="10">
        <v>990269.89</v>
      </c>
    </row>
    <row r="114" spans="1:23">
      <c r="A114" s="124">
        <v>104</v>
      </c>
      <c r="B114" s="72" t="s">
        <v>268</v>
      </c>
      <c r="C114" s="72" t="s">
        <v>267</v>
      </c>
      <c r="D114" s="10">
        <v>493002653.99000001</v>
      </c>
      <c r="E114" s="10">
        <v>7254610.3200000003</v>
      </c>
      <c r="F114" s="10">
        <v>0</v>
      </c>
      <c r="G114" s="10">
        <v>865382.45</v>
      </c>
      <c r="H114" s="12">
        <f t="shared" si="30"/>
        <v>6389227.8700000001</v>
      </c>
      <c r="I114" s="10">
        <v>525659603.66000003</v>
      </c>
      <c r="J114" s="13">
        <f t="shared" si="31"/>
        <v>2.0817269539102831E-3</v>
      </c>
      <c r="K114" s="10">
        <v>529386058.58999997</v>
      </c>
      <c r="L114" s="13">
        <f t="shared" si="38"/>
        <v>2.2563128969626872E-3</v>
      </c>
      <c r="M114" s="13">
        <f t="shared" si="39"/>
        <v>7.0891027274187163E-3</v>
      </c>
      <c r="N114" s="20">
        <f t="shared" si="40"/>
        <v>1.6346906684790942E-3</v>
      </c>
      <c r="O114" s="21">
        <f t="shared" si="41"/>
        <v>1.2069127560739832E-2</v>
      </c>
      <c r="P114" s="24">
        <f t="shared" si="42"/>
        <v>1.4472456638688429</v>
      </c>
      <c r="Q114" s="24">
        <f t="shared" si="43"/>
        <v>1.7466992528960668E-2</v>
      </c>
      <c r="R114" s="10">
        <v>1.4472</v>
      </c>
      <c r="S114" s="10">
        <v>1.4472</v>
      </c>
      <c r="T114" s="17">
        <v>60</v>
      </c>
      <c r="U114" s="10">
        <v>364352408.5</v>
      </c>
      <c r="V114" s="10">
        <v>365788664.5</v>
      </c>
    </row>
    <row r="115" spans="1:23">
      <c r="A115" s="123">
        <v>105</v>
      </c>
      <c r="B115" s="77" t="s">
        <v>118</v>
      </c>
      <c r="C115" s="77" t="s">
        <v>86</v>
      </c>
      <c r="D115" s="10">
        <v>1974378624.4400001</v>
      </c>
      <c r="E115" s="10">
        <v>23668329</v>
      </c>
      <c r="F115" s="10">
        <v>0</v>
      </c>
      <c r="G115" s="10">
        <v>3510413.53</v>
      </c>
      <c r="H115" s="12">
        <f t="shared" si="30"/>
        <v>20157915.469999999</v>
      </c>
      <c r="I115" s="10">
        <v>2030184882.4000001</v>
      </c>
      <c r="J115" s="13">
        <f t="shared" si="31"/>
        <v>8.0399759876675827E-3</v>
      </c>
      <c r="K115" s="10">
        <v>2042391403.48</v>
      </c>
      <c r="L115" s="13">
        <f t="shared" si="38"/>
        <v>8.7049403540992616E-3</v>
      </c>
      <c r="M115" s="13">
        <f t="shared" si="39"/>
        <v>6.0125169810002141E-3</v>
      </c>
      <c r="N115" s="20">
        <f t="shared" si="40"/>
        <v>1.7187760994384616E-3</v>
      </c>
      <c r="O115" s="21">
        <f t="shared" si="41"/>
        <v>9.8697612199371912E-3</v>
      </c>
      <c r="P115" s="24">
        <f t="shared" si="42"/>
        <v>31.491421540309588</v>
      </c>
      <c r="Q115" s="24">
        <f t="shared" si="43"/>
        <v>0.31081281107924236</v>
      </c>
      <c r="R115" s="10">
        <v>31.491499999999998</v>
      </c>
      <c r="S115" s="10">
        <v>31.491499999999998</v>
      </c>
      <c r="T115" s="16">
        <v>1332</v>
      </c>
      <c r="U115" s="10">
        <v>65123096.649999999</v>
      </c>
      <c r="V115" s="10">
        <v>64855484.560000002</v>
      </c>
    </row>
    <row r="116" spans="1:23">
      <c r="A116" s="125" t="s">
        <v>48</v>
      </c>
      <c r="B116" s="125"/>
      <c r="C116" s="125"/>
      <c r="D116" s="125"/>
      <c r="E116" s="125"/>
      <c r="F116" s="125"/>
      <c r="G116" s="125"/>
      <c r="H116" s="125"/>
      <c r="I116" s="36">
        <f>SUM(I78:I115)</f>
        <v>252511311664.87003</v>
      </c>
      <c r="J116" s="34">
        <f>(I116/$I$247)</f>
        <v>2.9357601357437348E-2</v>
      </c>
      <c r="K116" s="36">
        <f>SUM(K78:K115)</f>
        <v>234624399524.82996</v>
      </c>
      <c r="L116" s="34">
        <f>(K116/$K$247)</f>
        <v>2.6423263238098387E-2</v>
      </c>
      <c r="M116" s="34">
        <f t="shared" si="33"/>
        <v>-7.0836082637673534E-2</v>
      </c>
      <c r="N116" s="20"/>
      <c r="O116" s="20"/>
      <c r="P116" s="37"/>
      <c r="Q116" s="37"/>
      <c r="R116" s="36"/>
      <c r="S116" s="36"/>
      <c r="T116" s="36">
        <f>SUM(T78:T115)</f>
        <v>58558</v>
      </c>
      <c r="U116" s="36"/>
      <c r="V116" s="10"/>
    </row>
    <row r="117" spans="1:23" ht="7.2" customHeight="1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5"/>
    </row>
    <row r="118" spans="1:23">
      <c r="A118" s="130" t="s">
        <v>181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</row>
    <row r="119" spans="1:23">
      <c r="A119" s="136" t="s">
        <v>119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</row>
    <row r="120" spans="1:23">
      <c r="A120" s="111">
        <v>106</v>
      </c>
      <c r="B120" s="105" t="s">
        <v>120</v>
      </c>
      <c r="C120" s="19" t="s">
        <v>22</v>
      </c>
      <c r="D120" s="17">
        <v>3726125511.1900001</v>
      </c>
      <c r="E120" s="17">
        <v>24083564.870000001</v>
      </c>
      <c r="F120" s="17">
        <v>7227660.2300000004</v>
      </c>
      <c r="G120" s="17">
        <v>7072787.9800000004</v>
      </c>
      <c r="H120" s="12">
        <f t="shared" ref="H120:H135" si="46">(E120+F120)-G120</f>
        <v>24238437.120000001</v>
      </c>
      <c r="I120" s="29">
        <v>3731652014.7399998</v>
      </c>
      <c r="J120" s="13">
        <f t="shared" ref="J120:J137" si="47">(I120/$I$160)</f>
        <v>2.0122221386478043E-3</v>
      </c>
      <c r="K120" s="29">
        <v>3744617461.0799999</v>
      </c>
      <c r="L120" s="13">
        <f t="shared" ref="L120" si="48">(K120/$K$160)</f>
        <v>2.014641342306684E-3</v>
      </c>
      <c r="M120" s="13">
        <f t="shared" ref="M120" si="49">((K120-I120)/I120)</f>
        <v>3.4744521431223298E-3</v>
      </c>
      <c r="N120" s="20">
        <f t="shared" ref="N120" si="50">(G120/K120)</f>
        <v>1.8887878544368347E-3</v>
      </c>
      <c r="O120" s="21">
        <f t="shared" ref="O120" si="51">H120/K120</f>
        <v>6.4728740310390203E-3</v>
      </c>
      <c r="P120" s="24">
        <f t="shared" ref="P120" si="52">K120/V120</f>
        <v>161995.67308745545</v>
      </c>
      <c r="Q120" s="24">
        <f t="shared" ref="Q120" si="53">H120/V120</f>
        <v>1048.5775854684771</v>
      </c>
      <c r="R120" s="10">
        <f>117.8628*FX_RATE</f>
        <v>162054.64360667998</v>
      </c>
      <c r="S120" s="10">
        <f>117.8628*FX_RATE</f>
        <v>162054.64360667998</v>
      </c>
      <c r="T120" s="10">
        <v>189</v>
      </c>
      <c r="U120" s="10">
        <v>23230.15</v>
      </c>
      <c r="V120" s="10">
        <v>23115.54</v>
      </c>
    </row>
    <row r="121" spans="1:23">
      <c r="A121" s="109">
        <v>107</v>
      </c>
      <c r="B121" s="72" t="s">
        <v>209</v>
      </c>
      <c r="C121" s="73" t="s">
        <v>52</v>
      </c>
      <c r="D121" s="17">
        <f>3799052.41*C249</f>
        <v>5223480897.6678715</v>
      </c>
      <c r="E121" s="17">
        <f>78438.78*FX_RATE</f>
        <v>107848859.333418</v>
      </c>
      <c r="F121" s="17">
        <v>0</v>
      </c>
      <c r="G121" s="17">
        <f>6416.03*C249</f>
        <v>8821676.1778929997</v>
      </c>
      <c r="H121" s="12">
        <f t="shared" si="46"/>
        <v>99027183.155524999</v>
      </c>
      <c r="I121" s="29">
        <v>5540278163.3939514</v>
      </c>
      <c r="J121" s="13">
        <f t="shared" si="47"/>
        <v>2.9874892756914942E-3</v>
      </c>
      <c r="K121" s="29">
        <f>3853196.62*FX_RATE</f>
        <v>5297926105.6123219</v>
      </c>
      <c r="L121" s="13">
        <f t="shared" ref="L121:L137" si="54">(K121/$K$160)</f>
        <v>2.8503368025672954E-3</v>
      </c>
      <c r="M121" s="13">
        <f t="shared" ref="M121:M137" si="55">((K121-I121)/I121)</f>
        <v>-4.3743662436105141E-2</v>
      </c>
      <c r="N121" s="20">
        <f t="shared" ref="N121:N137" si="56">(G121/K121)</f>
        <v>1.6651187657275583E-3</v>
      </c>
      <c r="O121" s="21">
        <f t="shared" ref="O121:O137" si="57">H121/K121</f>
        <v>1.8691688253375454E-2</v>
      </c>
      <c r="P121" s="24">
        <f t="shared" ref="P121:P137" si="58">K121/V121</f>
        <v>145159.00052092262</v>
      </c>
      <c r="Q121" s="24">
        <f t="shared" ref="Q121:Q137" si="59">H121/V121</f>
        <v>2713.2667849086511</v>
      </c>
      <c r="R121" s="10">
        <f>100*C249</f>
        <v>137494.31</v>
      </c>
      <c r="S121" s="10">
        <f>100*C249</f>
        <v>137494.31</v>
      </c>
      <c r="T121" s="10">
        <v>107</v>
      </c>
      <c r="U121" s="10">
        <v>38987.4</v>
      </c>
      <c r="V121" s="10">
        <v>36497.4</v>
      </c>
    </row>
    <row r="122" spans="1:23" ht="13.2" customHeight="1">
      <c r="A122" s="111">
        <v>108</v>
      </c>
      <c r="B122" s="19" t="s">
        <v>121</v>
      </c>
      <c r="C122" s="77" t="s">
        <v>26</v>
      </c>
      <c r="D122" s="17">
        <f>8307896*FX_RATE</f>
        <v>11422884280.7176</v>
      </c>
      <c r="E122" s="17">
        <f>80342*FX_RATE</f>
        <v>110465678.5402</v>
      </c>
      <c r="F122" s="17">
        <f>68039*C249</f>
        <v>93549753.580899999</v>
      </c>
      <c r="G122" s="17">
        <f>27797*FX_RATE</f>
        <v>38219293.350699998</v>
      </c>
      <c r="H122" s="12">
        <f t="shared" si="46"/>
        <v>165796138.77040002</v>
      </c>
      <c r="I122" s="29">
        <v>18188588918.004799</v>
      </c>
      <c r="J122" s="13">
        <f t="shared" si="47"/>
        <v>9.8078494851625165E-3</v>
      </c>
      <c r="K122" s="29">
        <f>13375951*FX_RATE</f>
        <v>18391171533.3881</v>
      </c>
      <c r="L122" s="13">
        <f t="shared" si="54"/>
        <v>9.8946327334411537E-3</v>
      </c>
      <c r="M122" s="13">
        <f t="shared" si="55"/>
        <v>1.1137896199455318E-2</v>
      </c>
      <c r="N122" s="20">
        <f t="shared" si="56"/>
        <v>2.0781326127764671E-3</v>
      </c>
      <c r="O122" s="21">
        <f t="shared" si="57"/>
        <v>9.014985177502521E-3</v>
      </c>
      <c r="P122" s="24">
        <f t="shared" si="58"/>
        <v>1690.2774096442151</v>
      </c>
      <c r="Q122" s="24">
        <f t="shared" si="59"/>
        <v>15.237825793809955</v>
      </c>
      <c r="R122" s="10">
        <f>1.2293*FX_RATE</f>
        <v>1690.2175528299999</v>
      </c>
      <c r="S122" s="10">
        <f>1.2293*FX_RATE</f>
        <v>1690.2175528299999</v>
      </c>
      <c r="T122" s="10">
        <v>341</v>
      </c>
      <c r="U122" s="10">
        <v>10766992</v>
      </c>
      <c r="V122" s="10">
        <v>10880564</v>
      </c>
    </row>
    <row r="123" spans="1:23" ht="13.2" customHeight="1">
      <c r="A123" s="109">
        <v>109</v>
      </c>
      <c r="B123" s="19" t="s">
        <v>247</v>
      </c>
      <c r="C123" s="77" t="s">
        <v>26</v>
      </c>
      <c r="D123" s="17">
        <f>1992296*FX_RATE</f>
        <v>2739293638.3575997</v>
      </c>
      <c r="E123" s="17">
        <f>18941*FX_RATE</f>
        <v>26042797.257100001</v>
      </c>
      <c r="F123" s="17">
        <f>5563*FX_RATE</f>
        <v>7648808.4652999993</v>
      </c>
      <c r="G123" s="17">
        <f>8392*FX_RATE</f>
        <v>11538522.495199999</v>
      </c>
      <c r="H123" s="12">
        <f t="shared" si="46"/>
        <v>22153083.227200001</v>
      </c>
      <c r="I123" s="29">
        <v>4349850880.7955999</v>
      </c>
      <c r="J123" s="13">
        <f t="shared" si="47"/>
        <v>2.3455740802142849E-3</v>
      </c>
      <c r="K123" s="29">
        <f>3127107*FX_RATE</f>
        <v>4299594192.6117001</v>
      </c>
      <c r="L123" s="13">
        <f t="shared" si="54"/>
        <v>2.3132243294830377E-3</v>
      </c>
      <c r="M123" s="13">
        <f t="shared" si="55"/>
        <v>-1.1553657714056578E-2</v>
      </c>
      <c r="N123" s="20">
        <f t="shared" si="56"/>
        <v>2.6836305889117317E-3</v>
      </c>
      <c r="O123" s="21">
        <f t="shared" si="57"/>
        <v>5.1523660687018387E-3</v>
      </c>
      <c r="P123" s="24">
        <f t="shared" si="58"/>
        <v>1458.4328415163775</v>
      </c>
      <c r="Q123" s="24">
        <f t="shared" si="59"/>
        <v>7.5143798861093893</v>
      </c>
      <c r="R123" s="10">
        <f>1.0607*FX_RATE</f>
        <v>1458.4021461699999</v>
      </c>
      <c r="S123" s="10">
        <f>1.0607*FX_RATE</f>
        <v>1458.4021461699999</v>
      </c>
      <c r="T123" s="10">
        <v>123</v>
      </c>
      <c r="U123" s="10">
        <v>2972480</v>
      </c>
      <c r="V123" s="10">
        <v>2948092</v>
      </c>
    </row>
    <row r="124" spans="1:23" ht="13.2" customHeight="1">
      <c r="A124" s="111">
        <v>110</v>
      </c>
      <c r="B124" s="73" t="s">
        <v>214</v>
      </c>
      <c r="C124" s="73" t="s">
        <v>94</v>
      </c>
      <c r="D124" s="17">
        <f>35175677.54*FX_RATE</f>
        <v>48364555121.447968</v>
      </c>
      <c r="E124" s="17">
        <f>398965.72*FX_RATE</f>
        <v>548555163.85053194</v>
      </c>
      <c r="F124" s="17">
        <f>1585622.98*C249</f>
        <v>2180141375.5524378</v>
      </c>
      <c r="G124" s="17">
        <f>41206.93*FX_RATE</f>
        <v>56657184.075682998</v>
      </c>
      <c r="H124" s="12">
        <f t="shared" si="46"/>
        <v>2672039355.3272867</v>
      </c>
      <c r="I124" s="29">
        <v>46656755320.350502</v>
      </c>
      <c r="J124" s="13">
        <f t="shared" si="47"/>
        <v>2.5158764965822866E-2</v>
      </c>
      <c r="K124" s="29">
        <f>35354446.01*FX_RATE</f>
        <v>48610351595.772026</v>
      </c>
      <c r="L124" s="13">
        <f t="shared" si="54"/>
        <v>2.6152851394508247E-2</v>
      </c>
      <c r="M124" s="13">
        <f t="shared" si="55"/>
        <v>4.1871670286712258E-2</v>
      </c>
      <c r="N124" s="20">
        <f t="shared" si="56"/>
        <v>1.1655374259957186E-3</v>
      </c>
      <c r="O124" s="21">
        <f t="shared" si="57"/>
        <v>5.4968525583750198E-2</v>
      </c>
      <c r="P124" s="24">
        <f t="shared" si="58"/>
        <v>1753.1802492432141</v>
      </c>
      <c r="Q124" s="24">
        <f t="shared" si="59"/>
        <v>96.369733383451162</v>
      </c>
      <c r="R124" s="10">
        <f>1.2749*FX_RATE</f>
        <v>1752.9149581899999</v>
      </c>
      <c r="S124" s="10">
        <f>1.2749*FX_RATE</f>
        <v>1752.9149581899999</v>
      </c>
      <c r="T124" s="10">
        <v>731</v>
      </c>
      <c r="U124" s="10">
        <v>27131248.25</v>
      </c>
      <c r="V124" s="10">
        <v>27726955.98</v>
      </c>
    </row>
    <row r="125" spans="1:23" ht="13.2" customHeight="1">
      <c r="A125" s="109">
        <v>111</v>
      </c>
      <c r="B125" s="72" t="s">
        <v>215</v>
      </c>
      <c r="C125" s="73" t="s">
        <v>193</v>
      </c>
      <c r="D125" s="17">
        <f>1019274.26*FX_RATE</f>
        <v>1401444110.794606</v>
      </c>
      <c r="E125" s="17">
        <f>11717.09*FX_RATE</f>
        <v>16110332.047579</v>
      </c>
      <c r="F125" s="17">
        <v>0</v>
      </c>
      <c r="G125" s="17">
        <f>1679.58*C249</f>
        <v>2309326.9318979997</v>
      </c>
      <c r="H125" s="12">
        <f t="shared" si="46"/>
        <v>13801005.115681</v>
      </c>
      <c r="I125" s="29">
        <v>1404468638.188632</v>
      </c>
      <c r="J125" s="13">
        <f t="shared" si="47"/>
        <v>7.5733291197480675E-4</v>
      </c>
      <c r="K125" s="29">
        <f>1008272.47*FX_RATE</f>
        <v>1386317275.5464568</v>
      </c>
      <c r="L125" s="13">
        <f t="shared" si="54"/>
        <v>7.4585244711868059E-4</v>
      </c>
      <c r="M125" s="13">
        <f t="shared" si="55"/>
        <v>-1.2924007093234442E-2</v>
      </c>
      <c r="N125" s="20">
        <f t="shared" si="56"/>
        <v>1.665799721775603E-3</v>
      </c>
      <c r="O125" s="21">
        <f t="shared" si="57"/>
        <v>9.9551562684241507E-3</v>
      </c>
      <c r="P125" s="24">
        <f t="shared" si="58"/>
        <v>1516.5372818716246</v>
      </c>
      <c r="Q125" s="24">
        <f t="shared" si="59"/>
        <v>15.097365627923228</v>
      </c>
      <c r="R125" s="10">
        <f>1.103*FX_RATE</f>
        <v>1516.5622392999999</v>
      </c>
      <c r="S125" s="10">
        <f xml:space="preserve"> 1.1107*C249</f>
        <v>1527.1493011699999</v>
      </c>
      <c r="T125" s="10">
        <v>75</v>
      </c>
      <c r="U125" s="10">
        <v>921234.29</v>
      </c>
      <c r="V125" s="10">
        <v>914133.33</v>
      </c>
    </row>
    <row r="126" spans="1:23" ht="13.2" customHeight="1">
      <c r="A126" s="111">
        <v>112</v>
      </c>
      <c r="B126" s="106" t="s">
        <v>216</v>
      </c>
      <c r="C126" s="73" t="s">
        <v>45</v>
      </c>
      <c r="D126" s="17">
        <f>701922.35*FX_RATE</f>
        <v>965103291.86828494</v>
      </c>
      <c r="E126" s="17">
        <f>4022.14*FX_RATE</f>
        <v>5530213.640234</v>
      </c>
      <c r="F126" s="17">
        <v>0</v>
      </c>
      <c r="G126" s="17">
        <f>962.33*FX_RATE</f>
        <v>1323148.993423</v>
      </c>
      <c r="H126" s="12">
        <f t="shared" si="46"/>
        <v>4207064.6468110001</v>
      </c>
      <c r="I126" s="29">
        <v>884028629.57614005</v>
      </c>
      <c r="J126" s="13">
        <f t="shared" si="47"/>
        <v>4.766955687735876E-4</v>
      </c>
      <c r="K126" s="29">
        <f>712044.36*FX_RATE</f>
        <v>979020479.67591596</v>
      </c>
      <c r="L126" s="13">
        <f t="shared" si="54"/>
        <v>5.2672273037768734E-4</v>
      </c>
      <c r="M126" s="13">
        <f t="shared" si="55"/>
        <v>0.10745336397682176</v>
      </c>
      <c r="N126" s="20">
        <f t="shared" si="56"/>
        <v>1.3515028754669163E-3</v>
      </c>
      <c r="O126" s="21">
        <f t="shared" si="57"/>
        <v>4.2972182238758269E-3</v>
      </c>
      <c r="P126" s="24">
        <f t="shared" si="58"/>
        <v>1883.2691114987908</v>
      </c>
      <c r="Q126" s="24">
        <f t="shared" si="59"/>
        <v>8.0928183463950418</v>
      </c>
      <c r="R126" s="10">
        <f>1.37*FX_RATE</f>
        <v>1883.672047</v>
      </c>
      <c r="S126" s="10">
        <f>1.37*FX_RATE</f>
        <v>1883.672047</v>
      </c>
      <c r="T126" s="10">
        <v>79</v>
      </c>
      <c r="U126" s="10">
        <v>448740.75</v>
      </c>
      <c r="V126" s="10">
        <v>519851.61</v>
      </c>
    </row>
    <row r="127" spans="1:23" ht="13.2" customHeight="1">
      <c r="A127" s="109">
        <v>113</v>
      </c>
      <c r="B127" s="72" t="s">
        <v>217</v>
      </c>
      <c r="C127" s="73" t="s">
        <v>150</v>
      </c>
      <c r="D127" s="17">
        <f>996244.78*FX_RATE</f>
        <v>1369779886.1720181</v>
      </c>
      <c r="E127" s="17">
        <f>15991.41*FX_RATE</f>
        <v>21987278.838771001</v>
      </c>
      <c r="F127" s="17">
        <v>0</v>
      </c>
      <c r="G127" s="17">
        <f>4517.77*FX_RATE</f>
        <v>6211676.6888870001</v>
      </c>
      <c r="H127" s="12">
        <f t="shared" si="46"/>
        <v>15775602.149884</v>
      </c>
      <c r="I127" s="29">
        <v>3833825481.2957082</v>
      </c>
      <c r="J127" s="13">
        <f t="shared" si="47"/>
        <v>2.0673172307340134E-3</v>
      </c>
      <c r="K127" s="29">
        <f>2864788.21*FX_RATE</f>
        <v>3938920782.3008509</v>
      </c>
      <c r="L127" s="13">
        <f t="shared" si="54"/>
        <v>2.119178456697568E-3</v>
      </c>
      <c r="M127" s="13">
        <f t="shared" si="55"/>
        <v>2.7412646067974878E-2</v>
      </c>
      <c r="N127" s="20">
        <f t="shared" si="56"/>
        <v>1.5769996484312535E-3</v>
      </c>
      <c r="O127" s="21">
        <f t="shared" si="57"/>
        <v>4.0050569741768103E-3</v>
      </c>
      <c r="P127" s="24">
        <f t="shared" si="58"/>
        <v>149660.73111823591</v>
      </c>
      <c r="Q127" s="24">
        <f t="shared" si="59"/>
        <v>599.39975492549115</v>
      </c>
      <c r="R127" s="10">
        <f>109.54*FX_RATE</f>
        <v>150611.26717400001</v>
      </c>
      <c r="S127" s="10">
        <f>110.22*FX_RATE</f>
        <v>151546.22848200001</v>
      </c>
      <c r="T127" s="10">
        <v>123</v>
      </c>
      <c r="U127" s="10">
        <v>25514</v>
      </c>
      <c r="V127" s="10">
        <v>26319</v>
      </c>
    </row>
    <row r="128" spans="1:23" ht="15" customHeight="1">
      <c r="A128" s="111">
        <v>114</v>
      </c>
      <c r="B128" s="19" t="s">
        <v>122</v>
      </c>
      <c r="C128" s="77" t="s">
        <v>66</v>
      </c>
      <c r="D128" s="17">
        <f>3343393.49*FX_RATE</f>
        <v>4596975809.6604195</v>
      </c>
      <c r="E128" s="17">
        <f>23400.1*FX_RATE</f>
        <v>32173806.034309998</v>
      </c>
      <c r="F128" s="17">
        <v>0</v>
      </c>
      <c r="G128" s="17">
        <f>5982*FX_RATE</f>
        <v>8224909.6241999995</v>
      </c>
      <c r="H128" s="12">
        <f t="shared" si="46"/>
        <v>23948896.410109997</v>
      </c>
      <c r="I128" s="29">
        <v>4694696764.6468964</v>
      </c>
      <c r="J128" s="13">
        <f t="shared" si="47"/>
        <v>2.5315256424623782E-3</v>
      </c>
      <c r="K128" s="29">
        <f>3363231.84*FX_RATE</f>
        <v>4624252412.108304</v>
      </c>
      <c r="L128" s="13">
        <f t="shared" si="54"/>
        <v>2.4878936723239735E-3</v>
      </c>
      <c r="M128" s="13">
        <f t="shared" si="55"/>
        <v>-1.5005091078313913E-2</v>
      </c>
      <c r="N128" s="20">
        <f t="shared" si="56"/>
        <v>1.7786463391711942E-3</v>
      </c>
      <c r="O128" s="21">
        <f t="shared" si="57"/>
        <v>5.1789768974118645E-3</v>
      </c>
      <c r="P128" s="24">
        <f t="shared" si="58"/>
        <v>148227.47097824482</v>
      </c>
      <c r="Q128" s="24">
        <f t="shared" si="59"/>
        <v>767.66664775811762</v>
      </c>
      <c r="R128" s="10">
        <f>115.79*FX_RATE</f>
        <v>159204.66154900001</v>
      </c>
      <c r="S128" s="10">
        <f>115.79*FX_RATE</f>
        <v>159204.66154900001</v>
      </c>
      <c r="T128" s="10">
        <v>89</v>
      </c>
      <c r="U128" s="10">
        <v>29874</v>
      </c>
      <c r="V128" s="10">
        <v>31197</v>
      </c>
    </row>
    <row r="129" spans="1:24" ht="15" customHeight="1">
      <c r="A129" s="109">
        <v>115</v>
      </c>
      <c r="B129" s="19" t="s">
        <v>314</v>
      </c>
      <c r="C129" s="19" t="s">
        <v>264</v>
      </c>
      <c r="D129" s="17">
        <f>10972378.19*FX_RATE</f>
        <v>15086395682.930988</v>
      </c>
      <c r="E129" s="17">
        <f>61371*FX_RATE</f>
        <v>84381632.990099996</v>
      </c>
      <c r="F129" s="17">
        <v>0</v>
      </c>
      <c r="G129" s="17">
        <f>17482.83*FX_RATE</f>
        <v>24037896.476973001</v>
      </c>
      <c r="H129" s="12">
        <f>(E129+F129)-G129</f>
        <v>60343736.513126999</v>
      </c>
      <c r="I129" s="29">
        <v>14837807539.057486</v>
      </c>
      <c r="J129" s="13">
        <f t="shared" si="47"/>
        <v>8.0010045687947222E-3</v>
      </c>
      <c r="K129" s="29">
        <f>10930140.35*FX_RATE</f>
        <v>15028321056.264084</v>
      </c>
      <c r="L129" s="13">
        <f t="shared" si="54"/>
        <v>8.0853858157985143E-3</v>
      </c>
      <c r="M129" s="13">
        <f t="shared" si="55"/>
        <v>1.2839735028582256E-2</v>
      </c>
      <c r="N129" s="20">
        <f t="shared" si="56"/>
        <v>1.5995064509853254E-3</v>
      </c>
      <c r="O129" s="21">
        <f t="shared" si="57"/>
        <v>4.015334533192888E-3</v>
      </c>
      <c r="P129" s="24">
        <f t="shared" si="58"/>
        <v>2082.0521402803347</v>
      </c>
      <c r="Q129" s="24">
        <f t="shared" si="59"/>
        <v>8.3601358587757915</v>
      </c>
      <c r="R129" s="10">
        <f>1.51*FX_RATE</f>
        <v>2076.1640809999999</v>
      </c>
      <c r="S129" s="10">
        <f>1.52*FX_RATE</f>
        <v>2089.9135120000001</v>
      </c>
      <c r="T129" s="10">
        <v>121</v>
      </c>
      <c r="U129" s="10">
        <v>7173573</v>
      </c>
      <c r="V129" s="10">
        <v>7218033</v>
      </c>
    </row>
    <row r="130" spans="1:24" ht="15" customHeight="1">
      <c r="A130" s="111">
        <v>116</v>
      </c>
      <c r="B130" s="105" t="s">
        <v>312</v>
      </c>
      <c r="C130" s="12" t="s">
        <v>328</v>
      </c>
      <c r="D130" s="17">
        <v>53280724961.25</v>
      </c>
      <c r="E130" s="17">
        <v>370847373.38999999</v>
      </c>
      <c r="F130" s="17">
        <v>0</v>
      </c>
      <c r="G130" s="17">
        <v>83362378.719999999</v>
      </c>
      <c r="H130" s="12">
        <f t="shared" si="46"/>
        <v>287484994.66999996</v>
      </c>
      <c r="I130" s="29">
        <v>53122902605.75</v>
      </c>
      <c r="J130" s="13">
        <f t="shared" si="47"/>
        <v>2.8645511497397521E-2</v>
      </c>
      <c r="K130" s="29">
        <v>52804779150.480003</v>
      </c>
      <c r="L130" s="13">
        <f t="shared" si="54"/>
        <v>2.8409495029499961E-2</v>
      </c>
      <c r="M130" s="13">
        <f t="shared" si="55"/>
        <v>-5.9884426427324602E-3</v>
      </c>
      <c r="N130" s="20">
        <f t="shared" si="56"/>
        <v>1.5786900364158085E-3</v>
      </c>
      <c r="O130" s="21">
        <f t="shared" si="57"/>
        <v>5.4442987792968868E-3</v>
      </c>
      <c r="P130" s="24">
        <f t="shared" si="58"/>
        <v>180517.32866081907</v>
      </c>
      <c r="Q130" s="24">
        <f t="shared" si="59"/>
        <v>982.79027207003207</v>
      </c>
      <c r="R130" s="10">
        <f>131*C249</f>
        <v>180117.54610000001</v>
      </c>
      <c r="S130" s="10">
        <f>131.03*C249</f>
        <v>180158.79439299999</v>
      </c>
      <c r="T130" s="10">
        <v>2484</v>
      </c>
      <c r="U130" s="10">
        <v>293693.18</v>
      </c>
      <c r="V130" s="10">
        <v>292519.17</v>
      </c>
    </row>
    <row r="131" spans="1:24">
      <c r="A131" s="109">
        <v>117</v>
      </c>
      <c r="B131" s="105" t="s">
        <v>313</v>
      </c>
      <c r="C131" s="12" t="s">
        <v>328</v>
      </c>
      <c r="D131" s="17">
        <v>161546399987.39001</v>
      </c>
      <c r="E131" s="17">
        <v>1124640073.4000001</v>
      </c>
      <c r="F131" s="17">
        <v>0</v>
      </c>
      <c r="G131" s="17">
        <v>251009692.72999999</v>
      </c>
      <c r="H131" s="12">
        <f t="shared" si="46"/>
        <v>873630380.67000008</v>
      </c>
      <c r="I131" s="29">
        <v>157177413947.78</v>
      </c>
      <c r="J131" s="13">
        <f t="shared" si="47"/>
        <v>8.4754921089063393E-2</v>
      </c>
      <c r="K131" s="29">
        <v>160250914339.42999</v>
      </c>
      <c r="L131" s="13">
        <f t="shared" si="54"/>
        <v>8.6216581673885795E-2</v>
      </c>
      <c r="M131" s="13">
        <f t="shared" si="55"/>
        <v>1.9554338721154436E-2</v>
      </c>
      <c r="N131" s="20">
        <f t="shared" si="56"/>
        <v>1.5663542000037042E-3</v>
      </c>
      <c r="O131" s="21">
        <f t="shared" si="57"/>
        <v>5.4516405367868899E-3</v>
      </c>
      <c r="P131" s="24">
        <f t="shared" si="58"/>
        <v>176159.92607088821</v>
      </c>
      <c r="Q131" s="24">
        <f t="shared" si="59"/>
        <v>960.36059392543598</v>
      </c>
      <c r="R131" s="10">
        <f>127.9*C249</f>
        <v>175855.22249000001</v>
      </c>
      <c r="S131" s="10">
        <f>127.9*C249</f>
        <v>175855.22249000001</v>
      </c>
      <c r="T131" s="10">
        <v>813</v>
      </c>
      <c r="U131" s="10">
        <v>890403.36</v>
      </c>
      <c r="V131" s="10">
        <v>909689.95</v>
      </c>
    </row>
    <row r="132" spans="1:24">
      <c r="A132" s="111">
        <v>118</v>
      </c>
      <c r="B132" s="72" t="s">
        <v>249</v>
      </c>
      <c r="C132" s="73" t="s">
        <v>250</v>
      </c>
      <c r="D132" s="17">
        <f>1619000 *FX_RATE</f>
        <v>2226032878.9000001</v>
      </c>
      <c r="E132" s="17">
        <f xml:space="preserve"> 11649.44*FX_RATE</f>
        <v>16017317.146864001</v>
      </c>
      <c r="F132" s="17">
        <v>0</v>
      </c>
      <c r="G132" s="17">
        <f>1684.87*FX_RATE</f>
        <v>2316600.380897</v>
      </c>
      <c r="H132" s="12">
        <f>(E132+F132)-G132</f>
        <v>13700716.765967</v>
      </c>
      <c r="I132" s="44">
        <v>1968407696.428164</v>
      </c>
      <c r="J132" s="13">
        <f t="shared" si="47"/>
        <v>1.0614262876045397E-3</v>
      </c>
      <c r="K132" s="29">
        <f>1408200.04 *FX_RATE</f>
        <v>1936194928.4177239</v>
      </c>
      <c r="L132" s="13">
        <f t="shared" si="54"/>
        <v>1.0416920793906274E-3</v>
      </c>
      <c r="M132" s="13">
        <f t="shared" si="55"/>
        <v>-1.6364886232101611E-2</v>
      </c>
      <c r="N132" s="20">
        <f t="shared" si="56"/>
        <v>1.1964706377937612E-3</v>
      </c>
      <c r="O132" s="21">
        <f t="shared" si="57"/>
        <v>7.0761040455587553E-3</v>
      </c>
      <c r="P132" s="24">
        <f t="shared" si="58"/>
        <v>147853.28325086588</v>
      </c>
      <c r="Q132" s="24">
        <f t="shared" si="59"/>
        <v>1046.2252157605965</v>
      </c>
      <c r="R132" s="10">
        <f>1*FX_RATE</f>
        <v>1374.9431</v>
      </c>
      <c r="S132" s="10">
        <f>1*FX_RATE</f>
        <v>1374.9431</v>
      </c>
      <c r="T132" s="10">
        <v>16</v>
      </c>
      <c r="U132" s="10">
        <v>13292.01</v>
      </c>
      <c r="V132" s="10">
        <v>13095.38</v>
      </c>
    </row>
    <row r="133" spans="1:24" s="3" customFormat="1">
      <c r="A133" s="109">
        <v>119</v>
      </c>
      <c r="B133" s="72" t="s">
        <v>123</v>
      </c>
      <c r="C133" s="73" t="s">
        <v>124</v>
      </c>
      <c r="D133" s="17">
        <f>202392.65*FX_RATE</f>
        <v>278278377.60821497</v>
      </c>
      <c r="E133" s="17">
        <f>1015*FX_RATE</f>
        <v>1395567.2464999999</v>
      </c>
      <c r="F133" s="17">
        <v>0</v>
      </c>
      <c r="G133" s="17">
        <f>5072.44*FX_RATE</f>
        <v>6974316.3781639989</v>
      </c>
      <c r="H133" s="12">
        <f t="shared" si="46"/>
        <v>-5578749.1316639986</v>
      </c>
      <c r="I133" s="29">
        <v>253803220.542476</v>
      </c>
      <c r="J133" s="13">
        <f t="shared" si="47"/>
        <v>1.3685854340608034E-4</v>
      </c>
      <c r="K133" s="29">
        <f>199690.17*FX_RATE</f>
        <v>274562621.379327</v>
      </c>
      <c r="L133" s="13">
        <f t="shared" si="54"/>
        <v>1.4771741408356153E-4</v>
      </c>
      <c r="M133" s="13">
        <f t="shared" si="55"/>
        <v>8.1793291639405144E-2</v>
      </c>
      <c r="N133" s="20">
        <f t="shared" si="56"/>
        <v>2.5401550812441089E-2</v>
      </c>
      <c r="O133" s="21">
        <f t="shared" si="57"/>
        <v>-2.031867667797568E-2</v>
      </c>
      <c r="P133" s="24">
        <f t="shared" si="58"/>
        <v>199364.37338299508</v>
      </c>
      <c r="Q133" s="24">
        <f t="shared" si="59"/>
        <v>-4050.8202438762978</v>
      </c>
      <c r="R133" s="10">
        <f>144.9971*FX_RATE</f>
        <v>199362.76216500998</v>
      </c>
      <c r="S133" s="10">
        <f>144.9971*FX_RATE</f>
        <v>199362.76216500998</v>
      </c>
      <c r="T133" s="10">
        <v>11</v>
      </c>
      <c r="U133" s="10">
        <v>1377.19</v>
      </c>
      <c r="V133" s="10">
        <v>1377.19</v>
      </c>
      <c r="W133" s="6"/>
      <c r="X133" s="6"/>
    </row>
    <row r="134" spans="1:24" s="3" customFormat="1">
      <c r="A134" s="111">
        <v>120</v>
      </c>
      <c r="B134" s="72" t="s">
        <v>320</v>
      </c>
      <c r="C134" s="73" t="s">
        <v>321</v>
      </c>
      <c r="D134" s="17">
        <f>25074.68*C249</f>
        <v>34476258.250707999</v>
      </c>
      <c r="E134" s="17">
        <f>3.46*C249</f>
        <v>4757.3031259999998</v>
      </c>
      <c r="F134" s="17">
        <f>74.68*C249</f>
        <v>102680.75070800001</v>
      </c>
      <c r="G134" s="17">
        <f>0.99*C249</f>
        <v>1361.193669</v>
      </c>
      <c r="H134" s="12">
        <f t="shared" si="46"/>
        <v>106076.86016500001</v>
      </c>
      <c r="I134" s="29">
        <v>0</v>
      </c>
      <c r="J134" s="13">
        <f t="shared" si="47"/>
        <v>0</v>
      </c>
      <c r="K134" s="29">
        <f>25074.68*C249</f>
        <v>34476258.250707999</v>
      </c>
      <c r="L134" s="13">
        <f t="shared" si="54"/>
        <v>1.8548568958465999E-5</v>
      </c>
      <c r="M134" s="13" t="e">
        <f t="shared" si="55"/>
        <v>#DIV/0!</v>
      </c>
      <c r="N134" s="20">
        <f t="shared" si="56"/>
        <v>3.9482059192779332E-5</v>
      </c>
      <c r="O134" s="21">
        <f t="shared" si="57"/>
        <v>3.0768089562857835E-3</v>
      </c>
      <c r="P134" s="24">
        <f t="shared" si="58"/>
        <v>1379.0503300283199</v>
      </c>
      <c r="Q134" s="24">
        <f t="shared" si="59"/>
        <v>4.2430744065999999</v>
      </c>
      <c r="R134" s="10">
        <f>100*C249</f>
        <v>137494.31</v>
      </c>
      <c r="S134" s="10">
        <f>100*C249</f>
        <v>137494.31</v>
      </c>
      <c r="T134" s="10">
        <v>1</v>
      </c>
      <c r="U134" s="10">
        <v>25000</v>
      </c>
      <c r="V134" s="10">
        <v>25000</v>
      </c>
      <c r="W134" s="6"/>
      <c r="X134" s="6"/>
    </row>
    <row r="135" spans="1:24" ht="13.95" customHeight="1">
      <c r="A135" s="109">
        <v>121</v>
      </c>
      <c r="B135" s="105" t="s">
        <v>125</v>
      </c>
      <c r="C135" s="19" t="s">
        <v>126</v>
      </c>
      <c r="D135" s="17">
        <v>40062906480.330002</v>
      </c>
      <c r="E135" s="17">
        <v>311855281.85000002</v>
      </c>
      <c r="F135" s="17">
        <v>-482174885.92000002</v>
      </c>
      <c r="G135" s="17">
        <v>78859845.200000003</v>
      </c>
      <c r="H135" s="12">
        <f t="shared" si="46"/>
        <v>-249179449.26999998</v>
      </c>
      <c r="I135" s="29">
        <v>39281661220.629997</v>
      </c>
      <c r="J135" s="13">
        <f t="shared" si="47"/>
        <v>2.1181886209859231E-2</v>
      </c>
      <c r="K135" s="29">
        <v>42202329120.57</v>
      </c>
      <c r="L135" s="13">
        <f t="shared" si="54"/>
        <v>2.2705271732459398E-2</v>
      </c>
      <c r="M135" s="13">
        <f t="shared" si="55"/>
        <v>7.4351944627181962E-2</v>
      </c>
      <c r="N135" s="20">
        <f t="shared" si="56"/>
        <v>1.868613577575334E-3</v>
      </c>
      <c r="O135" s="21">
        <f t="shared" si="57"/>
        <v>-5.9044004078093988E-3</v>
      </c>
      <c r="P135" s="24">
        <f t="shared" si="58"/>
        <v>146449.92737098716</v>
      </c>
      <c r="Q135" s="24">
        <f t="shared" si="59"/>
        <v>-864.69901089291352</v>
      </c>
      <c r="R135" s="10">
        <v>146446.57999999999</v>
      </c>
      <c r="S135" s="10">
        <v>146446.57999999999</v>
      </c>
      <c r="T135" s="10">
        <v>919</v>
      </c>
      <c r="U135" s="10">
        <v>42202329120.57</v>
      </c>
      <c r="V135" s="10">
        <v>288169</v>
      </c>
    </row>
    <row r="136" spans="1:24" ht="13.95" customHeight="1">
      <c r="A136" s="111">
        <v>122</v>
      </c>
      <c r="B136" s="19" t="s">
        <v>127</v>
      </c>
      <c r="C136" s="19" t="s">
        <v>39</v>
      </c>
      <c r="D136" s="17">
        <f>2001376.12*FX_RATE</f>
        <v>2751778286.698772</v>
      </c>
      <c r="E136" s="17">
        <f>58250.93*FX_RATE</f>
        <v>80091714.272082999</v>
      </c>
      <c r="F136" s="17">
        <v>0</v>
      </c>
      <c r="G136" s="17">
        <f>2589.21*FX_RATE</f>
        <v>3560016.423951</v>
      </c>
      <c r="H136" s="12">
        <f t="shared" ref="H136" si="60">(E136+F136)-G136</f>
        <v>76531697.848131999</v>
      </c>
      <c r="I136" s="29">
        <v>2734867415.7247362</v>
      </c>
      <c r="J136" s="13">
        <f t="shared" si="47"/>
        <v>1.4747250650517187E-3</v>
      </c>
      <c r="K136" s="29">
        <f>2019403.54
*FX_RATE</f>
        <v>2776564963.4385738</v>
      </c>
      <c r="L136" s="13">
        <f t="shared" si="54"/>
        <v>1.4938194950707387E-3</v>
      </c>
      <c r="M136" s="13">
        <f t="shared" si="55"/>
        <v>1.5246643209863915E-2</v>
      </c>
      <c r="N136" s="20">
        <f t="shared" si="56"/>
        <v>1.2821657230530556E-3</v>
      </c>
      <c r="O136" s="21">
        <f t="shared" si="57"/>
        <v>2.7563445788552E-2</v>
      </c>
      <c r="P136" s="24">
        <f t="shared" si="58"/>
        <v>220245.00947817267</v>
      </c>
      <c r="Q136" s="24">
        <f t="shared" si="59"/>
        <v>6070.7113789507339</v>
      </c>
      <c r="R136" s="10">
        <f>161.93*FX_RATE</f>
        <v>222644.53618299999</v>
      </c>
      <c r="S136" s="10">
        <f>168.021*FX_RATE</f>
        <v>231019.31460509996</v>
      </c>
      <c r="T136" s="10">
        <v>54</v>
      </c>
      <c r="U136" s="10">
        <v>12557.71</v>
      </c>
      <c r="V136" s="10">
        <v>12606.71</v>
      </c>
    </row>
    <row r="137" spans="1:24">
      <c r="A137" s="109">
        <v>123</v>
      </c>
      <c r="B137" s="19" t="s">
        <v>302</v>
      </c>
      <c r="C137" s="19" t="s">
        <v>47</v>
      </c>
      <c r="D137" s="17">
        <f>103668368*FX_RATE</f>
        <v>142538107269.86081</v>
      </c>
      <c r="E137" s="17">
        <f>719679*FX_RATE</f>
        <v>989517675.26489997</v>
      </c>
      <c r="F137" s="17">
        <v>0</v>
      </c>
      <c r="G137" s="17">
        <f>158579*FX_RATE</f>
        <v>218037101.8549</v>
      </c>
      <c r="H137" s="12">
        <f>(E137+F137)-G137</f>
        <v>771480573.40999997</v>
      </c>
      <c r="I137" s="29">
        <v>157675981439.79681</v>
      </c>
      <c r="J137" s="13">
        <f t="shared" si="47"/>
        <v>8.5023764095078863E-2</v>
      </c>
      <c r="K137" s="29">
        <f>113939283*FX_RATE</f>
        <v>156660030979.7973</v>
      </c>
      <c r="L137" s="13">
        <f t="shared" si="54"/>
        <v>8.4284650803267386E-2</v>
      </c>
      <c r="M137" s="13">
        <f t="shared" si="55"/>
        <v>-6.4432797609534319E-3</v>
      </c>
      <c r="N137" s="20">
        <f t="shared" si="56"/>
        <v>1.39178513173547E-3</v>
      </c>
      <c r="O137" s="21">
        <f t="shared" si="57"/>
        <v>4.9245526672306687E-3</v>
      </c>
      <c r="P137" s="24">
        <f t="shared" si="58"/>
        <v>174701.38539843669</v>
      </c>
      <c r="Q137" s="24">
        <f t="shared" si="59"/>
        <v>860.32617343276434</v>
      </c>
      <c r="R137" s="10">
        <f>127.06*FX_RATE</f>
        <v>174700.27028599998</v>
      </c>
      <c r="S137" s="10">
        <f>127.06*FX_RATE</f>
        <v>174700.27028599998</v>
      </c>
      <c r="T137" s="10">
        <v>981</v>
      </c>
      <c r="U137" s="10">
        <v>898646</v>
      </c>
      <c r="V137" s="10">
        <v>896730.33</v>
      </c>
    </row>
    <row r="138" spans="1:24" ht="5.7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</row>
    <row r="139" spans="1:24" ht="13.95" customHeight="1">
      <c r="A139" s="138" t="s">
        <v>128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40"/>
    </row>
    <row r="140" spans="1:24">
      <c r="A140" s="99">
        <v>124</v>
      </c>
      <c r="B140" s="25" t="s">
        <v>303</v>
      </c>
      <c r="C140" s="10" t="s">
        <v>299</v>
      </c>
      <c r="D140" s="42">
        <f>236118.75*FX_RATE</f>
        <v>324649846.09312499</v>
      </c>
      <c r="E140" s="10">
        <f>1880.26*FX_RATE</f>
        <v>2585250.513206</v>
      </c>
      <c r="F140" s="10">
        <v>0</v>
      </c>
      <c r="G140" s="10">
        <f>557.22*FX_RATE</f>
        <v>766145.79418199998</v>
      </c>
      <c r="H140" s="12">
        <f>(E140+F140)-G140</f>
        <v>1819104.719024</v>
      </c>
      <c r="I140" s="10">
        <v>402254009.89092398</v>
      </c>
      <c r="J140" s="13">
        <f t="shared" ref="J140:J159" si="61">(I140/$I$160)</f>
        <v>2.1690779870822607E-4</v>
      </c>
      <c r="K140" s="10">
        <f>336453.02*FX_RATE</f>
        <v>462603758.32316202</v>
      </c>
      <c r="L140" s="13">
        <f t="shared" ref="L140" si="62">(K140/$K$160)</f>
        <v>2.4888541120979968E-4</v>
      </c>
      <c r="M140" s="13">
        <f t="shared" ref="M140:M160" si="63">((K140-I140)/I140)</f>
        <v>0.15002895421378795</v>
      </c>
      <c r="N140" s="20">
        <f t="shared" ref="N140" si="64">(G140/K140)</f>
        <v>1.6561599001251347E-3</v>
      </c>
      <c r="O140" s="21">
        <f t="shared" ref="O140" si="65">H140/K140</f>
        <v>3.9323172073176815E-3</v>
      </c>
      <c r="P140" s="22">
        <f t="shared" ref="P140" si="66">K140/V140</f>
        <v>1386.4026898366121</v>
      </c>
      <c r="Q140" s="22">
        <f t="shared" ref="Q140" si="67">H140/V140</f>
        <v>5.4517751535160279</v>
      </c>
      <c r="R140" s="10">
        <f>1.0197*FX_RATE</f>
        <v>1402.02947907</v>
      </c>
      <c r="S140" s="10">
        <f>1.0197*FX_RATE</f>
        <v>1402.02947907</v>
      </c>
      <c r="T140" s="10">
        <v>35</v>
      </c>
      <c r="U140" s="17">
        <v>287309</v>
      </c>
      <c r="V140" s="17">
        <v>333672</v>
      </c>
    </row>
    <row r="141" spans="1:24">
      <c r="A141" s="99">
        <v>125</v>
      </c>
      <c r="B141" s="25" t="s">
        <v>129</v>
      </c>
      <c r="C141" s="10" t="s">
        <v>92</v>
      </c>
      <c r="D141" s="42">
        <f>988041.2 *FX_RATE</f>
        <v>1358500430.4557199</v>
      </c>
      <c r="E141" s="10">
        <f>7168.39*FX_RATE</f>
        <v>9856128.368609</v>
      </c>
      <c r="F141" s="10">
        <v>0</v>
      </c>
      <c r="G141" s="10">
        <f>1861.85*FX_RATE</f>
        <v>2559937.8107349998</v>
      </c>
      <c r="H141" s="12">
        <f>(E141+F141)-G141</f>
        <v>7296190.5578739997</v>
      </c>
      <c r="I141" s="10">
        <v>1609465668.2298398</v>
      </c>
      <c r="J141" s="13">
        <f t="shared" si="61"/>
        <v>8.6787364851095676E-4</v>
      </c>
      <c r="K141" s="10">
        <f>1165112.22*FX_RATE</f>
        <v>1601963007.614682</v>
      </c>
      <c r="L141" s="13">
        <f t="shared" ref="L141:L159" si="68">(K141/$K$160)</f>
        <v>8.618719902715173E-4</v>
      </c>
      <c r="M141" s="13">
        <f t="shared" ref="M141:M159" si="69">((K141-I141)/I141)</f>
        <v>-4.6615847503038658E-3</v>
      </c>
      <c r="N141" s="20">
        <f t="shared" ref="N141:N159" si="70">(G141/K141)</f>
        <v>1.5980005771461224E-3</v>
      </c>
      <c r="O141" s="21">
        <f t="shared" ref="O141:O159" si="71">H141/K141</f>
        <v>4.5545312364846709E-3</v>
      </c>
      <c r="P141" s="22">
        <f t="shared" ref="P141:P159" si="72">K141/V141</f>
        <v>179632.54178231463</v>
      </c>
      <c r="Q141" s="22">
        <f t="shared" ref="Q141:Q159" si="73">H141/V141</f>
        <v>818.14202263668983</v>
      </c>
      <c r="R141" s="10">
        <f>130.65*FX_RATE</f>
        <v>179636.31601499999</v>
      </c>
      <c r="S141" s="10">
        <f>130.39*FX_RATE</f>
        <v>179278.83080899998</v>
      </c>
      <c r="T141" s="10">
        <v>32</v>
      </c>
      <c r="U141" s="17">
        <v>8901</v>
      </c>
      <c r="V141" s="17">
        <v>8918</v>
      </c>
    </row>
    <row r="142" spans="1:24">
      <c r="A142" s="99">
        <v>126</v>
      </c>
      <c r="B142" s="25" t="s">
        <v>130</v>
      </c>
      <c r="C142" s="10" t="s">
        <v>28</v>
      </c>
      <c r="D142" s="42">
        <f>10596415.92*FX_RATE</f>
        <v>14569468953.934151</v>
      </c>
      <c r="E142" s="10">
        <f>105795.52 *FX_RATE</f>
        <v>145462820.23491201</v>
      </c>
      <c r="F142" s="10">
        <v>0</v>
      </c>
      <c r="G142" s="10">
        <f>23306.28 *FX_RATE</f>
        <v>32044808.872667998</v>
      </c>
      <c r="H142" s="12">
        <f t="shared" ref="H142:H159" si="74">(E142+F142)-G142</f>
        <v>113418011.36224401</v>
      </c>
      <c r="I142" s="10">
        <v>28712397236.038624</v>
      </c>
      <c r="J142" s="13">
        <f t="shared" si="61"/>
        <v>1.5482612297125576E-2</v>
      </c>
      <c r="K142" s="10">
        <f xml:space="preserve"> 20383486.62 *FX_RATE</f>
        <v>28026134282.111324</v>
      </c>
      <c r="L142" s="13">
        <f t="shared" si="68"/>
        <v>1.507833827530557E-2</v>
      </c>
      <c r="M142" s="13">
        <f t="shared" si="69"/>
        <v>-2.3901276799901974E-2</v>
      </c>
      <c r="N142" s="20">
        <f t="shared" si="70"/>
        <v>1.1433902567548082E-3</v>
      </c>
      <c r="O142" s="21">
        <f t="shared" si="71"/>
        <v>4.0468660508287471E-3</v>
      </c>
      <c r="P142" s="22">
        <f t="shared" si="72"/>
        <v>189473.97718015264</v>
      </c>
      <c r="Q142" s="22">
        <f t="shared" si="73"/>
        <v>766.77580576586035</v>
      </c>
      <c r="R142" s="10">
        <f>137.1159*FX_RATE</f>
        <v>188526.56060529</v>
      </c>
      <c r="S142" s="10">
        <f>137.494*FX_RATE</f>
        <v>189046.4265914</v>
      </c>
      <c r="T142" s="10">
        <v>682</v>
      </c>
      <c r="U142" s="17">
        <v>150727.71</v>
      </c>
      <c r="V142" s="17">
        <v>147915.48000000001</v>
      </c>
    </row>
    <row r="143" spans="1:24">
      <c r="A143" s="99">
        <v>127</v>
      </c>
      <c r="B143" s="25" t="s">
        <v>286</v>
      </c>
      <c r="C143" s="25" t="s">
        <v>283</v>
      </c>
      <c r="D143" s="42">
        <f>406924.26*FX_RATE</f>
        <v>559497703.509606</v>
      </c>
      <c r="E143" s="10">
        <f xml:space="preserve"> 3084.92*FX_RATE</f>
        <v>4241589.4680519998</v>
      </c>
      <c r="F143" s="10">
        <v>0</v>
      </c>
      <c r="G143" s="10">
        <f>1707.32*FX_RATE</f>
        <v>2347467.8534919997</v>
      </c>
      <c r="H143" s="12">
        <f t="shared" ref="H143" si="75">(E143+F143)-G143</f>
        <v>1894121.6145600001</v>
      </c>
      <c r="I143" s="10">
        <v>572179782.09840405</v>
      </c>
      <c r="J143" s="13">
        <f t="shared" si="61"/>
        <v>3.0853702871469518E-4</v>
      </c>
      <c r="K143" s="10">
        <f>418344.04*FX_RATE</f>
        <v>575199251.22412395</v>
      </c>
      <c r="L143" s="13">
        <f t="shared" si="68"/>
        <v>3.0946290338713228E-4</v>
      </c>
      <c r="M143" s="13">
        <f t="shared" si="69"/>
        <v>5.2771335517070288E-3</v>
      </c>
      <c r="N143" s="20">
        <f t="shared" si="70"/>
        <v>4.0811385767561071E-3</v>
      </c>
      <c r="O143" s="21">
        <f t="shared" si="71"/>
        <v>3.2929834496984831E-3</v>
      </c>
      <c r="P143" s="22">
        <f t="shared" si="72"/>
        <v>142200.06210732361</v>
      </c>
      <c r="Q143" s="22">
        <f t="shared" si="73"/>
        <v>468.26245106551301</v>
      </c>
      <c r="R143" s="10">
        <f>103.42*FX_RATE</f>
        <v>142196.615402</v>
      </c>
      <c r="S143" s="10">
        <f>103.42*FX_RATE</f>
        <v>142196.615402</v>
      </c>
      <c r="T143" s="10">
        <v>18</v>
      </c>
      <c r="U143" s="17">
        <v>4010</v>
      </c>
      <c r="V143" s="17">
        <v>4045</v>
      </c>
    </row>
    <row r="144" spans="1:24" ht="14.1" customHeight="1">
      <c r="A144" s="99">
        <v>128</v>
      </c>
      <c r="B144" s="25" t="s">
        <v>131</v>
      </c>
      <c r="C144" s="25" t="s">
        <v>59</v>
      </c>
      <c r="D144" s="42">
        <f>12541242.5*C249</f>
        <v>17243494840.80175</v>
      </c>
      <c r="E144" s="10">
        <f>88971.83*C249</f>
        <v>122331203.752873</v>
      </c>
      <c r="F144" s="10">
        <v>0</v>
      </c>
      <c r="G144" s="10">
        <f>21522.72*C249</f>
        <v>29592515.357232001</v>
      </c>
      <c r="H144" s="12">
        <f t="shared" si="74"/>
        <v>92738688.395640999</v>
      </c>
      <c r="I144" s="10">
        <v>17973059034.155167</v>
      </c>
      <c r="J144" s="13">
        <f t="shared" si="61"/>
        <v>9.6916291082063226E-3</v>
      </c>
      <c r="K144" s="10">
        <f>12689653.9*C249</f>
        <v>17447552071.193089</v>
      </c>
      <c r="L144" s="13">
        <f t="shared" si="68"/>
        <v>9.3869561016617954E-3</v>
      </c>
      <c r="M144" s="13">
        <f t="shared" si="69"/>
        <v>-2.9238593272487953E-2</v>
      </c>
      <c r="N144" s="20">
        <f t="shared" si="70"/>
        <v>1.6960840831127791E-3</v>
      </c>
      <c r="O144" s="21">
        <f t="shared" si="71"/>
        <v>5.3152836579727367E-3</v>
      </c>
      <c r="P144" s="22">
        <f t="shared" si="72"/>
        <v>167207.03107126307</v>
      </c>
      <c r="Q144" s="22">
        <f t="shared" si="73"/>
        <v>888.7527997512243</v>
      </c>
      <c r="R144" s="10">
        <f>121.25*FX_RATE</f>
        <v>166711.850875</v>
      </c>
      <c r="S144" s="10">
        <f>121.25*FX_RATE</f>
        <v>166711.850875</v>
      </c>
      <c r="T144" s="10">
        <v>468</v>
      </c>
      <c r="U144" s="17">
        <v>106968</v>
      </c>
      <c r="V144" s="17">
        <v>104347</v>
      </c>
    </row>
    <row r="145" spans="1:22" ht="14.1" customHeight="1">
      <c r="A145" s="99">
        <v>129</v>
      </c>
      <c r="B145" s="25" t="s">
        <v>233</v>
      </c>
      <c r="C145" s="25" t="s">
        <v>61</v>
      </c>
      <c r="D145" s="42">
        <v>153291779.16</v>
      </c>
      <c r="E145" s="10">
        <v>15942515.449999999</v>
      </c>
      <c r="F145" s="10">
        <v>1452510.01</v>
      </c>
      <c r="G145" s="10">
        <v>668482.37</v>
      </c>
      <c r="H145" s="12">
        <f t="shared" si="74"/>
        <v>16726543.090000002</v>
      </c>
      <c r="I145" s="10">
        <v>153700289.63</v>
      </c>
      <c r="J145" s="13">
        <f t="shared" si="61"/>
        <v>8.2879948153904799E-5</v>
      </c>
      <c r="K145" s="10">
        <v>156699807.41999999</v>
      </c>
      <c r="L145" s="13">
        <f t="shared" si="68"/>
        <v>8.4306050922696143E-5</v>
      </c>
      <c r="M145" s="13">
        <f t="shared" si="69"/>
        <v>1.9515368495535552E-2</v>
      </c>
      <c r="N145" s="20">
        <f t="shared" si="70"/>
        <v>4.2660063276802719E-3</v>
      </c>
      <c r="O145" s="21">
        <f t="shared" si="71"/>
        <v>0.10674258868211699</v>
      </c>
      <c r="P145" s="22">
        <f t="shared" si="72"/>
        <v>1457.1067275732446</v>
      </c>
      <c r="Q145" s="22">
        <f t="shared" si="73"/>
        <v>155.53534408729635</v>
      </c>
      <c r="R145" s="10">
        <f>1.0574*FX_RATE</f>
        <v>1453.8648339399999</v>
      </c>
      <c r="S145" s="10">
        <f>1.0574*FX_RATE</f>
        <v>1453.8648339399999</v>
      </c>
      <c r="T145" s="10">
        <v>7</v>
      </c>
      <c r="U145" s="17">
        <v>105400.91</v>
      </c>
      <c r="V145" s="17">
        <v>107541.75</v>
      </c>
    </row>
    <row r="146" spans="1:22" ht="15" customHeight="1">
      <c r="A146" s="99">
        <v>130</v>
      </c>
      <c r="B146" s="25" t="s">
        <v>132</v>
      </c>
      <c r="C146" s="10" t="s">
        <v>57</v>
      </c>
      <c r="D146" s="42">
        <f>9697058.51*FX_RATE</f>
        <v>13332903688.620781</v>
      </c>
      <c r="E146" s="10">
        <f>59877.58*FX_RATE</f>
        <v>82328265.465698004</v>
      </c>
      <c r="F146" s="10">
        <v>0</v>
      </c>
      <c r="G146" s="10">
        <f>11212.21*FX_RATE</f>
        <v>15416150.775250999</v>
      </c>
      <c r="H146" s="12">
        <f t="shared" si="74"/>
        <v>66912114.690447003</v>
      </c>
      <c r="I146" s="10">
        <v>12195496705.663555</v>
      </c>
      <c r="J146" s="13">
        <f t="shared" si="61"/>
        <v>6.5761888745278366E-3</v>
      </c>
      <c r="K146" s="10">
        <f>9731725.47*FX_RATE</f>
        <v>13380568786.070757</v>
      </c>
      <c r="L146" s="13">
        <f t="shared" si="68"/>
        <v>7.1988787480101414E-3</v>
      </c>
      <c r="M146" s="13">
        <f t="shared" si="69"/>
        <v>9.717292448259672E-2</v>
      </c>
      <c r="N146" s="20">
        <f t="shared" si="70"/>
        <v>1.1521297055248722E-3</v>
      </c>
      <c r="O146" s="21">
        <f t="shared" si="71"/>
        <v>5.0006928524669947E-3</v>
      </c>
      <c r="P146" s="22">
        <f t="shared" si="72"/>
        <v>1883.3335690080255</v>
      </c>
      <c r="Q146" s="22">
        <f t="shared" si="73"/>
        <v>9.4179727173495884</v>
      </c>
      <c r="R146" s="10">
        <f>1.37*FX_RATE</f>
        <v>1883.672047</v>
      </c>
      <c r="S146" s="10">
        <f>1.37*FX_RATE</f>
        <v>1883.672047</v>
      </c>
      <c r="T146" s="10">
        <v>326</v>
      </c>
      <c r="U146" s="17">
        <v>6457139.8200000003</v>
      </c>
      <c r="V146" s="17">
        <v>7104725.9000000004</v>
      </c>
    </row>
    <row r="147" spans="1:22" ht="15" customHeight="1">
      <c r="A147" s="99">
        <v>131</v>
      </c>
      <c r="B147" s="25" t="s">
        <v>287</v>
      </c>
      <c r="C147" s="10" t="s">
        <v>71</v>
      </c>
      <c r="D147" s="42">
        <f>199182.12*C249</f>
        <v>273864081.53737199</v>
      </c>
      <c r="E147" s="10">
        <v>0</v>
      </c>
      <c r="F147" s="10">
        <v>0</v>
      </c>
      <c r="G147" s="10">
        <f>314.16*FX_RATE</f>
        <v>431952.12429599999</v>
      </c>
      <c r="H147" s="12">
        <f t="shared" si="74"/>
        <v>-431952.12429599999</v>
      </c>
      <c r="I147" s="10">
        <v>280523441.29135203</v>
      </c>
      <c r="J147" s="13">
        <f t="shared" si="61"/>
        <v>1.5126691254877249E-4</v>
      </c>
      <c r="K147" s="10">
        <f>202644.41*FX_RATE</f>
        <v>278624533.28307098</v>
      </c>
      <c r="L147" s="13">
        <f t="shared" si="68"/>
        <v>1.499027629837213E-4</v>
      </c>
      <c r="M147" s="13">
        <f t="shared" si="69"/>
        <v>-6.7691598232920711E-3</v>
      </c>
      <c r="N147" s="20">
        <f t="shared" si="70"/>
        <v>1.5503018316666126E-3</v>
      </c>
      <c r="O147" s="21">
        <f t="shared" si="71"/>
        <v>-1.5503018316666126E-3</v>
      </c>
      <c r="P147" s="22">
        <f t="shared" si="72"/>
        <v>1456.7841330287094</v>
      </c>
      <c r="Q147" s="22">
        <f t="shared" si="73"/>
        <v>-2.2584551097772665</v>
      </c>
      <c r="R147" s="10">
        <f>1.05*FX_RATE</f>
        <v>1443.690255</v>
      </c>
      <c r="S147" s="10">
        <f>1.05*FX_RATE</f>
        <v>1443.690255</v>
      </c>
      <c r="T147" s="10">
        <v>10</v>
      </c>
      <c r="U147" s="17">
        <v>191260</v>
      </c>
      <c r="V147" s="17">
        <v>191260</v>
      </c>
    </row>
    <row r="148" spans="1:22" ht="15" customHeight="1">
      <c r="A148" s="99">
        <v>132</v>
      </c>
      <c r="B148" s="10" t="s">
        <v>245</v>
      </c>
      <c r="C148" s="10" t="s">
        <v>34</v>
      </c>
      <c r="D148" s="42">
        <f>103186071.68*C249</f>
        <v>141874977272.52142</v>
      </c>
      <c r="E148" s="10">
        <f>583706.6324*C249</f>
        <v>802563406.64261639</v>
      </c>
      <c r="F148" s="10">
        <v>0</v>
      </c>
      <c r="G148" s="10">
        <f>85590.12 *C249</f>
        <v>117681544.922172</v>
      </c>
      <c r="H148" s="12">
        <f t="shared" ref="H148" si="76">(E148+F148)-G148</f>
        <v>684881861.72044444</v>
      </c>
      <c r="I148" s="10">
        <v>136387578391.3136</v>
      </c>
      <c r="J148" s="13">
        <f t="shared" si="61"/>
        <v>7.3544398993132185E-2</v>
      </c>
      <c r="K148" s="10">
        <f>102263523*C249</f>
        <v>140606525330.54129</v>
      </c>
      <c r="L148" s="13">
        <f t="shared" si="68"/>
        <v>7.5647705506158944E-2</v>
      </c>
      <c r="M148" s="13">
        <f t="shared" si="69"/>
        <v>3.0933513073477904E-2</v>
      </c>
      <c r="N148" s="20">
        <f t="shared" si="70"/>
        <v>8.369564971861961E-4</v>
      </c>
      <c r="O148" s="21">
        <f t="shared" si="71"/>
        <v>4.8709109346839153E-3</v>
      </c>
      <c r="P148" s="22">
        <f t="shared" si="72"/>
        <v>137494.31</v>
      </c>
      <c r="Q148" s="22">
        <f t="shared" si="73"/>
        <v>669.72253803581987</v>
      </c>
      <c r="R148" s="10">
        <f>100*C249</f>
        <v>137494.31</v>
      </c>
      <c r="S148" s="10">
        <f>100*C249</f>
        <v>137494.31</v>
      </c>
      <c r="T148" s="10">
        <v>3255</v>
      </c>
      <c r="U148" s="17">
        <v>983529.56</v>
      </c>
      <c r="V148" s="17">
        <v>1022635.23</v>
      </c>
    </row>
    <row r="149" spans="1:22" ht="15" customHeight="1">
      <c r="A149" s="99">
        <v>133</v>
      </c>
      <c r="B149" s="113" t="s">
        <v>211</v>
      </c>
      <c r="C149" s="25" t="s">
        <v>212</v>
      </c>
      <c r="D149" s="42">
        <f>1159032.57*FX_RATE</f>
        <v>1593603834.796767</v>
      </c>
      <c r="E149" s="10">
        <f>7629.47*FX_RATE</f>
        <v>10490087.133157</v>
      </c>
      <c r="F149" s="10">
        <v>0</v>
      </c>
      <c r="G149" s="10">
        <f>2041.88*FX_RATE</f>
        <v>2807468.817028</v>
      </c>
      <c r="H149" s="12">
        <f t="shared" si="74"/>
        <v>7682618.3161289999</v>
      </c>
      <c r="I149" s="10">
        <v>1517150832.0295801</v>
      </c>
      <c r="J149" s="13">
        <f t="shared" si="61"/>
        <v>8.180946347138326E-4</v>
      </c>
      <c r="K149" s="10">
        <f>1127541.69*FX_RATE</f>
        <v>1550305666.6278389</v>
      </c>
      <c r="L149" s="13">
        <f t="shared" si="68"/>
        <v>8.3407982835714324E-4</v>
      </c>
      <c r="M149" s="13">
        <f t="shared" si="69"/>
        <v>2.1853354260041237E-2</v>
      </c>
      <c r="N149" s="20">
        <f t="shared" si="70"/>
        <v>1.810913084730375E-3</v>
      </c>
      <c r="O149" s="21">
        <f t="shared" si="71"/>
        <v>4.9555506901035303E-3</v>
      </c>
      <c r="P149" s="22">
        <f t="shared" si="72"/>
        <v>1581.8734219042201</v>
      </c>
      <c r="Q149" s="22">
        <f t="shared" si="73"/>
        <v>7.8390539275738895</v>
      </c>
      <c r="R149" s="10">
        <f>1.15*FX_RATE</f>
        <v>1581.1845649999998</v>
      </c>
      <c r="S149" s="10">
        <f>1.15*FX_RATE</f>
        <v>1581.1845649999998</v>
      </c>
      <c r="T149" s="10">
        <v>68</v>
      </c>
      <c r="U149" s="17">
        <v>962136.73</v>
      </c>
      <c r="V149" s="17">
        <v>980044.07</v>
      </c>
    </row>
    <row r="150" spans="1:22" ht="15" customHeight="1">
      <c r="A150" s="99">
        <v>134</v>
      </c>
      <c r="B150" s="25" t="s">
        <v>213</v>
      </c>
      <c r="C150" s="25" t="s">
        <v>37</v>
      </c>
      <c r="D150" s="42">
        <f>7927340.17*FX_RATE</f>
        <v>10899641668.094326</v>
      </c>
      <c r="E150" s="10">
        <f>119774.44*FX_RATE</f>
        <v>164683039.834364</v>
      </c>
      <c r="F150" s="10">
        <f>74663.06*FX_RATE</f>
        <v>102657459.171886</v>
      </c>
      <c r="G150" s="10">
        <f>11784.74*FX_RATE</f>
        <v>16203346.948293999</v>
      </c>
      <c r="H150" s="12">
        <f t="shared" si="74"/>
        <v>251137152.05795598</v>
      </c>
      <c r="I150" s="10">
        <v>10639850412.836325</v>
      </c>
      <c r="J150" s="13">
        <f t="shared" si="61"/>
        <v>5.7373362971793454E-3</v>
      </c>
      <c r="K150" s="10">
        <f>7791110.41*FX_RATE</f>
        <v>10712333499.567671</v>
      </c>
      <c r="L150" s="13">
        <f t="shared" si="68"/>
        <v>5.763341693808547E-3</v>
      </c>
      <c r="M150" s="13">
        <f t="shared" si="69"/>
        <v>6.8124159568916254E-3</v>
      </c>
      <c r="N150" s="20">
        <f t="shared" si="70"/>
        <v>1.5125879855166884E-3</v>
      </c>
      <c r="O150" s="21">
        <f t="shared" si="71"/>
        <v>2.3443739131916625E-2</v>
      </c>
      <c r="P150" s="22">
        <f t="shared" si="72"/>
        <v>14782.688955256974</v>
      </c>
      <c r="Q150" s="22">
        <f t="shared" si="73"/>
        <v>346.56150353530961</v>
      </c>
      <c r="R150" s="10">
        <f>10.81*FX_RATE</f>
        <v>14863.134911000001</v>
      </c>
      <c r="S150" s="10">
        <f>10.81*FX_RATE</f>
        <v>14863.134911000001</v>
      </c>
      <c r="T150" s="10">
        <v>227</v>
      </c>
      <c r="U150" s="17">
        <v>718006.63</v>
      </c>
      <c r="V150" s="17">
        <v>724653.92</v>
      </c>
    </row>
    <row r="151" spans="1:22">
      <c r="A151" s="99">
        <v>135</v>
      </c>
      <c r="B151" s="10" t="s">
        <v>133</v>
      </c>
      <c r="C151" s="10" t="s">
        <v>41</v>
      </c>
      <c r="D151" s="42">
        <f xml:space="preserve"> 23385898.01*FX_RATE</f>
        <v>32154279106.153233</v>
      </c>
      <c r="E151" s="10">
        <f>214704.69*FX_RATE</f>
        <v>295206732.05313897</v>
      </c>
      <c r="F151" s="10">
        <f xml:space="preserve"> 566115.39*FX_RATE</f>
        <v>778376449.28430903</v>
      </c>
      <c r="G151" s="10">
        <f>36725.7*FX_RATE</f>
        <v>50495747.807669997</v>
      </c>
      <c r="H151" s="12">
        <f t="shared" si="74"/>
        <v>1023087433.529778</v>
      </c>
      <c r="I151" s="10">
        <v>31113150892.752209</v>
      </c>
      <c r="J151" s="13">
        <f t="shared" si="61"/>
        <v>1.6777172893450452E-2</v>
      </c>
      <c r="K151" s="10">
        <f>23497713.01*FX_RATE</f>
        <v>32308018368.879734</v>
      </c>
      <c r="L151" s="13">
        <f t="shared" si="68"/>
        <v>1.7382034392152908E-2</v>
      </c>
      <c r="M151" s="13">
        <f t="shared" si="69"/>
        <v>3.8403936658368762E-2</v>
      </c>
      <c r="N151" s="20">
        <f t="shared" si="70"/>
        <v>1.5629478487702406E-3</v>
      </c>
      <c r="O151" s="21">
        <f t="shared" si="71"/>
        <v>3.1666672398430143E-2</v>
      </c>
      <c r="P151" s="22">
        <f t="shared" si="72"/>
        <v>1528.7114381306226</v>
      </c>
      <c r="Q151" s="22">
        <f t="shared" si="73"/>
        <v>48.409204303015436</v>
      </c>
      <c r="R151" s="10">
        <f>1.11*FX_RATE</f>
        <v>1526.1868410000002</v>
      </c>
      <c r="S151" s="10">
        <f>1.11*FX_RATE</f>
        <v>1526.1868410000002</v>
      </c>
      <c r="T151" s="10">
        <v>583</v>
      </c>
      <c r="U151" s="17">
        <v>20729795</v>
      </c>
      <c r="V151" s="17">
        <v>21134151</v>
      </c>
    </row>
    <row r="152" spans="1:22">
      <c r="A152" s="99">
        <v>136</v>
      </c>
      <c r="B152" s="113" t="s">
        <v>134</v>
      </c>
      <c r="C152" s="10" t="s">
        <v>76</v>
      </c>
      <c r="D152" s="42">
        <f>307609.84*FX_RATE</f>
        <v>422946027.00010401</v>
      </c>
      <c r="E152" s="10">
        <f>6500.83*FX_RATE</f>
        <v>8938271.3527729996</v>
      </c>
      <c r="F152" s="10">
        <v>0</v>
      </c>
      <c r="G152" s="10">
        <f>194.32*FX_RATE</f>
        <v>267178.94319199998</v>
      </c>
      <c r="H152" s="12">
        <f t="shared" si="74"/>
        <v>8671092.409581</v>
      </c>
      <c r="I152" s="10">
        <v>385462853.11107606</v>
      </c>
      <c r="J152" s="13">
        <f t="shared" si="61"/>
        <v>2.0785348783667224E-4</v>
      </c>
      <c r="K152" s="10">
        <f>277968.21*FX_RATE</f>
        <v>382190472.35885102</v>
      </c>
      <c r="L152" s="13">
        <f t="shared" si="68"/>
        <v>2.0562226562597643E-4</v>
      </c>
      <c r="M152" s="13">
        <f t="shared" si="69"/>
        <v>-8.4894840730140673E-3</v>
      </c>
      <c r="N152" s="20">
        <f t="shared" si="70"/>
        <v>6.9907274648421116E-4</v>
      </c>
      <c r="O152" s="21">
        <f t="shared" si="71"/>
        <v>2.2687882186239929E-2</v>
      </c>
      <c r="P152" s="22">
        <f t="shared" si="72"/>
        <v>1592.3607789465284</v>
      </c>
      <c r="Q152" s="22">
        <f t="shared" si="73"/>
        <v>36.127293750728079</v>
      </c>
      <c r="R152" s="10">
        <f>1.26*FX_RATE</f>
        <v>1732.428306</v>
      </c>
      <c r="S152" s="10">
        <f>1.26*FX_RATE</f>
        <v>1732.428306</v>
      </c>
      <c r="T152" s="10">
        <v>2</v>
      </c>
      <c r="U152" s="17">
        <v>240015</v>
      </c>
      <c r="V152" s="17">
        <v>240015</v>
      </c>
    </row>
    <row r="153" spans="1:22">
      <c r="A153" s="99">
        <v>137</v>
      </c>
      <c r="B153" s="25" t="s">
        <v>277</v>
      </c>
      <c r="C153" s="10" t="s">
        <v>272</v>
      </c>
      <c r="D153" s="42">
        <f>440779.37*FX_RATE</f>
        <v>606046553.40384698</v>
      </c>
      <c r="E153" s="10">
        <f>2855.41*FX_RATE</f>
        <v>3926026.2771709999</v>
      </c>
      <c r="F153" s="10">
        <v>0</v>
      </c>
      <c r="G153" s="10">
        <f>1815.78*FX_RATE</f>
        <v>2496594.182118</v>
      </c>
      <c r="H153" s="12">
        <f t="shared" si="74"/>
        <v>1429432.0950529999</v>
      </c>
      <c r="I153" s="10">
        <v>762854217.13510394</v>
      </c>
      <c r="J153" s="13">
        <f t="shared" si="61"/>
        <v>4.1135457920961788E-4</v>
      </c>
      <c r="K153" s="10">
        <f>560873.25*FX_RATE</f>
        <v>771168805.06207502</v>
      </c>
      <c r="L153" s="13">
        <f t="shared" si="68"/>
        <v>4.1489646745577374E-4</v>
      </c>
      <c r="M153" s="13">
        <f t="shared" si="69"/>
        <v>1.0899314364671772E-2</v>
      </c>
      <c r="N153" s="20">
        <f t="shared" si="70"/>
        <v>3.2374159402324856E-3</v>
      </c>
      <c r="O153" s="21">
        <f t="shared" si="71"/>
        <v>1.8535916983026021E-3</v>
      </c>
      <c r="P153" s="22">
        <f t="shared" si="72"/>
        <v>1494.0953915465675</v>
      </c>
      <c r="Q153" s="22">
        <f t="shared" si="73"/>
        <v>2.7694428142428933</v>
      </c>
      <c r="R153" s="10">
        <f>1.0867*FX_RATE</f>
        <v>1494.15066677</v>
      </c>
      <c r="S153" s="10">
        <f>1.0867*FX_RATE</f>
        <v>1494.15066677</v>
      </c>
      <c r="T153" s="10">
        <v>14</v>
      </c>
      <c r="U153" s="17">
        <v>513809.34</v>
      </c>
      <c r="V153" s="17">
        <v>516144.29</v>
      </c>
    </row>
    <row r="154" spans="1:22">
      <c r="A154" s="99">
        <v>138</v>
      </c>
      <c r="B154" s="25" t="s">
        <v>135</v>
      </c>
      <c r="C154" s="25" t="s">
        <v>43</v>
      </c>
      <c r="D154" s="42">
        <f>645742113.45*FX_RATE</f>
        <v>887858663267.49475</v>
      </c>
      <c r="E154" s="10">
        <f>2995071.51*FX_RATE</f>
        <v>4118052906.6810803</v>
      </c>
      <c r="F154" s="10">
        <v>0</v>
      </c>
      <c r="G154" s="10">
        <f>1027126.35*FX_RATE</f>
        <v>1412240287.760685</v>
      </c>
      <c r="H154" s="12">
        <f t="shared" si="74"/>
        <v>2705812618.9203954</v>
      </c>
      <c r="I154" s="10">
        <v>895512824312.60388</v>
      </c>
      <c r="J154" s="13">
        <f t="shared" si="61"/>
        <v>0.48288820163484469</v>
      </c>
      <c r="K154" s="10">
        <f>647513745.95*FX_RATE</f>
        <v>890294557149.10547</v>
      </c>
      <c r="L154" s="13">
        <f t="shared" si="68"/>
        <v>0.47898730385824306</v>
      </c>
      <c r="M154" s="13">
        <f t="shared" si="69"/>
        <v>-5.8271272301476619E-3</v>
      </c>
      <c r="N154" s="20">
        <f t="shared" si="70"/>
        <v>1.5862618460601963E-3</v>
      </c>
      <c r="O154" s="21">
        <f t="shared" si="71"/>
        <v>3.0392330237140035E-3</v>
      </c>
      <c r="P154" s="22">
        <f t="shared" si="72"/>
        <v>2327.1311168288912</v>
      </c>
      <c r="Q154" s="22">
        <f t="shared" si="73"/>
        <v>7.0726937407788162</v>
      </c>
      <c r="R154" s="10">
        <f>1.6925*FX_RATE</f>
        <v>2327.0911967499997</v>
      </c>
      <c r="S154" s="10">
        <f>1.6925*FX_RATE</f>
        <v>2327.0911967499997</v>
      </c>
      <c r="T154" s="10">
        <v>13551</v>
      </c>
      <c r="U154" s="17">
        <v>382708844.31</v>
      </c>
      <c r="V154" s="17">
        <v>382571721.33999997</v>
      </c>
    </row>
    <row r="155" spans="1:22">
      <c r="A155" s="99">
        <v>139</v>
      </c>
      <c r="B155" s="25" t="s">
        <v>275</v>
      </c>
      <c r="C155" s="25" t="s">
        <v>274</v>
      </c>
      <c r="D155" s="42">
        <v>416713727.19999999</v>
      </c>
      <c r="E155" s="10">
        <v>6269577.1500000004</v>
      </c>
      <c r="F155" s="10">
        <v>1447764.3</v>
      </c>
      <c r="G155" s="10">
        <v>9498164.8300000001</v>
      </c>
      <c r="H155" s="12">
        <f t="shared" si="74"/>
        <v>-1780823.38</v>
      </c>
      <c r="I155" s="10">
        <v>564408340.94000006</v>
      </c>
      <c r="J155" s="13">
        <f t="shared" si="61"/>
        <v>3.0434642737074084E-4</v>
      </c>
      <c r="K155" s="10">
        <v>563005257.17999995</v>
      </c>
      <c r="L155" s="13">
        <f t="shared" si="68"/>
        <v>3.0290241362163073E-4</v>
      </c>
      <c r="M155" s="13">
        <f t="shared" si="69"/>
        <v>-2.4859373227251185E-3</v>
      </c>
      <c r="N155" s="20">
        <f t="shared" si="70"/>
        <v>1.687047271560968E-2</v>
      </c>
      <c r="O155" s="21">
        <f t="shared" si="71"/>
        <v>-3.1630670536183787E-3</v>
      </c>
      <c r="P155" s="22">
        <f t="shared" si="72"/>
        <v>159667.50705820214</v>
      </c>
      <c r="Q155" s="22">
        <f t="shared" si="73"/>
        <v>-505.03903110917906</v>
      </c>
      <c r="R155" s="10">
        <v>159667.51</v>
      </c>
      <c r="S155" s="10">
        <v>159667.51</v>
      </c>
      <c r="T155" s="10">
        <v>2</v>
      </c>
      <c r="U155" s="17">
        <v>3526.1104</v>
      </c>
      <c r="V155" s="17">
        <v>3526.1104</v>
      </c>
    </row>
    <row r="156" spans="1:22">
      <c r="A156" s="99">
        <v>140</v>
      </c>
      <c r="B156" s="25" t="s">
        <v>136</v>
      </c>
      <c r="C156" s="25" t="s">
        <v>47</v>
      </c>
      <c r="D156" s="42">
        <f>71668975*FX_RATE</f>
        <v>98540762660.322495</v>
      </c>
      <c r="E156" s="10">
        <f>849804*FX_RATE</f>
        <v>1168432146.1524</v>
      </c>
      <c r="F156" s="10">
        <v>0</v>
      </c>
      <c r="G156" s="10">
        <f>256720*FX_RATE</f>
        <v>352975392.63199997</v>
      </c>
      <c r="H156" s="12">
        <f t="shared" si="74"/>
        <v>815456753.52040005</v>
      </c>
      <c r="I156" s="10">
        <v>189032283649.74881</v>
      </c>
      <c r="J156" s="13">
        <f t="shared" si="61"/>
        <v>0.1019320516963258</v>
      </c>
      <c r="K156" s="10">
        <f>135586409*FX_RATE</f>
        <v>186423597508.32788</v>
      </c>
      <c r="L156" s="13">
        <f t="shared" si="68"/>
        <v>0.10029774486323553</v>
      </c>
      <c r="M156" s="13">
        <f t="shared" si="69"/>
        <v>-1.3800214921248428E-2</v>
      </c>
      <c r="N156" s="20">
        <f t="shared" si="70"/>
        <v>1.8934051126023995E-3</v>
      </c>
      <c r="O156" s="21">
        <f t="shared" si="71"/>
        <v>4.3742142326374323E-3</v>
      </c>
      <c r="P156" s="22">
        <f t="shared" si="72"/>
        <v>1747.8059829961073</v>
      </c>
      <c r="Q156" s="22">
        <f t="shared" si="73"/>
        <v>7.645277806710431</v>
      </c>
      <c r="R156" s="10">
        <f>1.27*FX_RATE</f>
        <v>1746.177737</v>
      </c>
      <c r="S156" s="10">
        <f>1.27*FX_RATE</f>
        <v>1746.177737</v>
      </c>
      <c r="T156" s="10">
        <v>447</v>
      </c>
      <c r="U156" s="17">
        <v>107634180.17999999</v>
      </c>
      <c r="V156" s="17">
        <v>106661494.08</v>
      </c>
    </row>
    <row r="157" spans="1:22">
      <c r="A157" s="99">
        <v>141</v>
      </c>
      <c r="B157" s="25" t="s">
        <v>210</v>
      </c>
      <c r="C157" s="10" t="s">
        <v>190</v>
      </c>
      <c r="D157" s="42">
        <f>1488251*FX_RATE</f>
        <v>2046260443.5181</v>
      </c>
      <c r="E157" s="10">
        <f>35362.46*FX_RATE</f>
        <v>48621370.376025997</v>
      </c>
      <c r="F157" s="10">
        <v>0</v>
      </c>
      <c r="G157" s="10">
        <f>3128.91*FX_RATE</f>
        <v>4302073.2150209993</v>
      </c>
      <c r="H157" s="12">
        <f t="shared" ref="H157:H158" si="77">(E157+F157)-G157</f>
        <v>44319297.161004998</v>
      </c>
      <c r="I157" s="10">
        <v>2469582106.8113241</v>
      </c>
      <c r="J157" s="13">
        <f t="shared" si="61"/>
        <v>1.3316750246017968E-3</v>
      </c>
      <c r="K157" s="10">
        <f>1490266.28*FX_RATE</f>
        <v>2049031338.8486679</v>
      </c>
      <c r="L157" s="13">
        <f t="shared" si="68"/>
        <v>1.1023991875890977E-3</v>
      </c>
      <c r="M157" s="13">
        <f t="shared" si="69"/>
        <v>-0.17029228014032832</v>
      </c>
      <c r="N157" s="20">
        <f t="shared" si="70"/>
        <v>2.0995643812057531E-3</v>
      </c>
      <c r="O157" s="21">
        <f t="shared" si="71"/>
        <v>2.1629389614854604E-2</v>
      </c>
      <c r="P157" s="22">
        <f t="shared" si="72"/>
        <v>158223.67024256484</v>
      </c>
      <c r="Q157" s="22">
        <f t="shared" si="73"/>
        <v>3422.2814099687112</v>
      </c>
      <c r="R157" s="10">
        <f>115.85*FX_RATE</f>
        <v>159287.15813499998</v>
      </c>
      <c r="S157" s="10">
        <f>115.85*FX_RATE</f>
        <v>159287.15813499998</v>
      </c>
      <c r="T157" s="10">
        <v>33</v>
      </c>
      <c r="U157" s="17">
        <v>15668.54</v>
      </c>
      <c r="V157" s="17">
        <v>12950.22</v>
      </c>
    </row>
    <row r="158" spans="1:22">
      <c r="A158" s="99">
        <v>142</v>
      </c>
      <c r="B158" s="25" t="s">
        <v>288</v>
      </c>
      <c r="C158" s="25" t="s">
        <v>85</v>
      </c>
      <c r="D158" s="42">
        <f>4300756.69 *FX_RATE</f>
        <v>5913295735.6943398</v>
      </c>
      <c r="E158" s="10">
        <f>25291.92 *FX_RATE</f>
        <v>34774950.889751993</v>
      </c>
      <c r="F158" s="10">
        <f>68522.9 *FX_RATE</f>
        <v>94215088.546989992</v>
      </c>
      <c r="G158" s="10">
        <f>7398.77 *FX_RATE</f>
        <v>10172887.759987</v>
      </c>
      <c r="H158" s="12">
        <f t="shared" si="77"/>
        <v>118817151.67675498</v>
      </c>
      <c r="I158" s="10">
        <v>5965500496.3063927</v>
      </c>
      <c r="J158" s="13">
        <f t="shared" si="61"/>
        <v>3.2167823042895797E-3</v>
      </c>
      <c r="K158" s="10">
        <f>4291169.66 *FX_RATE</f>
        <v>5900114114.9463463</v>
      </c>
      <c r="L158" s="13">
        <f t="shared" si="68"/>
        <v>3.1743199255578575E-3</v>
      </c>
      <c r="M158" s="13">
        <f t="shared" si="69"/>
        <v>-1.0960753653533531E-2</v>
      </c>
      <c r="N158" s="20">
        <f t="shared" si="70"/>
        <v>1.7241849160538668E-3</v>
      </c>
      <c r="O158" s="21">
        <f t="shared" si="71"/>
        <v>2.0138110782597207E-2</v>
      </c>
      <c r="P158" s="22">
        <f t="shared" si="72"/>
        <v>1626.7083905474703</v>
      </c>
      <c r="Q158" s="22">
        <f t="shared" si="73"/>
        <v>32.758833779825359</v>
      </c>
      <c r="R158" s="10">
        <f>1.18*FX_RATE</f>
        <v>1622.4328579999999</v>
      </c>
      <c r="S158" s="10">
        <f>1.18*FX_RATE</f>
        <v>1622.4328579999999</v>
      </c>
      <c r="T158" s="10">
        <v>55</v>
      </c>
      <c r="U158" s="17">
        <v>3709611.25</v>
      </c>
      <c r="V158" s="17">
        <v>3627026.3</v>
      </c>
    </row>
    <row r="159" spans="1:22">
      <c r="A159" s="99">
        <v>143</v>
      </c>
      <c r="B159" s="25" t="s">
        <v>266</v>
      </c>
      <c r="C159" s="10" t="s">
        <v>267</v>
      </c>
      <c r="D159" s="42">
        <f>1094677.5*FX_RATE</f>
        <v>1505119275.35025</v>
      </c>
      <c r="E159" s="10">
        <f>9801.15*FX_RATE</f>
        <v>13476023.564564999</v>
      </c>
      <c r="F159" s="10">
        <v>0</v>
      </c>
      <c r="G159" s="10">
        <f>2533.07*FX_RATE</f>
        <v>3482827.1183170001</v>
      </c>
      <c r="H159" s="12">
        <f t="shared" si="74"/>
        <v>9993196.4462479986</v>
      </c>
      <c r="I159" s="10">
        <v>1906359079.1718519</v>
      </c>
      <c r="J159" s="13">
        <f t="shared" si="61"/>
        <v>1.0279677548092904E-3</v>
      </c>
      <c r="K159" s="10">
        <f>1433694.04*FX_RATE</f>
        <v>1971247727.809124</v>
      </c>
      <c r="L159" s="13">
        <f t="shared" si="68"/>
        <v>1.0605508332023265E-3</v>
      </c>
      <c r="M159" s="13">
        <f t="shared" si="69"/>
        <v>3.4037999108468393E-2</v>
      </c>
      <c r="N159" s="20">
        <f t="shared" si="70"/>
        <v>1.7668135106427589E-3</v>
      </c>
      <c r="O159" s="21">
        <f t="shared" si="71"/>
        <v>5.0694777248289314E-3</v>
      </c>
      <c r="P159" s="22">
        <f t="shared" si="72"/>
        <v>2106.9418405988563</v>
      </c>
      <c r="Q159" s="22">
        <f t="shared" si="73"/>
        <v>10.681094728425972</v>
      </c>
      <c r="R159" s="10">
        <f>1.5324*FX_RATE</f>
        <v>2106.9628064399999</v>
      </c>
      <c r="S159" s="10">
        <f>1.5324*FX_RATE</f>
        <v>2106.9628064399999</v>
      </c>
      <c r="T159" s="10">
        <v>4</v>
      </c>
      <c r="U159" s="17">
        <v>917213.57</v>
      </c>
      <c r="V159" s="17">
        <v>935596.65</v>
      </c>
    </row>
    <row r="160" spans="1:22" ht="15" customHeight="1">
      <c r="A160" s="125" t="s">
        <v>48</v>
      </c>
      <c r="B160" s="125"/>
      <c r="C160" s="125"/>
      <c r="D160" s="125"/>
      <c r="E160" s="125"/>
      <c r="F160" s="125"/>
      <c r="G160" s="125"/>
      <c r="H160" s="125"/>
      <c r="I160" s="36">
        <f>SUM(I120:I159)</f>
        <v>1854493071648.4597</v>
      </c>
      <c r="J160" s="34">
        <f>(I160/$I$247)</f>
        <v>0.21560803735335901</v>
      </c>
      <c r="K160" s="36">
        <f>SUM(K120:K159)</f>
        <v>1858701785992.6187</v>
      </c>
      <c r="L160" s="34">
        <f>(K160/$K$247)</f>
        <v>0.20932591270077613</v>
      </c>
      <c r="M160" s="34">
        <f t="shared" si="63"/>
        <v>2.2694688961106806E-3</v>
      </c>
      <c r="N160" s="20"/>
      <c r="O160" s="20"/>
      <c r="P160" s="35"/>
      <c r="Q160" s="35"/>
      <c r="R160" s="36"/>
      <c r="S160" s="36"/>
      <c r="T160" s="38">
        <f>SUM(T120:T159)</f>
        <v>27076</v>
      </c>
      <c r="U160" s="38"/>
      <c r="V160" s="36"/>
    </row>
    <row r="161" spans="1:22" ht="4.2" customHeight="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</row>
    <row r="162" spans="1:22">
      <c r="A162" s="130" t="s">
        <v>137</v>
      </c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</row>
    <row r="163" spans="1:22">
      <c r="A163" s="112">
        <v>144</v>
      </c>
      <c r="B163" s="118" t="s">
        <v>206</v>
      </c>
      <c r="C163" s="80" t="s">
        <v>207</v>
      </c>
      <c r="D163" s="27">
        <v>2659974452.3200002</v>
      </c>
      <c r="E163" s="27">
        <v>67705369.340000004</v>
      </c>
      <c r="F163" s="27">
        <v>0</v>
      </c>
      <c r="G163" s="27">
        <v>7100335.6600000001</v>
      </c>
      <c r="H163" s="12">
        <f t="shared" ref="H163:H168" si="78">(E163+F163)-G163</f>
        <v>60605033.680000007</v>
      </c>
      <c r="I163" s="28">
        <v>2448241877.0100002</v>
      </c>
      <c r="J163" s="13">
        <f>(I163/$I$169)</f>
        <v>4.6597211407283078E-3</v>
      </c>
      <c r="K163" s="28">
        <v>2507102931.3400002</v>
      </c>
      <c r="L163" s="13">
        <f>(K163/$K$169)</f>
        <v>4.7582701948165294E-3</v>
      </c>
      <c r="M163" s="13">
        <f t="shared" ref="M163:M169" si="79">((K163-I163)/I163)</f>
        <v>2.4042172827255948E-2</v>
      </c>
      <c r="N163" s="20">
        <f>(G163/K163)</f>
        <v>2.8320878138836532E-3</v>
      </c>
      <c r="O163" s="21">
        <f>H163/K163</f>
        <v>2.4173332862567291E-2</v>
      </c>
      <c r="P163" s="22">
        <f>K163/V163</f>
        <v>118.14811175023563</v>
      </c>
      <c r="Q163" s="22">
        <f>H163/V163</f>
        <v>2.8560336324222435</v>
      </c>
      <c r="R163" s="27">
        <v>118.15</v>
      </c>
      <c r="S163" s="27">
        <v>118.15</v>
      </c>
      <c r="T163" s="27">
        <v>8</v>
      </c>
      <c r="U163" s="27">
        <v>21220000</v>
      </c>
      <c r="V163" s="27">
        <v>21220000</v>
      </c>
    </row>
    <row r="164" spans="1:22">
      <c r="A164" s="99">
        <v>145</v>
      </c>
      <c r="B164" s="80" t="s">
        <v>258</v>
      </c>
      <c r="C164" s="80" t="s">
        <v>55</v>
      </c>
      <c r="D164" s="27">
        <v>21034587430</v>
      </c>
      <c r="E164" s="27">
        <v>2785402529</v>
      </c>
      <c r="F164" s="27">
        <v>0</v>
      </c>
      <c r="G164" s="27">
        <v>310692970</v>
      </c>
      <c r="H164" s="12">
        <f t="shared" si="78"/>
        <v>2474709559</v>
      </c>
      <c r="I164" s="28">
        <v>259875023841</v>
      </c>
      <c r="J164" s="13">
        <f t="shared" ref="J164:J168" si="80">(I164/$I$169)</f>
        <v>0.49461826215393767</v>
      </c>
      <c r="K164" s="28">
        <v>262349733400</v>
      </c>
      <c r="L164" s="13">
        <f t="shared" ref="L164:L168" si="81">(K164/$K$169)</f>
        <v>0.49791769673695563</v>
      </c>
      <c r="M164" s="13">
        <f t="shared" ref="M164:M168" si="82">((K164-I164)/I164)</f>
        <v>9.5226910321097574E-3</v>
      </c>
      <c r="N164" s="20">
        <f t="shared" ref="N164:N168" si="83">(G164/K164)</f>
        <v>1.1842701952598973E-3</v>
      </c>
      <c r="O164" s="21">
        <f t="shared" ref="O164:O168" si="84">H164/K164</f>
        <v>9.4328647753068387E-3</v>
      </c>
      <c r="P164" s="22">
        <f t="shared" ref="P164:P168" si="85">K164/V164</f>
        <v>104.93989336</v>
      </c>
      <c r="Q164" s="22">
        <f t="shared" ref="Q164:Q168" si="86">H164/V164</f>
        <v>0.98988382360000005</v>
      </c>
      <c r="R164" s="27">
        <v>104.93989999999999</v>
      </c>
      <c r="S164" s="27">
        <v>104.93989999999999</v>
      </c>
      <c r="T164" s="27">
        <v>45</v>
      </c>
      <c r="U164" s="27">
        <v>2500000000</v>
      </c>
      <c r="V164" s="27">
        <v>2500000000</v>
      </c>
    </row>
    <row r="165" spans="1:22">
      <c r="A165" s="99">
        <v>146</v>
      </c>
      <c r="B165" s="25" t="s">
        <v>138</v>
      </c>
      <c r="C165" s="25" t="s">
        <v>41</v>
      </c>
      <c r="D165" s="27">
        <v>193389717845</v>
      </c>
      <c r="E165" s="27">
        <v>1089502159</v>
      </c>
      <c r="F165" s="27">
        <v>0</v>
      </c>
      <c r="G165" s="27">
        <v>365925932</v>
      </c>
      <c r="H165" s="12">
        <f t="shared" si="78"/>
        <v>723576227</v>
      </c>
      <c r="I165" s="28">
        <v>192019422572</v>
      </c>
      <c r="J165" s="13">
        <f t="shared" si="80"/>
        <v>0.36546918472040174</v>
      </c>
      <c r="K165" s="28">
        <v>190584767677</v>
      </c>
      <c r="L165" s="13">
        <f t="shared" si="81"/>
        <v>0.36171383643144051</v>
      </c>
      <c r="M165" s="13">
        <f t="shared" si="82"/>
        <v>-7.4714051098766264E-3</v>
      </c>
      <c r="N165" s="20">
        <f t="shared" si="83"/>
        <v>1.9200166753104077E-3</v>
      </c>
      <c r="O165" s="21">
        <f t="shared" si="84"/>
        <v>3.7966110084217504E-3</v>
      </c>
      <c r="P165" s="22">
        <f t="shared" si="85"/>
        <v>115.03356951882276</v>
      </c>
      <c r="Q165" s="22">
        <f t="shared" si="86"/>
        <v>0.43673771637321118</v>
      </c>
      <c r="R165" s="27">
        <v>103</v>
      </c>
      <c r="S165" s="27">
        <v>103</v>
      </c>
      <c r="T165" s="27">
        <v>1361</v>
      </c>
      <c r="U165" s="27">
        <v>1656775222</v>
      </c>
      <c r="V165" s="27">
        <v>1656775222</v>
      </c>
    </row>
    <row r="166" spans="1:22">
      <c r="A166" s="99">
        <v>147</v>
      </c>
      <c r="B166" s="25" t="s">
        <v>139</v>
      </c>
      <c r="C166" s="25" t="s">
        <v>112</v>
      </c>
      <c r="D166" s="27">
        <v>6807409988.0600004</v>
      </c>
      <c r="E166" s="27">
        <v>61061352.270000003</v>
      </c>
      <c r="F166" s="27">
        <v>0</v>
      </c>
      <c r="G166" s="27">
        <v>25274322.489999998</v>
      </c>
      <c r="H166" s="12">
        <f t="shared" si="78"/>
        <v>35787029.780000001</v>
      </c>
      <c r="I166" s="28">
        <v>6578845645.6599998</v>
      </c>
      <c r="J166" s="13">
        <f t="shared" si="80"/>
        <v>1.2521469559253462E-2</v>
      </c>
      <c r="K166" s="28">
        <v>6614632675.4399996</v>
      </c>
      <c r="L166" s="13">
        <f t="shared" si="81"/>
        <v>1.2554015679118243E-2</v>
      </c>
      <c r="M166" s="13">
        <f t="shared" si="82"/>
        <v>5.4397126346334155E-3</v>
      </c>
      <c r="N166" s="20">
        <f t="shared" si="83"/>
        <v>3.8209714326001894E-3</v>
      </c>
      <c r="O166" s="21">
        <f t="shared" si="84"/>
        <v>5.4102822538999841E-3</v>
      </c>
      <c r="P166" s="22">
        <f t="shared" si="85"/>
        <v>330.73163377199995</v>
      </c>
      <c r="Q166" s="22">
        <f t="shared" si="86"/>
        <v>1.789351489</v>
      </c>
      <c r="R166" s="27">
        <v>418.75</v>
      </c>
      <c r="S166" s="27">
        <v>418.75</v>
      </c>
      <c r="T166" s="27">
        <v>5533</v>
      </c>
      <c r="U166" s="27">
        <v>20000000</v>
      </c>
      <c r="V166" s="27">
        <v>20000000</v>
      </c>
    </row>
    <row r="167" spans="1:22">
      <c r="A167" s="99">
        <v>148</v>
      </c>
      <c r="B167" s="25" t="s">
        <v>140</v>
      </c>
      <c r="C167" s="25" t="s">
        <v>112</v>
      </c>
      <c r="D167" s="27">
        <v>29189015071.59</v>
      </c>
      <c r="E167" s="27">
        <v>118223852.75</v>
      </c>
      <c r="F167" s="27">
        <v>0</v>
      </c>
      <c r="G167" s="27">
        <v>36376346.609999999</v>
      </c>
      <c r="H167" s="12">
        <f t="shared" si="78"/>
        <v>81847506.140000001</v>
      </c>
      <c r="I167" s="28">
        <v>28253496525.119999</v>
      </c>
      <c r="J167" s="13">
        <f t="shared" si="80"/>
        <v>5.3774676552131244E-2</v>
      </c>
      <c r="K167" s="28">
        <v>28335344031.259998</v>
      </c>
      <c r="L167" s="13">
        <f t="shared" si="81"/>
        <v>5.3778096335180881E-2</v>
      </c>
      <c r="M167" s="13">
        <f t="shared" si="82"/>
        <v>2.8968983030907098E-3</v>
      </c>
      <c r="N167" s="20">
        <f t="shared" si="83"/>
        <v>1.2837799523404071E-3</v>
      </c>
      <c r="O167" s="21">
        <f t="shared" si="84"/>
        <v>2.8885305239175689E-3</v>
      </c>
      <c r="P167" s="22">
        <f t="shared" si="85"/>
        <v>150.61811483978599</v>
      </c>
      <c r="Q167" s="22">
        <f t="shared" si="86"/>
        <v>0.4350650221696436</v>
      </c>
      <c r="R167" s="27">
        <v>72.5</v>
      </c>
      <c r="S167" s="27">
        <v>72.5</v>
      </c>
      <c r="T167" s="27">
        <v>8119</v>
      </c>
      <c r="U167" s="27">
        <v>188127066</v>
      </c>
      <c r="V167" s="27">
        <v>188127066</v>
      </c>
    </row>
    <row r="168" spans="1:22" ht="16.2" customHeight="1">
      <c r="A168" s="99">
        <v>149</v>
      </c>
      <c r="B168" s="25" t="s">
        <v>141</v>
      </c>
      <c r="C168" s="25" t="s">
        <v>112</v>
      </c>
      <c r="D168" s="27">
        <v>39641836021.82</v>
      </c>
      <c r="E168" s="27">
        <v>401582381.56999999</v>
      </c>
      <c r="F168" s="27">
        <v>0</v>
      </c>
      <c r="G168" s="27">
        <v>129594742.48999999</v>
      </c>
      <c r="H168" s="12">
        <f t="shared" si="78"/>
        <v>271987639.07999998</v>
      </c>
      <c r="I168" s="28">
        <v>36230203687.480003</v>
      </c>
      <c r="J168" s="13">
        <f t="shared" si="80"/>
        <v>6.8956685873547655E-2</v>
      </c>
      <c r="K168" s="28">
        <v>36502191326.559998</v>
      </c>
      <c r="L168" s="13">
        <f t="shared" si="81"/>
        <v>6.9278084622488245E-2</v>
      </c>
      <c r="M168" s="13">
        <f t="shared" si="82"/>
        <v>7.5072070095477932E-3</v>
      </c>
      <c r="N168" s="20">
        <f t="shared" si="83"/>
        <v>3.5503277414389994E-3</v>
      </c>
      <c r="O168" s="21">
        <f t="shared" si="84"/>
        <v>7.4512687922408186E-3</v>
      </c>
      <c r="P168" s="22">
        <f t="shared" si="85"/>
        <v>1.9667160804909614</v>
      </c>
      <c r="Q168" s="22">
        <f t="shared" si="86"/>
        <v>1.4654530153760481E-2</v>
      </c>
      <c r="R168" s="27">
        <v>7.5</v>
      </c>
      <c r="S168" s="27">
        <v>7.5</v>
      </c>
      <c r="T168" s="27">
        <v>215231</v>
      </c>
      <c r="U168" s="27">
        <v>18559969936</v>
      </c>
      <c r="V168" s="27">
        <v>18559969936</v>
      </c>
    </row>
    <row r="169" spans="1:22" ht="15" customHeight="1">
      <c r="A169" s="125" t="s">
        <v>48</v>
      </c>
      <c r="B169" s="125"/>
      <c r="C169" s="125"/>
      <c r="D169" s="125"/>
      <c r="E169" s="125"/>
      <c r="F169" s="125"/>
      <c r="G169" s="125"/>
      <c r="H169" s="125"/>
      <c r="I169" s="36">
        <f>SUM(I163:I168)</f>
        <v>525405234148.26996</v>
      </c>
      <c r="J169" s="34">
        <f>(I169/$I$247)</f>
        <v>6.1084936407551242E-2</v>
      </c>
      <c r="K169" s="36">
        <f>SUM(K163:K168)</f>
        <v>526893772041.59998</v>
      </c>
      <c r="L169" s="34">
        <f>(K169/$K$247)</f>
        <v>5.9338469764294181E-2</v>
      </c>
      <c r="M169" s="34">
        <f t="shared" si="79"/>
        <v>2.8331234570646664E-3</v>
      </c>
      <c r="N169" s="20"/>
      <c r="O169" s="20"/>
      <c r="P169" s="37"/>
      <c r="Q169" s="37"/>
      <c r="R169" s="36"/>
      <c r="S169" s="36"/>
      <c r="T169" s="36">
        <f>SUM(T163:T168)</f>
        <v>230297</v>
      </c>
      <c r="U169" s="36"/>
      <c r="V169" s="36"/>
    </row>
    <row r="170" spans="1:22" ht="4.95" customHeight="1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</row>
    <row r="171" spans="1:22" ht="13.95" customHeight="1">
      <c r="A171" s="133" t="s">
        <v>142</v>
      </c>
      <c r="B171" s="134"/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5"/>
    </row>
    <row r="172" spans="1:22">
      <c r="A172" s="99">
        <v>150</v>
      </c>
      <c r="B172" s="25" t="s">
        <v>143</v>
      </c>
      <c r="C172" s="25" t="s">
        <v>52</v>
      </c>
      <c r="D172" s="29">
        <v>906100816.10000002</v>
      </c>
      <c r="E172" s="29">
        <v>14953395.220000001</v>
      </c>
      <c r="F172" s="29">
        <v>0</v>
      </c>
      <c r="G172" s="10">
        <v>1844644.97</v>
      </c>
      <c r="H172" s="12">
        <f>(E172+F172)-G172</f>
        <v>13108750.25</v>
      </c>
      <c r="I172" s="10">
        <v>817907844.14999998</v>
      </c>
      <c r="J172" s="13">
        <f t="shared" ref="J172:J201" si="87">(I172/$I$202)</f>
        <v>6.7011876413958782E-3</v>
      </c>
      <c r="K172" s="10">
        <v>934782260.58000004</v>
      </c>
      <c r="L172" s="13">
        <f t="shared" ref="L172" si="88">(K172/$K$202)</f>
        <v>6.4834622779256015E-3</v>
      </c>
      <c r="M172" s="13">
        <f t="shared" ref="M172:M202" si="89">((K172-I172)/I172)</f>
        <v>0.14289435816752713</v>
      </c>
      <c r="N172" s="20">
        <f t="shared" ref="N172" si="90">(G172/K172)</f>
        <v>1.9733418655756918E-3</v>
      </c>
      <c r="O172" s="21">
        <f t="shared" ref="O172" si="91">H172/K172</f>
        <v>1.4023319443253527E-2</v>
      </c>
      <c r="P172" s="22">
        <f t="shared" ref="P172" si="92">K172/V172</f>
        <v>9.7644815542045116</v>
      </c>
      <c r="Q172" s="22">
        <f t="shared" ref="Q172" si="93">H172/V172</f>
        <v>0.13693044403236654</v>
      </c>
      <c r="R172" s="10">
        <v>8.8653999999999993</v>
      </c>
      <c r="S172" s="10">
        <v>9.0104000000000006</v>
      </c>
      <c r="T172" s="10">
        <v>11973</v>
      </c>
      <c r="U172" s="10">
        <v>91400262.659999996</v>
      </c>
      <c r="V172" s="10">
        <v>95732912.739999995</v>
      </c>
    </row>
    <row r="173" spans="1:22">
      <c r="A173" s="112">
        <v>151</v>
      </c>
      <c r="B173" s="113" t="s">
        <v>200</v>
      </c>
      <c r="C173" s="25" t="s">
        <v>201</v>
      </c>
      <c r="D173" s="29">
        <v>1170248176.4000001</v>
      </c>
      <c r="E173" s="29">
        <v>18291738.039999999</v>
      </c>
      <c r="F173" s="29">
        <v>740854467.73000002</v>
      </c>
      <c r="G173" s="10">
        <v>3631636.29</v>
      </c>
      <c r="H173" s="12">
        <f>(E173+F173)-G173</f>
        <v>755514569.48000002</v>
      </c>
      <c r="I173" s="10">
        <v>2663776860.71</v>
      </c>
      <c r="J173" s="13">
        <f t="shared" si="87"/>
        <v>2.182454747940097E-2</v>
      </c>
      <c r="K173" s="10">
        <v>2957993405.25</v>
      </c>
      <c r="L173" s="13">
        <f t="shared" ref="L173:L201" si="94">(K173/$K$202)</f>
        <v>2.0516048998824352E-2</v>
      </c>
      <c r="M173" s="13">
        <f t="shared" ref="M173:M201" si="95">((K173-I173)/I173)</f>
        <v>0.11045089732537876</v>
      </c>
      <c r="N173" s="20">
        <f t="shared" ref="N173:N201" si="96">(G173/K173)</f>
        <v>1.2277364390178773E-3</v>
      </c>
      <c r="O173" s="21">
        <f t="shared" ref="O173:O201" si="97">H173/K173</f>
        <v>0.25541455506258859</v>
      </c>
      <c r="P173" s="22">
        <f t="shared" ref="P173:P201" si="98">K173/V173</f>
        <v>3016.3261364018758</v>
      </c>
      <c r="Q173" s="22">
        <f t="shared" ref="Q173:Q201" si="99">H173/V173</f>
        <v>770.41359805274203</v>
      </c>
      <c r="R173" s="10">
        <v>3056.25</v>
      </c>
      <c r="S173" s="10">
        <v>3074.25</v>
      </c>
      <c r="T173" s="10">
        <v>223</v>
      </c>
      <c r="U173" s="10">
        <v>999494</v>
      </c>
      <c r="V173" s="10">
        <v>980661</v>
      </c>
    </row>
    <row r="174" spans="1:22">
      <c r="A174" s="99">
        <v>152</v>
      </c>
      <c r="B174" s="25" t="s">
        <v>144</v>
      </c>
      <c r="C174" s="10" t="s">
        <v>55</v>
      </c>
      <c r="D174" s="29">
        <v>11238329320</v>
      </c>
      <c r="E174" s="29">
        <v>490175061</v>
      </c>
      <c r="F174" s="29">
        <v>1375455300</v>
      </c>
      <c r="G174" s="10">
        <v>122574345</v>
      </c>
      <c r="H174" s="12">
        <f t="shared" ref="H174:H201" si="100">(E174+F174)-G174</f>
        <v>1743056016</v>
      </c>
      <c r="I174" s="10">
        <v>12934002636</v>
      </c>
      <c r="J174" s="13">
        <f t="shared" si="87"/>
        <v>0.10596936957881713</v>
      </c>
      <c r="K174" s="10">
        <v>15308355504</v>
      </c>
      <c r="L174" s="13">
        <f t="shared" si="94"/>
        <v>0.10617568350695579</v>
      </c>
      <c r="M174" s="13">
        <f t="shared" si="95"/>
        <v>0.18357448462174566</v>
      </c>
      <c r="N174" s="20">
        <f t="shared" si="96"/>
        <v>8.0070223720615785E-3</v>
      </c>
      <c r="O174" s="21">
        <f t="shared" si="97"/>
        <v>0.11386304789855108</v>
      </c>
      <c r="P174" s="22">
        <f t="shared" si="98"/>
        <v>1407.5388102251807</v>
      </c>
      <c r="Q174" s="22">
        <f t="shared" si="99"/>
        <v>160.26665896773935</v>
      </c>
      <c r="R174" s="10">
        <v>1400.5011</v>
      </c>
      <c r="S174" s="10">
        <v>1442.7273</v>
      </c>
      <c r="T174" s="10">
        <v>22951</v>
      </c>
      <c r="U174" s="10">
        <v>10412810</v>
      </c>
      <c r="V174" s="10">
        <v>10875974</v>
      </c>
    </row>
    <row r="175" spans="1:22">
      <c r="A175" s="99">
        <v>153</v>
      </c>
      <c r="B175" s="25" t="s">
        <v>145</v>
      </c>
      <c r="C175" s="25" t="s">
        <v>96</v>
      </c>
      <c r="D175" s="29">
        <v>3795278879.8000002</v>
      </c>
      <c r="E175" s="29">
        <v>50295514.640000001</v>
      </c>
      <c r="F175" s="29">
        <v>477329113</v>
      </c>
      <c r="G175" s="10">
        <v>6978035.3600000003</v>
      </c>
      <c r="H175" s="12">
        <f t="shared" si="100"/>
        <v>520646592.27999997</v>
      </c>
      <c r="I175" s="10">
        <v>3153178686.6999998</v>
      </c>
      <c r="J175" s="13">
        <f t="shared" si="87"/>
        <v>2.5834257731549261E-2</v>
      </c>
      <c r="K175" s="10">
        <v>3699645278.98</v>
      </c>
      <c r="L175" s="13">
        <f t="shared" si="94"/>
        <v>2.5659997648104244E-2</v>
      </c>
      <c r="M175" s="13">
        <f t="shared" si="95"/>
        <v>0.17330657300995267</v>
      </c>
      <c r="N175" s="20">
        <f t="shared" si="96"/>
        <v>1.8861363276221604E-3</v>
      </c>
      <c r="O175" s="21">
        <f t="shared" si="97"/>
        <v>0.14072878695644664</v>
      </c>
      <c r="P175" s="22">
        <f t="shared" si="98"/>
        <v>8.8861935263397491</v>
      </c>
      <c r="Q175" s="22">
        <f t="shared" si="99"/>
        <v>1.2505432356220219</v>
      </c>
      <c r="R175" s="10">
        <v>8.7620000000000005</v>
      </c>
      <c r="S175" s="10">
        <v>8.9999000000000002</v>
      </c>
      <c r="T175" s="10">
        <v>2734</v>
      </c>
      <c r="U175" s="10">
        <v>413161022.83999997</v>
      </c>
      <c r="V175" s="10">
        <v>416336338.83999997</v>
      </c>
    </row>
    <row r="176" spans="1:22">
      <c r="A176" s="99">
        <v>154</v>
      </c>
      <c r="B176" s="25" t="s">
        <v>254</v>
      </c>
      <c r="C176" s="10" t="s">
        <v>94</v>
      </c>
      <c r="D176" s="29">
        <v>2755879620.1199999</v>
      </c>
      <c r="E176" s="29">
        <v>23571489.649999999</v>
      </c>
      <c r="F176" s="29">
        <v>410115642.93000001</v>
      </c>
      <c r="G176" s="10">
        <v>2772838.17</v>
      </c>
      <c r="H176" s="12">
        <f t="shared" ref="H176" si="101">(E176+F176)-G176</f>
        <v>430914294.40999997</v>
      </c>
      <c r="I176" s="10">
        <v>1848313546.01</v>
      </c>
      <c r="J176" s="13">
        <f t="shared" si="87"/>
        <v>1.5143388073039799E-2</v>
      </c>
      <c r="K176" s="10">
        <v>2813656624.6700001</v>
      </c>
      <c r="L176" s="13">
        <f t="shared" si="94"/>
        <v>1.9514958037141979E-2</v>
      </c>
      <c r="M176" s="13">
        <f t="shared" si="95"/>
        <v>0.52228318119721084</v>
      </c>
      <c r="N176" s="20">
        <f t="shared" si="96"/>
        <v>9.8549273770221065E-4</v>
      </c>
      <c r="O176" s="21">
        <f t="shared" si="97"/>
        <v>0.15315098887041334</v>
      </c>
      <c r="P176" s="22">
        <f t="shared" si="98"/>
        <v>1.8525119448243772</v>
      </c>
      <c r="Q176" s="22">
        <f t="shared" si="99"/>
        <v>0.28371403624410596</v>
      </c>
      <c r="R176" s="10">
        <v>1.8318000000000001</v>
      </c>
      <c r="S176" s="10">
        <v>1.8469</v>
      </c>
      <c r="T176" s="10">
        <v>549</v>
      </c>
      <c r="U176" s="10">
        <v>1177580267.79</v>
      </c>
      <c r="V176" s="10">
        <v>1518833188.9200001</v>
      </c>
    </row>
    <row r="177" spans="1:22">
      <c r="A177" s="99">
        <v>155</v>
      </c>
      <c r="B177" s="25" t="s">
        <v>146</v>
      </c>
      <c r="C177" s="25" t="s">
        <v>57</v>
      </c>
      <c r="D177" s="29">
        <v>10188966801.34</v>
      </c>
      <c r="E177" s="29">
        <v>176491079.16</v>
      </c>
      <c r="F177" s="29">
        <v>3334271662.5900002</v>
      </c>
      <c r="G177" s="10">
        <v>23570137.68</v>
      </c>
      <c r="H177" s="12">
        <f t="shared" si="100"/>
        <v>3487192604.0700002</v>
      </c>
      <c r="I177" s="10">
        <v>8921406875.0900002</v>
      </c>
      <c r="J177" s="13">
        <f t="shared" si="87"/>
        <v>7.3093835598736792E-2</v>
      </c>
      <c r="K177" s="10">
        <v>10301163535</v>
      </c>
      <c r="L177" s="13">
        <f t="shared" si="94"/>
        <v>7.1446804260573038E-2</v>
      </c>
      <c r="M177" s="13">
        <f t="shared" si="95"/>
        <v>0.15465684720226155</v>
      </c>
      <c r="N177" s="20">
        <f t="shared" si="96"/>
        <v>2.2881044068387368E-3</v>
      </c>
      <c r="O177" s="21">
        <f t="shared" si="97"/>
        <v>0.33852414751223542</v>
      </c>
      <c r="P177" s="22">
        <f t="shared" si="98"/>
        <v>14664.787700280755</v>
      </c>
      <c r="Q177" s="22">
        <f t="shared" si="99"/>
        <v>4964.3847546854577</v>
      </c>
      <c r="R177" s="10">
        <v>14664.79</v>
      </c>
      <c r="S177" s="10">
        <v>14776.62</v>
      </c>
      <c r="T177" s="10">
        <v>1631</v>
      </c>
      <c r="U177" s="10">
        <v>671051.15</v>
      </c>
      <c r="V177" s="10">
        <v>702442.05</v>
      </c>
    </row>
    <row r="178" spans="1:22" ht="14.1" customHeight="1">
      <c r="A178" s="99">
        <v>156</v>
      </c>
      <c r="B178" s="25" t="s">
        <v>147</v>
      </c>
      <c r="C178" s="10" t="s">
        <v>59</v>
      </c>
      <c r="D178" s="29">
        <v>1899097201.8</v>
      </c>
      <c r="E178" s="29">
        <v>25753423.059999999</v>
      </c>
      <c r="F178" s="29">
        <v>193477784.66999999</v>
      </c>
      <c r="G178" s="10">
        <v>3356407.38</v>
      </c>
      <c r="H178" s="12">
        <f t="shared" si="100"/>
        <v>215874800.34999999</v>
      </c>
      <c r="I178" s="10">
        <v>1727021630.1900001</v>
      </c>
      <c r="J178" s="13">
        <f t="shared" si="87"/>
        <v>1.4149633222652095E-2</v>
      </c>
      <c r="K178" s="10">
        <v>2247674980.1100001</v>
      </c>
      <c r="L178" s="13">
        <f t="shared" si="94"/>
        <v>1.5589422864677061E-2</v>
      </c>
      <c r="M178" s="13">
        <f t="shared" si="95"/>
        <v>0.30147471277630716</v>
      </c>
      <c r="N178" s="20">
        <f t="shared" si="96"/>
        <v>1.4932796822055381E-3</v>
      </c>
      <c r="O178" s="21">
        <f t="shared" si="97"/>
        <v>9.6043601615138849E-2</v>
      </c>
      <c r="P178" s="22">
        <f t="shared" si="98"/>
        <v>301.99969098465061</v>
      </c>
      <c r="Q178" s="22">
        <f t="shared" si="99"/>
        <v>29.005138008824826</v>
      </c>
      <c r="R178" s="10">
        <v>308.58999999999997</v>
      </c>
      <c r="S178" s="10">
        <v>310.87</v>
      </c>
      <c r="T178" s="10">
        <v>564</v>
      </c>
      <c r="U178" s="10">
        <v>6281647</v>
      </c>
      <c r="V178" s="10">
        <v>7442640</v>
      </c>
    </row>
    <row r="179" spans="1:22">
      <c r="A179" s="99">
        <v>157</v>
      </c>
      <c r="B179" s="25" t="s">
        <v>148</v>
      </c>
      <c r="C179" s="10" t="s">
        <v>61</v>
      </c>
      <c r="D179" s="29">
        <v>5567212879.5100002</v>
      </c>
      <c r="E179" s="29">
        <v>32971587.219999999</v>
      </c>
      <c r="F179" s="29">
        <v>525547987.63999999</v>
      </c>
      <c r="G179" s="10">
        <v>8471452.8300000001</v>
      </c>
      <c r="H179" s="12">
        <f t="shared" si="100"/>
        <v>550048122.02999997</v>
      </c>
      <c r="I179" s="10">
        <v>4520107471.2399998</v>
      </c>
      <c r="J179" s="13">
        <f t="shared" si="87"/>
        <v>3.7033620035192644E-2</v>
      </c>
      <c r="K179" s="10">
        <v>5649214414.8000002</v>
      </c>
      <c r="L179" s="13">
        <f t="shared" si="94"/>
        <v>3.9181818165380994E-2</v>
      </c>
      <c r="M179" s="13">
        <f t="shared" si="95"/>
        <v>0.24979648177485764</v>
      </c>
      <c r="N179" s="20">
        <f t="shared" si="96"/>
        <v>1.4995806864413228E-3</v>
      </c>
      <c r="O179" s="21">
        <f t="shared" si="97"/>
        <v>9.7367188009179748E-2</v>
      </c>
      <c r="P179" s="22">
        <f t="shared" si="98"/>
        <v>2.7401708959980686</v>
      </c>
      <c r="Q179" s="22">
        <f t="shared" si="99"/>
        <v>0.26680273480792649</v>
      </c>
      <c r="R179" s="10">
        <v>2.7101999999999999</v>
      </c>
      <c r="S179" s="10">
        <v>2.7595000000000001</v>
      </c>
      <c r="T179" s="10">
        <v>4934</v>
      </c>
      <c r="U179" s="10">
        <v>1842839863.2</v>
      </c>
      <c r="V179" s="10">
        <v>2061628500.27</v>
      </c>
    </row>
    <row r="180" spans="1:22">
      <c r="A180" s="99">
        <v>158</v>
      </c>
      <c r="B180" s="25" t="s">
        <v>202</v>
      </c>
      <c r="C180" s="25" t="s">
        <v>45</v>
      </c>
      <c r="D180" s="29">
        <v>1077782938.3900001</v>
      </c>
      <c r="E180" s="29">
        <v>5000341.01</v>
      </c>
      <c r="F180" s="29">
        <v>267313938.19999999</v>
      </c>
      <c r="G180" s="10">
        <v>1531269.01</v>
      </c>
      <c r="H180" s="12">
        <f>(E180+F180)-G180</f>
        <v>270783010.19999999</v>
      </c>
      <c r="I180" s="10">
        <v>725353096.90999997</v>
      </c>
      <c r="J180" s="13">
        <f t="shared" si="87"/>
        <v>5.9428788260527882E-3</v>
      </c>
      <c r="K180" s="10">
        <v>1189829302.1199999</v>
      </c>
      <c r="L180" s="13">
        <f t="shared" si="94"/>
        <v>8.2524174053957341E-3</v>
      </c>
      <c r="M180" s="13">
        <f t="shared" si="95"/>
        <v>0.64034496742161284</v>
      </c>
      <c r="N180" s="20">
        <f t="shared" si="96"/>
        <v>1.2869652876018717E-3</v>
      </c>
      <c r="O180" s="21">
        <f t="shared" si="97"/>
        <v>0.22758139316078993</v>
      </c>
      <c r="P180" s="22">
        <f t="shared" si="98"/>
        <v>286.53951939629218</v>
      </c>
      <c r="Q180" s="22">
        <f t="shared" si="99"/>
        <v>65.211063019831371</v>
      </c>
      <c r="R180" s="10">
        <v>286.54000000000002</v>
      </c>
      <c r="S180" s="10">
        <v>286.54000000000002</v>
      </c>
      <c r="T180" s="10">
        <v>204</v>
      </c>
      <c r="U180" s="10">
        <v>2846953.8</v>
      </c>
      <c r="V180" s="10">
        <v>4152409.08</v>
      </c>
    </row>
    <row r="181" spans="1:22">
      <c r="A181" s="99">
        <v>159</v>
      </c>
      <c r="B181" s="25" t="s">
        <v>149</v>
      </c>
      <c r="C181" s="25" t="s">
        <v>150</v>
      </c>
      <c r="D181" s="29">
        <v>1845309601.04</v>
      </c>
      <c r="E181" s="29">
        <v>8899395.2799999993</v>
      </c>
      <c r="F181" s="29">
        <v>0</v>
      </c>
      <c r="G181" s="10">
        <v>3297085.66</v>
      </c>
      <c r="H181" s="12">
        <f>(E181+F181)-G181</f>
        <v>5602309.6199999992</v>
      </c>
      <c r="I181" s="10">
        <v>1653474961.04</v>
      </c>
      <c r="J181" s="13">
        <f t="shared" si="87"/>
        <v>1.3547059187082109E-2</v>
      </c>
      <c r="K181" s="10">
        <v>1983816848.9400001</v>
      </c>
      <c r="L181" s="13">
        <f t="shared" si="94"/>
        <v>1.3759355786699777E-2</v>
      </c>
      <c r="M181" s="13">
        <f t="shared" si="95"/>
        <v>0.19978644713931573</v>
      </c>
      <c r="N181" s="20">
        <f t="shared" si="96"/>
        <v>1.6619909553453537E-3</v>
      </c>
      <c r="O181" s="21">
        <f t="shared" si="97"/>
        <v>2.8240054635050834E-3</v>
      </c>
      <c r="P181" s="22">
        <f t="shared" si="98"/>
        <v>217.54882403566199</v>
      </c>
      <c r="Q181" s="22">
        <f t="shared" si="99"/>
        <v>0.61435906765581549</v>
      </c>
      <c r="R181" s="10">
        <v>175.05</v>
      </c>
      <c r="S181" s="10">
        <v>176.13</v>
      </c>
      <c r="T181" s="10">
        <v>194</v>
      </c>
      <c r="U181" s="10">
        <v>8678544</v>
      </c>
      <c r="V181" s="10">
        <v>9118950</v>
      </c>
    </row>
    <row r="182" spans="1:22">
      <c r="A182" s="99">
        <v>160</v>
      </c>
      <c r="B182" s="25" t="s">
        <v>151</v>
      </c>
      <c r="C182" s="10" t="s">
        <v>66</v>
      </c>
      <c r="D182" s="29">
        <v>1049362662.83</v>
      </c>
      <c r="E182" s="29">
        <v>8020476</v>
      </c>
      <c r="F182" s="29">
        <v>122100790</v>
      </c>
      <c r="G182" s="10">
        <v>281500</v>
      </c>
      <c r="H182" s="12">
        <f t="shared" si="100"/>
        <v>129839766</v>
      </c>
      <c r="I182" s="10">
        <v>838876972.55999994</v>
      </c>
      <c r="J182" s="13">
        <f t="shared" si="87"/>
        <v>6.8729894710970792E-3</v>
      </c>
      <c r="K182" s="10">
        <v>1070231083.12</v>
      </c>
      <c r="L182" s="13">
        <f t="shared" si="94"/>
        <v>7.4229081452259187E-3</v>
      </c>
      <c r="M182" s="13">
        <f t="shared" si="95"/>
        <v>0.27579027453093269</v>
      </c>
      <c r="N182" s="20">
        <f t="shared" si="96"/>
        <v>2.6302730731699064E-4</v>
      </c>
      <c r="O182" s="21">
        <f t="shared" si="97"/>
        <v>0.12131937489750676</v>
      </c>
      <c r="P182" s="22">
        <f t="shared" si="98"/>
        <v>2.5425916080194084</v>
      </c>
      <c r="Q182" s="22">
        <f t="shared" si="99"/>
        <v>0.30846562450456116</v>
      </c>
      <c r="R182" s="10">
        <v>2.6800999999999999</v>
      </c>
      <c r="S182" s="10">
        <v>2.7092000000000001</v>
      </c>
      <c r="T182" s="10">
        <v>379</v>
      </c>
      <c r="U182" s="10">
        <v>351996960.20999998</v>
      </c>
      <c r="V182" s="10">
        <v>420921346.44999999</v>
      </c>
    </row>
    <row r="183" spans="1:22">
      <c r="A183" s="99">
        <v>161</v>
      </c>
      <c r="B183" s="114" t="s">
        <v>315</v>
      </c>
      <c r="C183" s="10" t="s">
        <v>328</v>
      </c>
      <c r="D183" s="29">
        <v>20524292279.939999</v>
      </c>
      <c r="E183" s="29">
        <v>41597486.5</v>
      </c>
      <c r="F183" s="29">
        <v>2054797325.22</v>
      </c>
      <c r="G183" s="10">
        <v>29756823.41</v>
      </c>
      <c r="H183" s="12">
        <f>(E183+F183)-G183</f>
        <v>2066637988.3099999</v>
      </c>
      <c r="I183" s="10">
        <v>17847036143.349998</v>
      </c>
      <c r="J183" s="13">
        <f t="shared" si="87"/>
        <v>0.14622226561924162</v>
      </c>
      <c r="K183" s="10">
        <v>20301919439.139999</v>
      </c>
      <c r="L183" s="13">
        <f t="shared" si="94"/>
        <v>0.14081004144374631</v>
      </c>
      <c r="M183" s="13">
        <f t="shared" si="95"/>
        <v>0.13755131530367395</v>
      </c>
      <c r="N183" s="20">
        <f t="shared" si="96"/>
        <v>1.4657147812650623E-3</v>
      </c>
      <c r="O183" s="21">
        <f t="shared" si="97"/>
        <v>0.10179520190222684</v>
      </c>
      <c r="P183" s="22">
        <f t="shared" si="98"/>
        <v>610.12005844637963</v>
      </c>
      <c r="Q183" s="22">
        <f t="shared" si="99"/>
        <v>62.107294534147655</v>
      </c>
      <c r="R183" s="10">
        <v>610.12</v>
      </c>
      <c r="S183" s="10">
        <v>616.41</v>
      </c>
      <c r="T183" s="10">
        <v>5628</v>
      </c>
      <c r="U183" s="10">
        <v>33388122</v>
      </c>
      <c r="V183" s="10">
        <v>33275286</v>
      </c>
    </row>
    <row r="184" spans="1:22" ht="15.6" customHeight="1">
      <c r="A184" s="99">
        <v>162</v>
      </c>
      <c r="B184" s="10" t="s">
        <v>152</v>
      </c>
      <c r="C184" s="25" t="s">
        <v>227</v>
      </c>
      <c r="D184" s="29">
        <v>6553086310.1400003</v>
      </c>
      <c r="E184" s="29">
        <v>62617701.890000001</v>
      </c>
      <c r="F184" s="29">
        <v>569390052.10000002</v>
      </c>
      <c r="G184" s="10">
        <v>26293660.239999998</v>
      </c>
      <c r="H184" s="12">
        <f>(E184+F184)-G184</f>
        <v>605714093.75</v>
      </c>
      <c r="I184" s="10">
        <v>5239572655.8299999</v>
      </c>
      <c r="J184" s="13">
        <f t="shared" si="87"/>
        <v>4.2928258701238883E-2</v>
      </c>
      <c r="K184" s="10">
        <v>6531563271.7299995</v>
      </c>
      <c r="L184" s="13">
        <f t="shared" si="94"/>
        <v>4.5301612871719285E-2</v>
      </c>
      <c r="M184" s="13">
        <f t="shared" si="95"/>
        <v>0.24658320454100766</v>
      </c>
      <c r="N184" s="20">
        <f t="shared" si="96"/>
        <v>4.02563048785037E-3</v>
      </c>
      <c r="O184" s="21">
        <f t="shared" si="97"/>
        <v>9.2736465766420723E-2</v>
      </c>
      <c r="P184" s="22">
        <f t="shared" si="98"/>
        <v>4.0006909302221398</v>
      </c>
      <c r="Q184" s="22">
        <f t="shared" si="99"/>
        <v>0.37100993749257533</v>
      </c>
      <c r="R184" s="10">
        <v>3.9580000000000002</v>
      </c>
      <c r="S184" s="10">
        <v>3.9580000000000002</v>
      </c>
      <c r="T184" s="10">
        <v>10284</v>
      </c>
      <c r="U184" s="10">
        <v>1434303232.95</v>
      </c>
      <c r="V184" s="10">
        <v>1632608813.24</v>
      </c>
    </row>
    <row r="185" spans="1:22">
      <c r="A185" s="99">
        <v>163</v>
      </c>
      <c r="B185" s="25" t="s">
        <v>153</v>
      </c>
      <c r="C185" s="10" t="s">
        <v>71</v>
      </c>
      <c r="D185" s="29">
        <v>296900483</v>
      </c>
      <c r="E185" s="29">
        <v>12064446.58</v>
      </c>
      <c r="F185" s="29">
        <v>119987043.22</v>
      </c>
      <c r="G185" s="10">
        <v>603306.17000000004</v>
      </c>
      <c r="H185" s="12">
        <f t="shared" si="100"/>
        <v>131448183.63</v>
      </c>
      <c r="I185" s="10">
        <v>326820070.81</v>
      </c>
      <c r="J185" s="13">
        <f t="shared" si="87"/>
        <v>2.6776642810512627E-3</v>
      </c>
      <c r="K185" s="10">
        <v>345628274.94999999</v>
      </c>
      <c r="L185" s="13">
        <f t="shared" si="94"/>
        <v>2.397208395281744E-3</v>
      </c>
      <c r="M185" s="13">
        <f t="shared" si="95"/>
        <v>5.7549109800341232E-2</v>
      </c>
      <c r="N185" s="20">
        <f t="shared" si="96"/>
        <v>1.7455347658905417E-3</v>
      </c>
      <c r="O185" s="21">
        <f t="shared" si="97"/>
        <v>0.38031663829880769</v>
      </c>
      <c r="P185" s="22">
        <f t="shared" si="98"/>
        <v>392.45568724758027</v>
      </c>
      <c r="Q185" s="22">
        <f t="shared" si="99"/>
        <v>149.25742765524797</v>
      </c>
      <c r="R185" s="10">
        <v>397.06</v>
      </c>
      <c r="S185" s="10">
        <v>397.06</v>
      </c>
      <c r="T185" s="10">
        <v>68</v>
      </c>
      <c r="U185" s="10">
        <v>877252.32</v>
      </c>
      <c r="V185" s="10">
        <v>880681.02</v>
      </c>
    </row>
    <row r="186" spans="1:22">
      <c r="A186" s="99">
        <v>164</v>
      </c>
      <c r="B186" s="25" t="s">
        <v>205</v>
      </c>
      <c r="C186" s="25" t="s">
        <v>204</v>
      </c>
      <c r="D186" s="29">
        <v>86761451.810000002</v>
      </c>
      <c r="E186" s="29">
        <v>407788.6</v>
      </c>
      <c r="F186" s="29">
        <v>514414.93</v>
      </c>
      <c r="G186" s="10">
        <v>124739.8</v>
      </c>
      <c r="H186" s="12">
        <f>(E186+F186)-G186</f>
        <v>797463.73</v>
      </c>
      <c r="I186" s="10">
        <v>79257779.730000004</v>
      </c>
      <c r="J186" s="13">
        <f t="shared" si="87"/>
        <v>6.4936564407584772E-4</v>
      </c>
      <c r="K186" s="10">
        <v>87044500.609999999</v>
      </c>
      <c r="L186" s="13">
        <f t="shared" si="94"/>
        <v>6.037231984437184E-4</v>
      </c>
      <c r="M186" s="13">
        <f t="shared" si="95"/>
        <v>9.8245508598982734E-2</v>
      </c>
      <c r="N186" s="20">
        <f t="shared" si="96"/>
        <v>1.4330577937242991E-3</v>
      </c>
      <c r="O186" s="21">
        <f t="shared" si="97"/>
        <v>9.1615636187403707E-3</v>
      </c>
      <c r="P186" s="22">
        <f t="shared" si="98"/>
        <v>1.6869416192174267</v>
      </c>
      <c r="Q186" s="22">
        <f t="shared" si="99"/>
        <v>1.5455022965561348E-2</v>
      </c>
      <c r="R186" s="10">
        <v>1.79</v>
      </c>
      <c r="S186" s="10">
        <v>1.79</v>
      </c>
      <c r="T186" s="10">
        <v>29</v>
      </c>
      <c r="U186" s="10">
        <v>50668000</v>
      </c>
      <c r="V186" s="10">
        <v>51599000</v>
      </c>
    </row>
    <row r="187" spans="1:22">
      <c r="A187" s="99">
        <v>165</v>
      </c>
      <c r="B187" s="10" t="s">
        <v>154</v>
      </c>
      <c r="C187" s="10" t="s">
        <v>34</v>
      </c>
      <c r="D187" s="29">
        <v>14066988799.780001</v>
      </c>
      <c r="E187" s="29">
        <v>87081040.010000005</v>
      </c>
      <c r="F187" s="29">
        <v>1280692088.99</v>
      </c>
      <c r="G187" s="10">
        <v>24783983.390000001</v>
      </c>
      <c r="H187" s="12">
        <f t="shared" si="100"/>
        <v>1342989145.6099999</v>
      </c>
      <c r="I187" s="10">
        <v>12183259775.450001</v>
      </c>
      <c r="J187" s="13">
        <f t="shared" si="87"/>
        <v>9.9818470287452457E-2</v>
      </c>
      <c r="K187" s="10">
        <v>13609285823.92</v>
      </c>
      <c r="L187" s="13">
        <f t="shared" si="94"/>
        <v>9.4391276974111621E-2</v>
      </c>
      <c r="M187" s="13">
        <f t="shared" si="95"/>
        <v>0.11704798836708115</v>
      </c>
      <c r="N187" s="20">
        <f t="shared" si="96"/>
        <v>1.8211083013951466E-3</v>
      </c>
      <c r="O187" s="21">
        <f t="shared" si="97"/>
        <v>9.8681823791923792E-2</v>
      </c>
      <c r="P187" s="22">
        <f t="shared" si="98"/>
        <v>8.3190830343737634</v>
      </c>
      <c r="Q187" s="22">
        <f t="shared" si="99"/>
        <v>0.82094228610845454</v>
      </c>
      <c r="R187" s="10">
        <v>7.33</v>
      </c>
      <c r="S187" s="10">
        <v>7.42</v>
      </c>
      <c r="T187" s="10">
        <v>10050</v>
      </c>
      <c r="U187" s="10">
        <v>1664323747.28</v>
      </c>
      <c r="V187" s="10">
        <v>1635911766.6800001</v>
      </c>
    </row>
    <row r="188" spans="1:22">
      <c r="A188" s="99">
        <v>166</v>
      </c>
      <c r="B188" s="25" t="s">
        <v>231</v>
      </c>
      <c r="C188" s="25" t="s">
        <v>232</v>
      </c>
      <c r="D188" s="17">
        <v>165086162.69</v>
      </c>
      <c r="E188" s="17">
        <v>2981417.79</v>
      </c>
      <c r="F188" s="17">
        <v>12437673.119999999</v>
      </c>
      <c r="G188" s="17">
        <v>770447.61</v>
      </c>
      <c r="H188" s="12">
        <f t="shared" si="100"/>
        <v>14648643.300000001</v>
      </c>
      <c r="I188" s="17">
        <v>143122912.43000001</v>
      </c>
      <c r="J188" s="13">
        <f t="shared" si="87"/>
        <v>1.1726180386168394E-3</v>
      </c>
      <c r="K188" s="17">
        <v>162636048.74000001</v>
      </c>
      <c r="L188" s="13">
        <f t="shared" si="94"/>
        <v>1.1280110155090163E-3</v>
      </c>
      <c r="M188" s="13">
        <f t="shared" si="95"/>
        <v>0.13633831214511991</v>
      </c>
      <c r="N188" s="20">
        <f t="shared" si="96"/>
        <v>4.7372499268700562E-3</v>
      </c>
      <c r="O188" s="21">
        <f t="shared" si="97"/>
        <v>9.0070088479696303E-2</v>
      </c>
      <c r="P188" s="22">
        <f t="shared" si="98"/>
        <v>3.3281845644323966</v>
      </c>
      <c r="Q188" s="22">
        <f t="shared" si="99"/>
        <v>0.29976987819518547</v>
      </c>
      <c r="R188" s="17">
        <v>3.3136000000000001</v>
      </c>
      <c r="S188" s="17">
        <v>3.3365</v>
      </c>
      <c r="T188" s="17">
        <v>121</v>
      </c>
      <c r="U188" s="17">
        <v>47299797</v>
      </c>
      <c r="V188" s="17">
        <v>48866295</v>
      </c>
    </row>
    <row r="189" spans="1:22">
      <c r="A189" s="99">
        <v>167</v>
      </c>
      <c r="B189" s="10" t="s">
        <v>155</v>
      </c>
      <c r="C189" s="10" t="s">
        <v>106</v>
      </c>
      <c r="D189" s="29">
        <v>660120837.09000003</v>
      </c>
      <c r="E189" s="29">
        <v>11050552.1</v>
      </c>
      <c r="F189" s="29">
        <v>15032259.35</v>
      </c>
      <c r="G189" s="10">
        <v>2394820.39</v>
      </c>
      <c r="H189" s="12">
        <f t="shared" si="100"/>
        <v>23687991.059999999</v>
      </c>
      <c r="I189" s="10">
        <v>1626033587.3</v>
      </c>
      <c r="J189" s="13">
        <f t="shared" si="87"/>
        <v>1.3322229707960879E-2</v>
      </c>
      <c r="K189" s="10">
        <v>2107216261.9200001</v>
      </c>
      <c r="L189" s="13">
        <f t="shared" si="94"/>
        <v>1.46152293659412E-2</v>
      </c>
      <c r="M189" s="13">
        <f t="shared" si="95"/>
        <v>0.29592419146703819</v>
      </c>
      <c r="N189" s="20">
        <f t="shared" si="96"/>
        <v>1.1364853400561497E-3</v>
      </c>
      <c r="O189" s="21">
        <f t="shared" si="97"/>
        <v>1.1241366863036912E-2</v>
      </c>
      <c r="P189" s="22">
        <f t="shared" si="98"/>
        <v>499.91460259521574</v>
      </c>
      <c r="Q189" s="22">
        <f t="shared" si="99"/>
        <v>5.6197234479621248</v>
      </c>
      <c r="R189" s="10">
        <v>494.72</v>
      </c>
      <c r="S189" s="10">
        <v>499.95</v>
      </c>
      <c r="T189" s="10">
        <v>284</v>
      </c>
      <c r="U189" s="10">
        <v>3657854.37</v>
      </c>
      <c r="V189" s="10">
        <v>4215152.45</v>
      </c>
    </row>
    <row r="190" spans="1:22">
      <c r="A190" s="99">
        <v>168</v>
      </c>
      <c r="B190" s="72" t="s">
        <v>322</v>
      </c>
      <c r="C190" s="73" t="s">
        <v>321</v>
      </c>
      <c r="D190" s="29">
        <v>49805162.5</v>
      </c>
      <c r="E190" s="29">
        <v>0</v>
      </c>
      <c r="F190" s="29">
        <v>543713</v>
      </c>
      <c r="G190" s="10">
        <v>0</v>
      </c>
      <c r="H190" s="12">
        <f t="shared" si="100"/>
        <v>543713</v>
      </c>
      <c r="I190" s="10">
        <v>0</v>
      </c>
      <c r="J190" s="13">
        <f t="shared" si="87"/>
        <v>0</v>
      </c>
      <c r="K190" s="10">
        <v>49371993.75</v>
      </c>
      <c r="L190" s="13">
        <f t="shared" si="94"/>
        <v>3.4243424652227749E-4</v>
      </c>
      <c r="M190" s="13" t="e">
        <f t="shared" si="95"/>
        <v>#DIV/0!</v>
      </c>
      <c r="N190" s="20">
        <f t="shared" si="96"/>
        <v>0</v>
      </c>
      <c r="O190" s="21">
        <f t="shared" si="97"/>
        <v>1.1012579373503627E-2</v>
      </c>
      <c r="P190" s="22">
        <f t="shared" si="98"/>
        <v>49371993.75</v>
      </c>
      <c r="Q190" s="22">
        <f t="shared" si="99"/>
        <v>543713</v>
      </c>
      <c r="R190" s="10">
        <v>1</v>
      </c>
      <c r="S190" s="10">
        <v>1</v>
      </c>
      <c r="T190" s="10">
        <v>1</v>
      </c>
      <c r="U190" s="10">
        <v>50000000</v>
      </c>
      <c r="V190" s="10">
        <v>1</v>
      </c>
    </row>
    <row r="191" spans="1:22">
      <c r="A191" s="99">
        <v>169</v>
      </c>
      <c r="B191" s="25" t="s">
        <v>156</v>
      </c>
      <c r="C191" s="10" t="s">
        <v>30</v>
      </c>
      <c r="D191" s="29">
        <v>2337384083.21</v>
      </c>
      <c r="E191" s="29">
        <v>42588605.049999997</v>
      </c>
      <c r="F191" s="29">
        <v>-2047227.4</v>
      </c>
      <c r="G191" s="10">
        <v>5351641.0999999996</v>
      </c>
      <c r="H191" s="12">
        <f t="shared" si="100"/>
        <v>35189736.549999997</v>
      </c>
      <c r="I191" s="10">
        <v>2658192863.0700002</v>
      </c>
      <c r="J191" s="13">
        <f t="shared" si="87"/>
        <v>2.1778797317885353E-2</v>
      </c>
      <c r="K191" s="10">
        <v>2175791805.7199998</v>
      </c>
      <c r="L191" s="13">
        <f t="shared" si="94"/>
        <v>1.5090855584114906E-2</v>
      </c>
      <c r="M191" s="13">
        <f t="shared" si="95"/>
        <v>-0.18147707190548459</v>
      </c>
      <c r="N191" s="20">
        <f t="shared" si="96"/>
        <v>2.45962921908747E-3</v>
      </c>
      <c r="O191" s="21">
        <f t="shared" si="97"/>
        <v>1.6173301350565213E-2</v>
      </c>
      <c r="P191" s="22">
        <f t="shared" si="98"/>
        <v>2916.8064960386082</v>
      </c>
      <c r="Q191" s="22">
        <f t="shared" si="99"/>
        <v>47.174390441718607</v>
      </c>
      <c r="R191" s="10">
        <v>552.22</v>
      </c>
      <c r="S191" s="10">
        <v>552.22</v>
      </c>
      <c r="T191" s="10">
        <v>823</v>
      </c>
      <c r="U191" s="10">
        <v>745950</v>
      </c>
      <c r="V191" s="10">
        <v>745950</v>
      </c>
    </row>
    <row r="192" spans="1:22">
      <c r="A192" s="99">
        <v>170</v>
      </c>
      <c r="B192" s="113" t="s">
        <v>157</v>
      </c>
      <c r="C192" s="10" t="s">
        <v>76</v>
      </c>
      <c r="D192" s="29">
        <v>81093192.939999998</v>
      </c>
      <c r="E192" s="29">
        <v>873710.86</v>
      </c>
      <c r="F192" s="29">
        <v>34097518.210000001</v>
      </c>
      <c r="G192" s="10">
        <v>33431.300000000003</v>
      </c>
      <c r="H192" s="12">
        <f t="shared" si="100"/>
        <v>34937797.770000003</v>
      </c>
      <c r="I192" s="10">
        <v>52956009.969999999</v>
      </c>
      <c r="J192" s="13">
        <f t="shared" si="87"/>
        <v>4.338730360477139E-4</v>
      </c>
      <c r="K192" s="10">
        <v>81201665.049999997</v>
      </c>
      <c r="L192" s="13">
        <f t="shared" si="94"/>
        <v>5.6319846284820334E-4</v>
      </c>
      <c r="M192" s="13">
        <f t="shared" si="95"/>
        <v>0.53337959366654297</v>
      </c>
      <c r="N192" s="20">
        <f t="shared" si="96"/>
        <v>4.117070749647147E-4</v>
      </c>
      <c r="O192" s="21">
        <f t="shared" si="97"/>
        <v>0.43025962273663998</v>
      </c>
      <c r="P192" s="22">
        <f t="shared" si="98"/>
        <v>4.6110451973570861</v>
      </c>
      <c r="Q192" s="22">
        <f t="shared" si="99"/>
        <v>1.9839465670364556</v>
      </c>
      <c r="R192" s="10">
        <v>3.62</v>
      </c>
      <c r="S192" s="10">
        <v>3.62</v>
      </c>
      <c r="T192" s="10">
        <v>8</v>
      </c>
      <c r="U192" s="10">
        <v>16811285.789999999</v>
      </c>
      <c r="V192" s="10">
        <v>17610251.379999999</v>
      </c>
    </row>
    <row r="193" spans="1:22">
      <c r="A193" s="99">
        <v>171</v>
      </c>
      <c r="B193" s="10" t="s">
        <v>158</v>
      </c>
      <c r="C193" s="10" t="s">
        <v>39</v>
      </c>
      <c r="D193" s="29">
        <v>668722856.17999995</v>
      </c>
      <c r="E193" s="29">
        <v>11732409.43</v>
      </c>
      <c r="F193" s="29">
        <v>224137796.63</v>
      </c>
      <c r="G193" s="10">
        <v>844374.68</v>
      </c>
      <c r="H193" s="12">
        <f t="shared" si="100"/>
        <v>235025831.38</v>
      </c>
      <c r="I193" s="10">
        <v>565476869.04999995</v>
      </c>
      <c r="J193" s="13">
        <f t="shared" si="87"/>
        <v>4.6329994674536284E-3</v>
      </c>
      <c r="K193" s="10">
        <v>690845140.98000002</v>
      </c>
      <c r="L193" s="13">
        <f t="shared" si="94"/>
        <v>4.7915633408072136E-3</v>
      </c>
      <c r="M193" s="13">
        <f t="shared" si="95"/>
        <v>0.22170362536776883</v>
      </c>
      <c r="N193" s="20">
        <f t="shared" si="96"/>
        <v>1.222234376291929E-3</v>
      </c>
      <c r="O193" s="21">
        <f t="shared" si="97"/>
        <v>0.34020045512168406</v>
      </c>
      <c r="P193" s="22">
        <f t="shared" si="98"/>
        <v>4.4759465422820943</v>
      </c>
      <c r="Q193" s="22">
        <f t="shared" si="99"/>
        <v>1.5227190507846966</v>
      </c>
      <c r="R193" s="10">
        <v>4.76</v>
      </c>
      <c r="S193" s="10">
        <v>4.8099999999999996</v>
      </c>
      <c r="T193" s="10">
        <v>137</v>
      </c>
      <c r="U193" s="10">
        <v>132487762.54000001</v>
      </c>
      <c r="V193" s="10">
        <v>154346155.49000001</v>
      </c>
    </row>
    <row r="194" spans="1:22">
      <c r="A194" s="99">
        <v>172</v>
      </c>
      <c r="B194" s="10" t="s">
        <v>292</v>
      </c>
      <c r="C194" s="10" t="s">
        <v>281</v>
      </c>
      <c r="D194" s="29">
        <v>233562191.91999999</v>
      </c>
      <c r="E194" s="29">
        <v>1742182.29</v>
      </c>
      <c r="F194" s="29">
        <v>24899861.399999999</v>
      </c>
      <c r="G194" s="10">
        <v>331790</v>
      </c>
      <c r="H194" s="12">
        <f t="shared" ref="H194" si="102">(E194+F194)-G194</f>
        <v>26310253.689999998</v>
      </c>
      <c r="I194" s="10">
        <v>204653810.66</v>
      </c>
      <c r="J194" s="13">
        <f t="shared" si="87"/>
        <v>1.6767458541549973E-3</v>
      </c>
      <c r="K194" s="10">
        <v>233811647.09</v>
      </c>
      <c r="L194" s="13">
        <f t="shared" si="94"/>
        <v>1.6216706905703359E-3</v>
      </c>
      <c r="M194" s="13">
        <f t="shared" si="95"/>
        <v>0.14247394825421136</v>
      </c>
      <c r="N194" s="20">
        <f t="shared" si="96"/>
        <v>1.419048213078477E-3</v>
      </c>
      <c r="O194" s="21">
        <f t="shared" si="97"/>
        <v>0.11252755804706563</v>
      </c>
      <c r="P194" s="22">
        <f t="shared" si="98"/>
        <v>138.4634230341523</v>
      </c>
      <c r="Q194" s="22">
        <f t="shared" si="99"/>
        <v>15.580950872870977</v>
      </c>
      <c r="R194" s="10">
        <v>137.9</v>
      </c>
      <c r="S194" s="10">
        <v>138.85</v>
      </c>
      <c r="T194" s="10">
        <v>114</v>
      </c>
      <c r="U194" s="10">
        <v>1666254.12</v>
      </c>
      <c r="V194" s="10">
        <v>1688616.69</v>
      </c>
    </row>
    <row r="195" spans="1:22">
      <c r="A195" s="99">
        <v>173</v>
      </c>
      <c r="B195" s="25" t="s">
        <v>159</v>
      </c>
      <c r="C195" s="25" t="s">
        <v>43</v>
      </c>
      <c r="D195" s="29">
        <v>13091505797.389999</v>
      </c>
      <c r="E195" s="29">
        <v>250930880.19999999</v>
      </c>
      <c r="F195" s="29">
        <v>1498654172.1800001</v>
      </c>
      <c r="G195" s="10">
        <v>31294043.670000002</v>
      </c>
      <c r="H195" s="12">
        <f t="shared" si="100"/>
        <v>1718291008.71</v>
      </c>
      <c r="I195" s="10">
        <v>10632177207.83</v>
      </c>
      <c r="J195" s="13">
        <f t="shared" si="87"/>
        <v>8.7110320576867808E-2</v>
      </c>
      <c r="K195" s="10">
        <v>13443064702.879999</v>
      </c>
      <c r="L195" s="13">
        <f t="shared" si="94"/>
        <v>9.3238400616157749E-2</v>
      </c>
      <c r="M195" s="13">
        <f t="shared" si="95"/>
        <v>0.26437553100412386</v>
      </c>
      <c r="N195" s="20">
        <f t="shared" si="96"/>
        <v>2.3278950419167192E-3</v>
      </c>
      <c r="O195" s="21">
        <f t="shared" si="97"/>
        <v>0.12781988681062278</v>
      </c>
      <c r="P195" s="22">
        <f t="shared" si="98"/>
        <v>13733.032605114937</v>
      </c>
      <c r="Q195" s="22">
        <f t="shared" si="99"/>
        <v>1755.3546731523836</v>
      </c>
      <c r="R195" s="10">
        <v>13656.95</v>
      </c>
      <c r="S195" s="10">
        <v>13785.18</v>
      </c>
      <c r="T195" s="10">
        <v>6940</v>
      </c>
      <c r="U195" s="10">
        <v>894737.97</v>
      </c>
      <c r="V195" s="10">
        <v>978885.37</v>
      </c>
    </row>
    <row r="196" spans="1:22">
      <c r="A196" s="99">
        <v>174</v>
      </c>
      <c r="B196" s="25" t="s">
        <v>276</v>
      </c>
      <c r="C196" s="25" t="s">
        <v>274</v>
      </c>
      <c r="D196" s="29">
        <v>219931099.49399999</v>
      </c>
      <c r="E196" s="29">
        <v>6874233.2000000002</v>
      </c>
      <c r="F196" s="29">
        <v>40043954.600000001</v>
      </c>
      <c r="G196" s="10">
        <v>1670848.87</v>
      </c>
      <c r="H196" s="12">
        <f t="shared" si="100"/>
        <v>45247338.930000007</v>
      </c>
      <c r="I196" s="10">
        <v>193047891.72999999</v>
      </c>
      <c r="J196" s="13">
        <f t="shared" si="87"/>
        <v>1.5816575858897826E-3</v>
      </c>
      <c r="K196" s="10">
        <v>227581991.90000001</v>
      </c>
      <c r="L196" s="13">
        <f t="shared" si="94"/>
        <v>1.5784630516023179E-3</v>
      </c>
      <c r="M196" s="13">
        <f t="shared" si="95"/>
        <v>0.17888877138477113</v>
      </c>
      <c r="N196" s="20">
        <f t="shared" si="96"/>
        <v>7.3417446435488382E-3</v>
      </c>
      <c r="O196" s="21">
        <f t="shared" si="97"/>
        <v>0.19881774718749179</v>
      </c>
      <c r="P196" s="22">
        <f t="shared" si="98"/>
        <v>1855.9541035815246</v>
      </c>
      <c r="Q196" s="22">
        <f t="shared" si="99"/>
        <v>368.99661375745956</v>
      </c>
      <c r="R196" s="10">
        <v>1835.9449999999999</v>
      </c>
      <c r="S196" s="10">
        <v>1868.8171</v>
      </c>
      <c r="T196" s="10">
        <v>81</v>
      </c>
      <c r="U196" s="10">
        <v>115351.84</v>
      </c>
      <c r="V196" s="10">
        <v>122622.64</v>
      </c>
    </row>
    <row r="197" spans="1:22">
      <c r="A197" s="99">
        <v>175</v>
      </c>
      <c r="B197" s="25" t="s">
        <v>203</v>
      </c>
      <c r="C197" s="25" t="s">
        <v>204</v>
      </c>
      <c r="D197" s="29">
        <v>805530963.20000005</v>
      </c>
      <c r="E197" s="29">
        <v>12762661.810000001</v>
      </c>
      <c r="F197" s="29">
        <v>0</v>
      </c>
      <c r="G197" s="10">
        <v>1245502.97</v>
      </c>
      <c r="H197" s="12">
        <f t="shared" si="100"/>
        <v>11517158.84</v>
      </c>
      <c r="I197" s="10">
        <v>803334433.34000003</v>
      </c>
      <c r="J197" s="13">
        <f t="shared" si="87"/>
        <v>6.5817864629972925E-3</v>
      </c>
      <c r="K197" s="10">
        <v>803966140.60000002</v>
      </c>
      <c r="L197" s="13">
        <f t="shared" si="94"/>
        <v>5.5761479064390515E-3</v>
      </c>
      <c r="M197" s="13">
        <f t="shared" si="95"/>
        <v>7.8635650830197786E-4</v>
      </c>
      <c r="N197" s="20">
        <f t="shared" si="96"/>
        <v>1.5491982897071772E-3</v>
      </c>
      <c r="O197" s="21">
        <f t="shared" si="97"/>
        <v>1.4325427724362549E-2</v>
      </c>
      <c r="P197" s="22">
        <f t="shared" si="98"/>
        <v>1.5293249773635154</v>
      </c>
      <c r="Q197" s="22">
        <f t="shared" si="99"/>
        <v>2.1908234430283433E-2</v>
      </c>
      <c r="R197" s="10">
        <v>1.6</v>
      </c>
      <c r="S197" s="10">
        <v>1.6</v>
      </c>
      <c r="T197" s="10">
        <v>47</v>
      </c>
      <c r="U197" s="10">
        <v>525700000</v>
      </c>
      <c r="V197" s="10">
        <v>525700000</v>
      </c>
    </row>
    <row r="198" spans="1:22">
      <c r="A198" s="99">
        <v>176</v>
      </c>
      <c r="B198" s="25" t="s">
        <v>160</v>
      </c>
      <c r="C198" s="25" t="s">
        <v>47</v>
      </c>
      <c r="D198" s="29">
        <v>6518490737.878767</v>
      </c>
      <c r="E198" s="29">
        <v>90173845</v>
      </c>
      <c r="F198" s="29">
        <v>745110040.96999979</v>
      </c>
      <c r="G198" s="10">
        <v>10738214</v>
      </c>
      <c r="H198" s="12">
        <f t="shared" si="100"/>
        <v>824545671.96999979</v>
      </c>
      <c r="I198" s="10">
        <v>5883474294.3500004</v>
      </c>
      <c r="J198" s="13">
        <f t="shared" si="87"/>
        <v>4.8203798889765864E-2</v>
      </c>
      <c r="K198" s="10">
        <v>8241633617.7587671</v>
      </c>
      <c r="L198" s="13">
        <f t="shared" si="94"/>
        <v>5.716231781727258E-2</v>
      </c>
      <c r="M198" s="13">
        <f t="shared" si="95"/>
        <v>0.40081067842403034</v>
      </c>
      <c r="N198" s="20">
        <f t="shared" si="96"/>
        <v>1.3029230002243358E-3</v>
      </c>
      <c r="O198" s="21">
        <f t="shared" si="97"/>
        <v>0.10004638767165035</v>
      </c>
      <c r="P198" s="22">
        <f t="shared" si="98"/>
        <v>3.1635696061315506</v>
      </c>
      <c r="Q198" s="22">
        <f t="shared" si="99"/>
        <v>0.31650371124128729</v>
      </c>
      <c r="R198" s="10">
        <v>3.16</v>
      </c>
      <c r="S198" s="10">
        <v>3.17</v>
      </c>
      <c r="T198" s="10">
        <v>1700</v>
      </c>
      <c r="U198" s="10">
        <v>2142301955.4900002</v>
      </c>
      <c r="V198" s="10">
        <v>2605169047.5799999</v>
      </c>
    </row>
    <row r="199" spans="1:22">
      <c r="A199" s="99">
        <v>177</v>
      </c>
      <c r="B199" s="25" t="s">
        <v>304</v>
      </c>
      <c r="C199" s="25" t="s">
        <v>47</v>
      </c>
      <c r="D199" s="29">
        <v>3426306959.4699998</v>
      </c>
      <c r="E199" s="29">
        <v>72891300</v>
      </c>
      <c r="F199" s="29">
        <v>542259986.41999984</v>
      </c>
      <c r="G199" s="10">
        <v>6470668.0499999998</v>
      </c>
      <c r="H199" s="12">
        <f>(E199+F199)-G199</f>
        <v>608680618.36999989</v>
      </c>
      <c r="I199" s="10">
        <v>3775907229</v>
      </c>
      <c r="J199" s="13">
        <f t="shared" si="87"/>
        <v>3.0936324964981884E-2</v>
      </c>
      <c r="K199" s="10">
        <v>4940561257.0799999</v>
      </c>
      <c r="L199" s="13">
        <f t="shared" si="94"/>
        <v>3.4266741992070068E-2</v>
      </c>
      <c r="M199" s="13">
        <f t="shared" si="95"/>
        <v>0.30844349647553271</v>
      </c>
      <c r="N199" s="20">
        <f t="shared" si="96"/>
        <v>1.3097030303444376E-3</v>
      </c>
      <c r="O199" s="21">
        <f t="shared" si="97"/>
        <v>0.1232007026525051</v>
      </c>
      <c r="P199" s="22">
        <f t="shared" si="98"/>
        <v>2.5967634838666411</v>
      </c>
      <c r="Q199" s="22">
        <f t="shared" si="99"/>
        <v>0.31992308583473728</v>
      </c>
      <c r="R199" s="10">
        <v>2.6</v>
      </c>
      <c r="S199" s="10">
        <v>2.62</v>
      </c>
      <c r="T199" s="10">
        <v>649</v>
      </c>
      <c r="U199" s="10">
        <v>1688147379.5500002</v>
      </c>
      <c r="V199" s="10">
        <v>1902584231.4000001</v>
      </c>
    </row>
    <row r="200" spans="1:22">
      <c r="A200" s="99">
        <v>178</v>
      </c>
      <c r="B200" s="148" t="s">
        <v>161</v>
      </c>
      <c r="C200" s="25" t="s">
        <v>83</v>
      </c>
      <c r="D200" s="29">
        <v>12138506270.07</v>
      </c>
      <c r="E200" s="29">
        <v>194632476.87</v>
      </c>
      <c r="F200" s="29">
        <v>-1105427591.6900001</v>
      </c>
      <c r="G200" s="10">
        <v>18344242.940000001</v>
      </c>
      <c r="H200" s="12">
        <f t="shared" si="100"/>
        <v>-929139357.76000011</v>
      </c>
      <c r="I200" s="10">
        <v>12839294301.309999</v>
      </c>
      <c r="J200" s="13">
        <f t="shared" si="87"/>
        <v>0.1051934162406738</v>
      </c>
      <c r="K200" s="10">
        <v>14120852180.940001</v>
      </c>
      <c r="L200" s="13">
        <f t="shared" si="94"/>
        <v>9.7939398625818061E-2</v>
      </c>
      <c r="M200" s="13">
        <f t="shared" si="95"/>
        <v>9.98152896533607E-2</v>
      </c>
      <c r="N200" s="20">
        <f t="shared" si="96"/>
        <v>1.2990889434251452E-3</v>
      </c>
      <c r="O200" s="21">
        <f t="shared" si="97"/>
        <v>-6.5799099505774228E-2</v>
      </c>
      <c r="P200" s="22">
        <f t="shared" si="98"/>
        <v>899.98759602198902</v>
      </c>
      <c r="Q200" s="22">
        <f t="shared" si="99"/>
        <v>-59.218373384613393</v>
      </c>
      <c r="R200" s="10">
        <v>893.33</v>
      </c>
      <c r="S200" s="10">
        <v>903.4</v>
      </c>
      <c r="T200" s="10">
        <v>42</v>
      </c>
      <c r="U200" s="10">
        <v>15690052</v>
      </c>
      <c r="V200" s="10">
        <v>15690052</v>
      </c>
    </row>
    <row r="201" spans="1:22">
      <c r="A201" s="99">
        <v>179</v>
      </c>
      <c r="B201" s="25" t="s">
        <v>162</v>
      </c>
      <c r="C201" s="25" t="s">
        <v>86</v>
      </c>
      <c r="D201" s="29">
        <v>7735199838.9300003</v>
      </c>
      <c r="E201" s="29">
        <v>33943076.600000001</v>
      </c>
      <c r="F201" s="29">
        <v>196722571.30000001</v>
      </c>
      <c r="G201" s="10">
        <v>70267820.680000007</v>
      </c>
      <c r="H201" s="12">
        <f t="shared" si="100"/>
        <v>160397827.22</v>
      </c>
      <c r="I201" s="10">
        <v>7197123908.71</v>
      </c>
      <c r="J201" s="13">
        <f t="shared" si="87"/>
        <v>5.8966640478627388E-2</v>
      </c>
      <c r="K201" s="10">
        <v>7869147282.75</v>
      </c>
      <c r="L201" s="13">
        <f t="shared" si="94"/>
        <v>5.4578827304119629E-2</v>
      </c>
      <c r="M201" s="13">
        <f t="shared" si="95"/>
        <v>9.3373878588739245E-2</v>
      </c>
      <c r="N201" s="20">
        <f t="shared" si="96"/>
        <v>8.9295343135887759E-3</v>
      </c>
      <c r="O201" s="21">
        <f t="shared" si="97"/>
        <v>2.0383126844201904E-2</v>
      </c>
      <c r="P201" s="22">
        <f t="shared" si="98"/>
        <v>45.814916842713991</v>
      </c>
      <c r="Q201" s="22">
        <f t="shared" si="99"/>
        <v>0.93385126136160146</v>
      </c>
      <c r="R201" s="10">
        <v>45.814999999999998</v>
      </c>
      <c r="S201" s="10">
        <v>46.814999999999998</v>
      </c>
      <c r="T201" s="10">
        <v>6297</v>
      </c>
      <c r="U201" s="10">
        <v>170844032.93000001</v>
      </c>
      <c r="V201" s="10">
        <v>171759501.59999999</v>
      </c>
    </row>
    <row r="202" spans="1:22" ht="15" customHeight="1">
      <c r="A202" s="125" t="s">
        <v>48</v>
      </c>
      <c r="B202" s="125"/>
      <c r="C202" s="125"/>
      <c r="D202" s="125"/>
      <c r="E202" s="125"/>
      <c r="F202" s="125"/>
      <c r="G202" s="125"/>
      <c r="H202" s="125"/>
      <c r="I202" s="36">
        <f>SUM(I172:I201)</f>
        <v>122054162324.52002</v>
      </c>
      <c r="J202" s="34">
        <f>(I202/$I$247)</f>
        <v>1.4190324456810118E-2</v>
      </c>
      <c r="K202" s="36">
        <f>SUM(K172:K201)</f>
        <v>144179486285.0788</v>
      </c>
      <c r="L202" s="34">
        <f>(K202/$K$247)</f>
        <v>1.6237409780738763E-2</v>
      </c>
      <c r="M202" s="34">
        <f t="shared" si="89"/>
        <v>0.18127463692497048</v>
      </c>
      <c r="N202" s="20"/>
      <c r="O202" s="20"/>
      <c r="P202" s="35"/>
      <c r="Q202" s="35"/>
      <c r="R202" s="36"/>
      <c r="S202" s="36"/>
      <c r="T202" s="36">
        <f>SUM(T172:T201)</f>
        <v>89639</v>
      </c>
      <c r="U202" s="36"/>
      <c r="V202" s="39"/>
    </row>
    <row r="203" spans="1:22" ht="6" customHeight="1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</row>
    <row r="204" spans="1:22">
      <c r="A204" s="130" t="s">
        <v>163</v>
      </c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</row>
    <row r="205" spans="1:22">
      <c r="A205" s="99">
        <v>180</v>
      </c>
      <c r="B205" s="10" t="s">
        <v>305</v>
      </c>
      <c r="C205" s="25" t="s">
        <v>306</v>
      </c>
      <c r="D205" s="10">
        <v>469173671.51999998</v>
      </c>
      <c r="E205" s="10">
        <v>7889798.1699999999</v>
      </c>
      <c r="F205" s="25">
        <v>0</v>
      </c>
      <c r="G205" s="10">
        <v>1601360.35</v>
      </c>
      <c r="H205" s="12">
        <f>(E205+F205)-G205</f>
        <v>6288437.8200000003</v>
      </c>
      <c r="I205" s="10">
        <v>594744908.17999995</v>
      </c>
      <c r="J205" s="13">
        <f t="shared" ref="J205:J207" si="103">(I205/$I$208)</f>
        <v>3.9945603552141516E-2</v>
      </c>
      <c r="K205" s="10">
        <v>599890716.47000003</v>
      </c>
      <c r="L205" s="13">
        <f t="shared" ref="L205" si="104">(K205/$K$208)</f>
        <v>3.0718753828522165E-2</v>
      </c>
      <c r="M205" s="13">
        <f t="shared" ref="M205" si="105">((K205-I205)/I205)</f>
        <v>8.6521266836011284E-3</v>
      </c>
      <c r="N205" s="20">
        <f t="shared" ref="N205" si="106">(G205/K205)</f>
        <v>2.66942012275678E-3</v>
      </c>
      <c r="O205" s="21">
        <f t="shared" ref="O205" si="107">H205/K205</f>
        <v>1.0482638999655998E-2</v>
      </c>
      <c r="P205" s="22">
        <f t="shared" ref="P205" si="108">K205/V205</f>
        <v>1039.1766774414275</v>
      </c>
      <c r="Q205" s="22">
        <f t="shared" ref="Q205" si="109">H205/V205</f>
        <v>10.893313966480447</v>
      </c>
      <c r="R205" s="10">
        <v>1000</v>
      </c>
      <c r="S205" s="10">
        <v>1000</v>
      </c>
      <c r="T205" s="10">
        <v>35</v>
      </c>
      <c r="U205" s="10">
        <v>578775</v>
      </c>
      <c r="V205" s="10">
        <v>577275</v>
      </c>
    </row>
    <row r="206" spans="1:22">
      <c r="A206" s="112">
        <v>181</v>
      </c>
      <c r="B206" s="114" t="s">
        <v>164</v>
      </c>
      <c r="C206" s="25" t="s">
        <v>43</v>
      </c>
      <c r="D206" s="10">
        <v>16429386837.51</v>
      </c>
      <c r="E206" s="10">
        <v>332670562.26999998</v>
      </c>
      <c r="F206" s="25">
        <v>2665233443.8200002</v>
      </c>
      <c r="G206" s="10">
        <v>65159020.43</v>
      </c>
      <c r="H206" s="12">
        <f>(E206+F206)-G206</f>
        <v>2932744985.6600003</v>
      </c>
      <c r="I206" s="10">
        <v>12518507604.719999</v>
      </c>
      <c r="J206" s="13">
        <f t="shared" si="103"/>
        <v>0.84079633968260981</v>
      </c>
      <c r="K206" s="10">
        <v>16999668422.290001</v>
      </c>
      <c r="L206" s="13">
        <f t="shared" ref="L206:L207" si="110">(K206/$K$208)</f>
        <v>0.870506269047995</v>
      </c>
      <c r="M206" s="13">
        <f t="shared" ref="M206:M207" si="111">((K206-I206)/I206)</f>
        <v>0.3579628625923762</v>
      </c>
      <c r="N206" s="20">
        <f t="shared" ref="N206:N207" si="112">(G206/K206)</f>
        <v>3.8329583149141516E-3</v>
      </c>
      <c r="O206" s="21">
        <f t="shared" ref="O206:O207" si="113">H206/K206</f>
        <v>0.17251777580641389</v>
      </c>
      <c r="P206" s="22">
        <f t="shared" ref="P206:P207" si="114">K206/V206</f>
        <v>7.2397426986962001</v>
      </c>
      <c r="Q206" s="22">
        <f t="shared" ref="Q206:Q207" si="115">H206/V206</f>
        <v>1.2489843077897931</v>
      </c>
      <c r="R206" s="10">
        <v>7.18</v>
      </c>
      <c r="S206" s="10">
        <v>7.18</v>
      </c>
      <c r="T206" s="10">
        <v>15184</v>
      </c>
      <c r="U206" s="10">
        <v>2114022800.8800001</v>
      </c>
      <c r="V206" s="10">
        <v>2348103949.2399998</v>
      </c>
    </row>
    <row r="207" spans="1:22">
      <c r="A207" s="99">
        <v>182</v>
      </c>
      <c r="B207" s="10" t="s">
        <v>165</v>
      </c>
      <c r="C207" s="25" t="s">
        <v>86</v>
      </c>
      <c r="D207" s="10">
        <v>1886904749.74</v>
      </c>
      <c r="E207" s="10">
        <v>12630107.9</v>
      </c>
      <c r="F207" s="10">
        <v>41404936.090000004</v>
      </c>
      <c r="G207" s="10">
        <v>16257251.66</v>
      </c>
      <c r="H207" s="12">
        <f>(E207+F207)-G207</f>
        <v>37777792.329999998</v>
      </c>
      <c r="I207" s="10">
        <v>1775617732.95</v>
      </c>
      <c r="J207" s="13">
        <f t="shared" si="103"/>
        <v>0.11925805676524859</v>
      </c>
      <c r="K207" s="10">
        <v>1928925636.98</v>
      </c>
      <c r="L207" s="13">
        <f t="shared" si="110"/>
        <v>9.8774977123482766E-2</v>
      </c>
      <c r="M207" s="13">
        <f t="shared" si="111"/>
        <v>8.6340602025468172E-2</v>
      </c>
      <c r="N207" s="20">
        <f t="shared" si="112"/>
        <v>8.4281381035782067E-3</v>
      </c>
      <c r="O207" s="21">
        <f t="shared" si="113"/>
        <v>1.9584887880460939E-2</v>
      </c>
      <c r="P207" s="22">
        <f t="shared" si="114"/>
        <v>52.962801668535235</v>
      </c>
      <c r="Q207" s="22">
        <f t="shared" si="115"/>
        <v>1.0372705325133522</v>
      </c>
      <c r="R207" s="10">
        <v>52.961300000000001</v>
      </c>
      <c r="S207" s="10">
        <v>53.509300000000003</v>
      </c>
      <c r="T207" s="10">
        <v>1549</v>
      </c>
      <c r="U207" s="10">
        <v>36483965.039999999</v>
      </c>
      <c r="V207" s="10">
        <v>36420385.18</v>
      </c>
    </row>
    <row r="208" spans="1:22" ht="15" customHeight="1">
      <c r="A208" s="125" t="s">
        <v>48</v>
      </c>
      <c r="B208" s="125"/>
      <c r="C208" s="125"/>
      <c r="D208" s="125"/>
      <c r="E208" s="125"/>
      <c r="F208" s="125"/>
      <c r="G208" s="125"/>
      <c r="H208" s="125"/>
      <c r="I208" s="36">
        <f>SUM(I205:I207)</f>
        <v>14888870245.85</v>
      </c>
      <c r="J208" s="34">
        <f>(I208/$I$247)</f>
        <v>1.7310175708896178E-3</v>
      </c>
      <c r="K208" s="36">
        <f>SUM(K205:K207)</f>
        <v>19528484775.740002</v>
      </c>
      <c r="L208" s="34">
        <f>(K208/$K$247)</f>
        <v>2.1992865827919427E-3</v>
      </c>
      <c r="M208" s="34">
        <f t="shared" ref="M208" si="116">((K208-I208)/I208)</f>
        <v>0.31161629144986397</v>
      </c>
      <c r="N208" s="20"/>
      <c r="O208" s="40"/>
      <c r="P208" s="35"/>
      <c r="Q208" s="35"/>
      <c r="R208" s="36"/>
      <c r="S208" s="36"/>
      <c r="T208" s="36">
        <f>SUM(T205:T207)</f>
        <v>16768</v>
      </c>
      <c r="U208" s="36"/>
      <c r="V208" s="39"/>
    </row>
    <row r="209" spans="1:22" ht="4.9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</row>
    <row r="210" spans="1:22">
      <c r="A210" s="130" t="s">
        <v>166</v>
      </c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</row>
    <row r="211" spans="1:22" ht="13.2" customHeight="1">
      <c r="A211" s="143" t="s">
        <v>167</v>
      </c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</row>
    <row r="212" spans="1:22" ht="15" customHeight="1">
      <c r="A212" s="103">
        <v>183</v>
      </c>
      <c r="B212" s="77" t="s">
        <v>168</v>
      </c>
      <c r="C212" s="19" t="s">
        <v>108</v>
      </c>
      <c r="D212" s="69">
        <v>12595266300.35</v>
      </c>
      <c r="E212" s="29">
        <v>83123229.040000007</v>
      </c>
      <c r="F212" s="29">
        <v>2192378672.6700001</v>
      </c>
      <c r="G212" s="17">
        <v>41953245.530000001</v>
      </c>
      <c r="H212" s="12">
        <f>(E212+F212)-G212</f>
        <v>2233548656.1799998</v>
      </c>
      <c r="I212" s="29">
        <v>13519212301.6</v>
      </c>
      <c r="J212" s="13">
        <f>(I212/$I$236)</f>
        <v>0.11883305839776409</v>
      </c>
      <c r="K212" s="29">
        <v>16708578408.42</v>
      </c>
      <c r="L212" s="13">
        <f>(K212/$K$236)</f>
        <v>0.12495102288054521</v>
      </c>
      <c r="M212" s="13">
        <f>((K212-I212)/I212)</f>
        <v>0.23591360470332565</v>
      </c>
      <c r="N212" s="20">
        <f>(G212/K212)</f>
        <v>2.5108806090204769E-3</v>
      </c>
      <c r="O212" s="21">
        <f>H212/K212</f>
        <v>0.13367676181562169</v>
      </c>
      <c r="P212" s="22">
        <f>K212/V212</f>
        <v>4.2802959375781366</v>
      </c>
      <c r="Q212" s="22">
        <f>H212/V212</f>
        <v>0.57217610054800572</v>
      </c>
      <c r="R212" s="29">
        <v>4.24</v>
      </c>
      <c r="S212" s="29">
        <v>4.22</v>
      </c>
      <c r="T212" s="29">
        <v>16344</v>
      </c>
      <c r="U212" s="10">
        <v>3656094539.2399998</v>
      </c>
      <c r="V212" s="10">
        <v>3903603548</v>
      </c>
    </row>
    <row r="213" spans="1:22">
      <c r="A213" s="103">
        <v>184</v>
      </c>
      <c r="B213" s="19" t="s">
        <v>169</v>
      </c>
      <c r="C213" s="19" t="s">
        <v>43</v>
      </c>
      <c r="D213" s="17">
        <v>31910927688.18</v>
      </c>
      <c r="E213" s="17">
        <v>302271660.25999999</v>
      </c>
      <c r="F213" s="17">
        <v>5871471364.0900002</v>
      </c>
      <c r="G213" s="17">
        <v>63037735.149999999</v>
      </c>
      <c r="H213" s="12">
        <f>(E213+F213)-G213</f>
        <v>6110705289.2000008</v>
      </c>
      <c r="I213" s="17">
        <v>21597398432.900002</v>
      </c>
      <c r="J213" s="13">
        <f>(I213/$I$236)</f>
        <v>0.1898398258686152</v>
      </c>
      <c r="K213" s="17">
        <v>33994011307.759998</v>
      </c>
      <c r="L213" s="13">
        <f>(K213/$K$236)</f>
        <v>0.25421591118589326</v>
      </c>
      <c r="M213" s="13">
        <f>((K213-I213)/I213)</f>
        <v>0.57398639532323692</v>
      </c>
      <c r="N213" s="20">
        <f>(G213/K213)</f>
        <v>1.854377660208933E-3</v>
      </c>
      <c r="O213" s="21">
        <f>H213/K213</f>
        <v>0.17975828841961575</v>
      </c>
      <c r="P213" s="22">
        <f>K213/V213</f>
        <v>1571.4103182259091</v>
      </c>
      <c r="Q213" s="22">
        <f>H213/V213</f>
        <v>282.47402920921314</v>
      </c>
      <c r="R213" s="17">
        <v>1559.87</v>
      </c>
      <c r="S213" s="17">
        <v>1579.32</v>
      </c>
      <c r="T213" s="17">
        <v>7027</v>
      </c>
      <c r="U213" s="17">
        <v>17147026.559999999</v>
      </c>
      <c r="V213" s="17">
        <v>21632803.93</v>
      </c>
    </row>
    <row r="214" spans="1:22" ht="7.2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</row>
    <row r="215" spans="1:22">
      <c r="A215" s="144" t="s">
        <v>128</v>
      </c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</row>
    <row r="216" spans="1:22">
      <c r="A216" s="102">
        <v>185</v>
      </c>
      <c r="B216" s="75" t="s">
        <v>248</v>
      </c>
      <c r="C216" s="76" t="s">
        <v>55</v>
      </c>
      <c r="D216" s="50">
        <v>891426309</v>
      </c>
      <c r="E216" s="50">
        <v>20690143</v>
      </c>
      <c r="F216" s="10">
        <v>0</v>
      </c>
      <c r="G216" s="50">
        <v>4693716</v>
      </c>
      <c r="H216" s="50">
        <f>(E216+F216)-G216</f>
        <v>15996427</v>
      </c>
      <c r="I216" s="50">
        <v>1528381403</v>
      </c>
      <c r="J216" s="13">
        <f t="shared" ref="J216:J229" si="117">(I216/$I$236)</f>
        <v>1.3434380085536537E-2</v>
      </c>
      <c r="K216" s="50">
        <v>1492193185</v>
      </c>
      <c r="L216" s="13">
        <f t="shared" ref="L216" si="118">(K216/$K$236)</f>
        <v>1.1159002294723639E-2</v>
      </c>
      <c r="M216" s="13">
        <f t="shared" ref="M216:M236" si="119">((K216-I216)/I216)</f>
        <v>-2.3677478624751364E-2</v>
      </c>
      <c r="N216" s="20">
        <f>(G216/K216)</f>
        <v>3.1455149689616092E-3</v>
      </c>
      <c r="O216" s="21">
        <f>H216/K216</f>
        <v>1.0720077775988502E-2</v>
      </c>
      <c r="P216" s="22">
        <f>K216/V216</f>
        <v>1.1763624470640985</v>
      </c>
      <c r="Q216" s="22">
        <f>H216/V216</f>
        <v>1.2610696925279294E-2</v>
      </c>
      <c r="R216" s="50">
        <v>1.1763999999999999</v>
      </c>
      <c r="S216" s="50">
        <v>1.1763999999999999</v>
      </c>
      <c r="T216" s="50">
        <v>905</v>
      </c>
      <c r="U216" s="50">
        <v>1303266444</v>
      </c>
      <c r="V216" s="50">
        <v>1268480806</v>
      </c>
    </row>
    <row r="217" spans="1:22">
      <c r="A217" s="102">
        <v>186</v>
      </c>
      <c r="B217" s="75" t="s">
        <v>170</v>
      </c>
      <c r="C217" s="76" t="s">
        <v>171</v>
      </c>
      <c r="D217" s="50">
        <v>306727572.81517786</v>
      </c>
      <c r="E217" s="50">
        <v>3832310.9640584872</v>
      </c>
      <c r="F217" s="10">
        <v>0</v>
      </c>
      <c r="G217" s="50">
        <v>864211.82983561896</v>
      </c>
      <c r="H217" s="50">
        <f>(E217+F217)-G217</f>
        <v>2968099.1342228684</v>
      </c>
      <c r="I217" s="50">
        <v>371320825</v>
      </c>
      <c r="J217" s="13">
        <f t="shared" si="117"/>
        <v>3.2638875917577474E-3</v>
      </c>
      <c r="K217" s="50">
        <v>373458551.10190916</v>
      </c>
      <c r="L217" s="13">
        <f t="shared" ref="L217:L229" si="120">(K217/$K$236)</f>
        <v>2.7928185643941068E-3</v>
      </c>
      <c r="M217" s="13">
        <f t="shared" ref="M217:M229" si="121">((K217-I217)/I217)</f>
        <v>5.7570864815060145E-3</v>
      </c>
      <c r="N217" s="20">
        <f t="shared" ref="N217:N229" si="122">(G217/K217)</f>
        <v>2.3140769632552698E-3</v>
      </c>
      <c r="O217" s="21">
        <f t="shared" ref="O217:O229" si="123">H217/K217</f>
        <v>7.9475998754489231E-3</v>
      </c>
      <c r="P217" s="22">
        <f t="shared" ref="P217:P229" si="124">K217/V217</f>
        <v>1140.9655170259782</v>
      </c>
      <c r="Q217" s="22">
        <f t="shared" ref="Q217:Q229" si="125">H217/V217</f>
        <v>9.06793740100718</v>
      </c>
      <c r="R217" s="50">
        <v>1140.9655170259782</v>
      </c>
      <c r="S217" s="50">
        <v>1140.9655170259782</v>
      </c>
      <c r="T217" s="50">
        <v>19</v>
      </c>
      <c r="U217" s="50">
        <v>327318</v>
      </c>
      <c r="V217" s="50">
        <v>327318</v>
      </c>
    </row>
    <row r="218" spans="1:22" ht="15" customHeight="1">
      <c r="A218" s="102">
        <v>187</v>
      </c>
      <c r="B218" s="75" t="s">
        <v>172</v>
      </c>
      <c r="C218" s="76" t="s">
        <v>59</v>
      </c>
      <c r="D218" s="50">
        <v>160234046.75999999</v>
      </c>
      <c r="E218" s="50">
        <v>4328835.32</v>
      </c>
      <c r="F218" s="10">
        <v>0</v>
      </c>
      <c r="G218" s="50">
        <v>557639.75</v>
      </c>
      <c r="H218" s="50">
        <f t="shared" ref="H218:H228" si="126">(E218+F218)-G218</f>
        <v>3771195.5700000003</v>
      </c>
      <c r="I218" s="50">
        <v>330707423.74000001</v>
      </c>
      <c r="J218" s="13">
        <f t="shared" si="117"/>
        <v>2.9068982512552525E-3</v>
      </c>
      <c r="K218" s="50">
        <v>350276262.82999998</v>
      </c>
      <c r="L218" s="13">
        <f t="shared" si="120"/>
        <v>2.6194554833777707E-3</v>
      </c>
      <c r="M218" s="13">
        <f t="shared" si="121"/>
        <v>5.9172663463959205E-2</v>
      </c>
      <c r="N218" s="20">
        <f t="shared" si="122"/>
        <v>1.5919998274922787E-3</v>
      </c>
      <c r="O218" s="21">
        <f t="shared" si="123"/>
        <v>1.0766346367667738E-2</v>
      </c>
      <c r="P218" s="22">
        <f t="shared" si="124"/>
        <v>127.80591407124267</v>
      </c>
      <c r="Q218" s="22">
        <f t="shared" si="125"/>
        <v>1.3760027387273785</v>
      </c>
      <c r="R218" s="50">
        <v>128.44</v>
      </c>
      <c r="S218" s="50">
        <v>128.44</v>
      </c>
      <c r="T218" s="50">
        <v>82</v>
      </c>
      <c r="U218" s="50">
        <v>2626003</v>
      </c>
      <c r="V218" s="50">
        <v>2740689</v>
      </c>
    </row>
    <row r="219" spans="1:22" ht="15" customHeight="1">
      <c r="A219" s="102">
        <v>188</v>
      </c>
      <c r="B219" s="75" t="s">
        <v>289</v>
      </c>
      <c r="C219" s="76" t="s">
        <v>290</v>
      </c>
      <c r="D219" s="50">
        <v>49649950</v>
      </c>
      <c r="E219" s="50">
        <v>773094.88</v>
      </c>
      <c r="F219" s="10"/>
      <c r="G219" s="50">
        <v>113275.76</v>
      </c>
      <c r="H219" s="50">
        <f t="shared" ref="H219" si="127">(E219+F219)-G219</f>
        <v>659819.12</v>
      </c>
      <c r="I219" s="50">
        <v>54526960.560000002</v>
      </c>
      <c r="J219" s="13">
        <f t="shared" si="117"/>
        <v>4.7928868516342461E-4</v>
      </c>
      <c r="K219" s="50">
        <v>53899954</v>
      </c>
      <c r="L219" s="13">
        <f t="shared" si="120"/>
        <v>4.0307764196865608E-4</v>
      </c>
      <c r="M219" s="13">
        <f t="shared" si="121"/>
        <v>-1.1499019082680416E-2</v>
      </c>
      <c r="N219" s="20">
        <f t="shared" si="122"/>
        <v>2.1015928881868802E-3</v>
      </c>
      <c r="O219" s="21">
        <f t="shared" si="123"/>
        <v>1.2241552562363967E-2</v>
      </c>
      <c r="P219" s="22">
        <f t="shared" si="124"/>
        <v>105.41334976140186</v>
      </c>
      <c r="Q219" s="22">
        <f t="shared" si="125"/>
        <v>1.2904230618790582</v>
      </c>
      <c r="R219" s="50">
        <v>105.4</v>
      </c>
      <c r="S219" s="50">
        <v>105.4</v>
      </c>
      <c r="T219" s="50">
        <v>14</v>
      </c>
      <c r="U219" s="50">
        <v>511386</v>
      </c>
      <c r="V219" s="50">
        <v>511320</v>
      </c>
    </row>
    <row r="220" spans="1:22" ht="15" customHeight="1">
      <c r="A220" s="102">
        <v>189</v>
      </c>
      <c r="B220" s="75" t="s">
        <v>173</v>
      </c>
      <c r="C220" s="76" t="s">
        <v>150</v>
      </c>
      <c r="D220" s="50">
        <v>72447024.120000005</v>
      </c>
      <c r="E220" s="50">
        <v>691518.88</v>
      </c>
      <c r="F220" s="10">
        <v>0</v>
      </c>
      <c r="G220" s="50">
        <v>210803</v>
      </c>
      <c r="H220" s="50">
        <f t="shared" si="126"/>
        <v>480715.88</v>
      </c>
      <c r="I220" s="50">
        <v>75196022.349999994</v>
      </c>
      <c r="J220" s="13">
        <f t="shared" si="117"/>
        <v>6.6096848809302103E-4</v>
      </c>
      <c r="K220" s="50">
        <v>85417467.579999998</v>
      </c>
      <c r="L220" s="13">
        <f t="shared" si="120"/>
        <v>6.3877366973412496E-4</v>
      </c>
      <c r="M220" s="13">
        <f t="shared" si="121"/>
        <v>0.13593066375804125</v>
      </c>
      <c r="N220" s="20">
        <f t="shared" si="122"/>
        <v>2.4679144204616797E-3</v>
      </c>
      <c r="O220" s="21">
        <f t="shared" si="123"/>
        <v>5.6278404595614213E-3</v>
      </c>
      <c r="P220" s="22">
        <f t="shared" si="124"/>
        <v>114.66555458454319</v>
      </c>
      <c r="Q220" s="22">
        <f t="shared" si="125"/>
        <v>0.64531944740894076</v>
      </c>
      <c r="R220" s="50">
        <v>103.93</v>
      </c>
      <c r="S220" s="50">
        <v>104.95</v>
      </c>
      <c r="T220" s="50">
        <v>26</v>
      </c>
      <c r="U220" s="50">
        <v>700307</v>
      </c>
      <c r="V220" s="50">
        <v>744927</v>
      </c>
    </row>
    <row r="221" spans="1:22" ht="15" customHeight="1">
      <c r="A221" s="102">
        <v>190</v>
      </c>
      <c r="B221" s="19" t="s">
        <v>235</v>
      </c>
      <c r="C221" s="77" t="s">
        <v>66</v>
      </c>
      <c r="D221" s="16">
        <v>304392036.00999999</v>
      </c>
      <c r="E221" s="29">
        <v>3635871</v>
      </c>
      <c r="F221" s="29">
        <v>0</v>
      </c>
      <c r="G221" s="10">
        <v>797780</v>
      </c>
      <c r="H221" s="12">
        <f t="shared" si="126"/>
        <v>2838091</v>
      </c>
      <c r="I221" s="17">
        <v>319145381.69999999</v>
      </c>
      <c r="J221" s="13">
        <f t="shared" si="117"/>
        <v>2.8052686010740712E-3</v>
      </c>
      <c r="K221" s="17">
        <v>309066860</v>
      </c>
      <c r="L221" s="13">
        <f t="shared" si="120"/>
        <v>2.3112810289125062E-3</v>
      </c>
      <c r="M221" s="13">
        <f t="shared" si="121"/>
        <v>-3.1579719707408783E-2</v>
      </c>
      <c r="N221" s="20">
        <f t="shared" si="122"/>
        <v>2.5812537779042375E-3</v>
      </c>
      <c r="O221" s="21">
        <f t="shared" si="123"/>
        <v>9.1827735914487892E-3</v>
      </c>
      <c r="P221" s="22">
        <f t="shared" si="124"/>
        <v>1.1329103460343588</v>
      </c>
      <c r="Q221" s="22">
        <f t="shared" si="125"/>
        <v>1.0403259207043419E-2</v>
      </c>
      <c r="R221" s="10">
        <v>1.2166999999999999</v>
      </c>
      <c r="S221" s="10">
        <v>1.2166999999999999</v>
      </c>
      <c r="T221" s="10">
        <v>108</v>
      </c>
      <c r="U221" s="10">
        <v>268230375.31</v>
      </c>
      <c r="V221" s="10">
        <v>272807871.41000003</v>
      </c>
    </row>
    <row r="222" spans="1:22" ht="15" customHeight="1">
      <c r="A222" s="102">
        <v>191</v>
      </c>
      <c r="B222" s="116" t="s">
        <v>316</v>
      </c>
      <c r="C222" s="12" t="s">
        <v>328</v>
      </c>
      <c r="D222" s="50">
        <v>5702156104.4200001</v>
      </c>
      <c r="E222" s="50">
        <v>73614412.599999994</v>
      </c>
      <c r="F222" s="10">
        <v>0</v>
      </c>
      <c r="G222" s="50">
        <v>9276149.5399999991</v>
      </c>
      <c r="H222" s="50">
        <f t="shared" si="126"/>
        <v>64338263.059999995</v>
      </c>
      <c r="I222" s="50">
        <v>5705461971.9200001</v>
      </c>
      <c r="J222" s="13">
        <f t="shared" si="117"/>
        <v>5.0150665628288904E-2</v>
      </c>
      <c r="K222" s="50">
        <v>5684684412.5799999</v>
      </c>
      <c r="L222" s="13">
        <f t="shared" si="120"/>
        <v>4.2511524005358542E-2</v>
      </c>
      <c r="M222" s="13">
        <f t="shared" si="121"/>
        <v>-3.6416962276252093E-3</v>
      </c>
      <c r="N222" s="20">
        <f t="shared" si="122"/>
        <v>1.6317791572514064E-3</v>
      </c>
      <c r="O222" s="21">
        <f t="shared" si="123"/>
        <v>1.1317824946908531E-2</v>
      </c>
      <c r="P222" s="22">
        <f t="shared" si="124"/>
        <v>148.70912950207875</v>
      </c>
      <c r="Q222" s="22">
        <f t="shared" si="125"/>
        <v>1.6830638957116786</v>
      </c>
      <c r="R222" s="50">
        <v>148.69999999999999</v>
      </c>
      <c r="S222" s="115">
        <v>148.69999999999999</v>
      </c>
      <c r="T222" s="50">
        <v>807</v>
      </c>
      <c r="U222" s="50">
        <v>38789565</v>
      </c>
      <c r="V222" s="50">
        <v>38226869</v>
      </c>
    </row>
    <row r="223" spans="1:22" ht="15" customHeight="1">
      <c r="A223" s="102">
        <v>192</v>
      </c>
      <c r="B223" s="76" t="s">
        <v>199</v>
      </c>
      <c r="C223" s="76" t="s">
        <v>57</v>
      </c>
      <c r="D223" s="50">
        <v>1000990655.14</v>
      </c>
      <c r="E223" s="50">
        <v>11416624.189999999</v>
      </c>
      <c r="F223" s="10">
        <v>0</v>
      </c>
      <c r="G223" s="50">
        <v>1465579.92</v>
      </c>
      <c r="H223" s="50">
        <f t="shared" si="126"/>
        <v>9951044.2699999996</v>
      </c>
      <c r="I223" s="50">
        <v>973100290.74000001</v>
      </c>
      <c r="J223" s="13">
        <f t="shared" si="117"/>
        <v>8.5534926959244546E-3</v>
      </c>
      <c r="K223" s="50">
        <v>1005836457.28</v>
      </c>
      <c r="L223" s="13">
        <f t="shared" si="120"/>
        <v>7.5219022896852433E-3</v>
      </c>
      <c r="M223" s="13">
        <f t="shared" si="121"/>
        <v>3.364110241412583E-2</v>
      </c>
      <c r="N223" s="20">
        <f t="shared" si="122"/>
        <v>1.457075759575514E-3</v>
      </c>
      <c r="O223" s="21">
        <f t="shared" si="123"/>
        <v>9.8933024329917237E-3</v>
      </c>
      <c r="P223" s="22">
        <f t="shared" si="124"/>
        <v>1376.9011012222311</v>
      </c>
      <c r="Q223" s="22">
        <f t="shared" si="125"/>
        <v>13.622099014710884</v>
      </c>
      <c r="R223" s="50">
        <v>1376.9</v>
      </c>
      <c r="S223" s="50">
        <v>1376.9</v>
      </c>
      <c r="T223" s="50">
        <v>351</v>
      </c>
      <c r="U223" s="50">
        <v>713850.66</v>
      </c>
      <c r="V223" s="50">
        <v>730507.41</v>
      </c>
    </row>
    <row r="224" spans="1:22" ht="15" customHeight="1">
      <c r="A224" s="102">
        <v>193</v>
      </c>
      <c r="B224" s="75" t="s">
        <v>107</v>
      </c>
      <c r="C224" s="76" t="s">
        <v>108</v>
      </c>
      <c r="D224" s="50">
        <v>20362514709.32</v>
      </c>
      <c r="E224" s="50">
        <v>696404039.24000001</v>
      </c>
      <c r="F224" s="10">
        <v>0</v>
      </c>
      <c r="G224" s="50">
        <v>73327758.120000005</v>
      </c>
      <c r="H224" s="50">
        <f t="shared" si="126"/>
        <v>623076281.12</v>
      </c>
      <c r="I224" s="50">
        <v>45501826920</v>
      </c>
      <c r="J224" s="13">
        <f t="shared" si="117"/>
        <v>0.39995830636888369</v>
      </c>
      <c r="K224" s="50">
        <v>45316092545.82</v>
      </c>
      <c r="L224" s="13">
        <f t="shared" si="120"/>
        <v>0.33888533052556069</v>
      </c>
      <c r="M224" s="13">
        <f t="shared" si="121"/>
        <v>-4.0819102605825722E-3</v>
      </c>
      <c r="N224" s="20">
        <f t="shared" si="122"/>
        <v>1.6181394732093649E-3</v>
      </c>
      <c r="O224" s="21">
        <f t="shared" si="123"/>
        <v>1.374955884578961E-2</v>
      </c>
      <c r="P224" s="22">
        <f t="shared" si="124"/>
        <v>1286.2486237505602</v>
      </c>
      <c r="Q224" s="22">
        <f t="shared" si="125"/>
        <v>17.685351142574227</v>
      </c>
      <c r="R224" s="50">
        <v>1286.25</v>
      </c>
      <c r="S224" s="50">
        <v>1286.25</v>
      </c>
      <c r="T224" s="50">
        <v>13230</v>
      </c>
      <c r="U224" s="50">
        <v>34781767.82</v>
      </c>
      <c r="V224" s="50">
        <v>35231207.799999997</v>
      </c>
    </row>
    <row r="225" spans="1:22" ht="15" customHeight="1">
      <c r="A225" s="102">
        <v>194</v>
      </c>
      <c r="B225" s="78" t="s">
        <v>196</v>
      </c>
      <c r="C225" s="78" t="s">
        <v>197</v>
      </c>
      <c r="D225" s="50">
        <v>529260041.92000002</v>
      </c>
      <c r="E225" s="50">
        <v>1189485.8999999999</v>
      </c>
      <c r="F225" s="10">
        <v>112933185.22</v>
      </c>
      <c r="G225" s="50">
        <v>1077883.68</v>
      </c>
      <c r="H225" s="50">
        <f t="shared" si="126"/>
        <v>113044787.44</v>
      </c>
      <c r="I225" s="50">
        <v>485531431.16000003</v>
      </c>
      <c r="J225" s="13">
        <f t="shared" si="117"/>
        <v>4.2677919116750453E-3</v>
      </c>
      <c r="K225" s="50">
        <v>538533901.98000002</v>
      </c>
      <c r="L225" s="13">
        <f t="shared" si="120"/>
        <v>4.0272942594770629E-3</v>
      </c>
      <c r="M225" s="13">
        <f t="shared" si="121"/>
        <v>0.10916383043085377</v>
      </c>
      <c r="N225" s="20">
        <f t="shared" si="122"/>
        <v>2.0015149947607757E-3</v>
      </c>
      <c r="O225" s="21">
        <f t="shared" si="123"/>
        <v>0.20991210957076986</v>
      </c>
      <c r="P225" s="22">
        <f t="shared" si="124"/>
        <v>136.97997499948525</v>
      </c>
      <c r="Q225" s="22">
        <f t="shared" si="125"/>
        <v>28.753755521093264</v>
      </c>
      <c r="R225" s="50">
        <v>139.44999999999999</v>
      </c>
      <c r="S225" s="50">
        <v>139.94</v>
      </c>
      <c r="T225" s="50">
        <v>139</v>
      </c>
      <c r="U225" s="50">
        <v>3689090.56</v>
      </c>
      <c r="V225" s="50">
        <v>3931479.05</v>
      </c>
    </row>
    <row r="226" spans="1:22" ht="15" customHeight="1">
      <c r="A226" s="102">
        <v>195</v>
      </c>
      <c r="B226" s="78" t="s">
        <v>198</v>
      </c>
      <c r="C226" s="78" t="s">
        <v>197</v>
      </c>
      <c r="D226" s="50">
        <v>943416299.09000003</v>
      </c>
      <c r="E226" s="50">
        <v>12453736.710000001</v>
      </c>
      <c r="F226" s="10">
        <v>63116549.479999997</v>
      </c>
      <c r="G226" s="50">
        <v>1830429.65</v>
      </c>
      <c r="H226" s="50">
        <f>(E226+F226)-G226</f>
        <v>73739856.539999992</v>
      </c>
      <c r="I226" s="50">
        <v>954257670.78999996</v>
      </c>
      <c r="J226" s="13">
        <f t="shared" si="117"/>
        <v>8.3878672062929153E-3</v>
      </c>
      <c r="K226" s="50">
        <v>944161420.05999994</v>
      </c>
      <c r="L226" s="13">
        <f t="shared" si="120"/>
        <v>7.0606805867693793E-3</v>
      </c>
      <c r="M226" s="13">
        <f t="shared" si="121"/>
        <v>-1.0580214379247955E-2</v>
      </c>
      <c r="N226" s="20">
        <f t="shared" si="122"/>
        <v>1.9386829530523278E-3</v>
      </c>
      <c r="O226" s="21">
        <f t="shared" si="123"/>
        <v>7.810089988141429E-2</v>
      </c>
      <c r="P226" s="22">
        <f t="shared" si="124"/>
        <v>140.86498602102566</v>
      </c>
      <c r="Q226" s="22">
        <f t="shared" si="125"/>
        <v>11.001682170024948</v>
      </c>
      <c r="R226" s="50">
        <v>144.37</v>
      </c>
      <c r="S226" s="50">
        <v>144.37</v>
      </c>
      <c r="T226" s="50">
        <v>130</v>
      </c>
      <c r="U226" s="50">
        <v>944161420.05999994</v>
      </c>
      <c r="V226" s="50">
        <v>6702598.3300000001</v>
      </c>
    </row>
    <row r="227" spans="1:22" ht="13.95" customHeight="1">
      <c r="A227" s="102">
        <v>196</v>
      </c>
      <c r="B227" s="116" t="s">
        <v>174</v>
      </c>
      <c r="C227" s="76" t="s">
        <v>126</v>
      </c>
      <c r="D227" s="50">
        <v>2409037192.8400002</v>
      </c>
      <c r="E227" s="50">
        <v>60855113.329999998</v>
      </c>
      <c r="F227" s="10">
        <v>0</v>
      </c>
      <c r="G227" s="50">
        <v>6047047.5800000001</v>
      </c>
      <c r="H227" s="50">
        <f t="shared" si="126"/>
        <v>54808065.75</v>
      </c>
      <c r="I227" s="50">
        <v>3194362329</v>
      </c>
      <c r="J227" s="13">
        <f t="shared" si="117"/>
        <v>2.8078251655294258E-2</v>
      </c>
      <c r="K227" s="50">
        <v>3183479959</v>
      </c>
      <c r="L227" s="13">
        <f t="shared" si="120"/>
        <v>2.380687737002881E-2</v>
      </c>
      <c r="M227" s="13">
        <f t="shared" si="121"/>
        <v>-3.406742529237985E-3</v>
      </c>
      <c r="N227" s="20">
        <f t="shared" si="122"/>
        <v>1.899508606267309E-3</v>
      </c>
      <c r="O227" s="21">
        <f t="shared" si="123"/>
        <v>1.7216400434704293E-2</v>
      </c>
      <c r="P227" s="22">
        <f t="shared" si="124"/>
        <v>106.16372630588958</v>
      </c>
      <c r="Q227" s="22">
        <f t="shared" si="125"/>
        <v>1.8277572237225448</v>
      </c>
      <c r="R227" s="50">
        <v>106.16</v>
      </c>
      <c r="S227" s="50">
        <v>106.16</v>
      </c>
      <c r="T227" s="50">
        <v>889</v>
      </c>
      <c r="U227" s="50">
        <v>29493086</v>
      </c>
      <c r="V227" s="50">
        <v>29986513</v>
      </c>
    </row>
    <row r="228" spans="1:22">
      <c r="A228" s="102">
        <v>197</v>
      </c>
      <c r="B228" s="75" t="s">
        <v>175</v>
      </c>
      <c r="C228" s="75" t="s">
        <v>43</v>
      </c>
      <c r="D228" s="50">
        <v>2567342379.04</v>
      </c>
      <c r="E228" s="50">
        <v>29672693.559999999</v>
      </c>
      <c r="F228" s="10">
        <v>0</v>
      </c>
      <c r="G228" s="50">
        <v>4858160.97</v>
      </c>
      <c r="H228" s="50">
        <f t="shared" si="126"/>
        <v>24814532.59</v>
      </c>
      <c r="I228" s="50">
        <v>2285760077.5500002</v>
      </c>
      <c r="J228" s="13">
        <f t="shared" si="117"/>
        <v>2.0091692823451721E-2</v>
      </c>
      <c r="K228" s="50">
        <v>2605471951.7600002</v>
      </c>
      <c r="L228" s="13">
        <f t="shared" si="120"/>
        <v>1.9484385655150892E-2</v>
      </c>
      <c r="M228" s="13">
        <f t="shared" si="121"/>
        <v>0.13987114279845342</v>
      </c>
      <c r="N228" s="20">
        <f t="shared" si="122"/>
        <v>1.864599220390112E-3</v>
      </c>
      <c r="O228" s="21">
        <f t="shared" si="123"/>
        <v>9.5240068016229258E-3</v>
      </c>
      <c r="P228" s="22">
        <f t="shared" si="124"/>
        <v>152.4398775088664</v>
      </c>
      <c r="Q228" s="22">
        <f t="shared" si="125"/>
        <v>1.4518384302330092</v>
      </c>
      <c r="R228" s="50">
        <v>152.44</v>
      </c>
      <c r="S228" s="50">
        <v>152.44</v>
      </c>
      <c r="T228" s="50">
        <v>2805</v>
      </c>
      <c r="U228" s="50">
        <v>15344420.310000001</v>
      </c>
      <c r="V228" s="50">
        <v>17091800.350000001</v>
      </c>
    </row>
    <row r="229" spans="1:22" ht="15" customHeight="1">
      <c r="A229" s="102">
        <v>198</v>
      </c>
      <c r="B229" s="76" t="s">
        <v>176</v>
      </c>
      <c r="C229" s="76" t="s">
        <v>47</v>
      </c>
      <c r="D229" s="50">
        <v>2470491548.9200001</v>
      </c>
      <c r="E229" s="50">
        <v>44623968</v>
      </c>
      <c r="F229" s="10">
        <v>0</v>
      </c>
      <c r="G229" s="50">
        <v>6602907.3799999999</v>
      </c>
      <c r="H229" s="50">
        <f>(E229+F229)-G229</f>
        <v>38021060.619999997</v>
      </c>
      <c r="I229" s="50">
        <v>4100829642</v>
      </c>
      <c r="J229" s="13">
        <f t="shared" si="117"/>
        <v>3.6046044507296801E-2</v>
      </c>
      <c r="K229" s="50">
        <v>4044608291.9900002</v>
      </c>
      <c r="L229" s="13">
        <f t="shared" si="120"/>
        <v>3.0246615294369322E-2</v>
      </c>
      <c r="M229" s="13">
        <f t="shared" si="121"/>
        <v>-1.3709750201322738E-2</v>
      </c>
      <c r="N229" s="20">
        <f t="shared" si="122"/>
        <v>1.6325208532743435E-3</v>
      </c>
      <c r="O229" s="21">
        <f t="shared" si="123"/>
        <v>9.4004308637989607E-3</v>
      </c>
      <c r="P229" s="22">
        <f t="shared" si="124"/>
        <v>1.2454443391510963</v>
      </c>
      <c r="Q229" s="22">
        <f t="shared" si="125"/>
        <v>1.1707713404899667E-2</v>
      </c>
      <c r="R229" s="50">
        <v>1.2454443391510963</v>
      </c>
      <c r="S229" s="50">
        <v>1.2454443391510963</v>
      </c>
      <c r="T229" s="50">
        <v>221</v>
      </c>
      <c r="U229" s="50">
        <v>3324615461.1300015</v>
      </c>
      <c r="V229" s="50">
        <v>3247522321.8300014</v>
      </c>
    </row>
    <row r="230" spans="1:22" ht="4.95" customHeight="1">
      <c r="A230" s="60"/>
      <c r="B230" s="19"/>
      <c r="C230" s="19"/>
      <c r="D230" s="11"/>
      <c r="E230" s="11"/>
      <c r="F230" s="11"/>
      <c r="G230" s="31"/>
      <c r="H230" s="12"/>
      <c r="I230" s="23"/>
      <c r="J230" s="13"/>
      <c r="K230" s="32"/>
      <c r="L230" s="13"/>
      <c r="M230" s="13"/>
      <c r="N230" s="20"/>
      <c r="O230" s="21"/>
      <c r="P230" s="22"/>
      <c r="Q230" s="22"/>
      <c r="R230" s="12"/>
      <c r="S230" s="12"/>
      <c r="T230" s="41"/>
      <c r="U230" s="31"/>
      <c r="V230" s="41"/>
    </row>
    <row r="231" spans="1:22" ht="15" customHeight="1">
      <c r="A231" s="143" t="s">
        <v>194</v>
      </c>
      <c r="B231" s="145"/>
      <c r="C231" s="145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</row>
    <row r="232" spans="1:22" ht="15" customHeight="1">
      <c r="A232" s="100">
        <v>199</v>
      </c>
      <c r="B232" s="74" t="s">
        <v>278</v>
      </c>
      <c r="C232" s="74" t="s">
        <v>279</v>
      </c>
      <c r="D232" s="58">
        <v>566525717.65999997</v>
      </c>
      <c r="E232" s="16">
        <v>5488447.5599999996</v>
      </c>
      <c r="F232" s="16">
        <v>46091775.289999999</v>
      </c>
      <c r="G232" s="16">
        <v>1467638.12</v>
      </c>
      <c r="H232" s="16">
        <f>(E232+F232)-G232</f>
        <v>50112584.730000004</v>
      </c>
      <c r="I232" s="52">
        <v>549465726.75</v>
      </c>
      <c r="J232" s="53">
        <f t="shared" ref="J232:J235" si="128">(I232/$I$236)</f>
        <v>4.8297705027329886E-3</v>
      </c>
      <c r="K232" s="52">
        <v>556428720.67999995</v>
      </c>
      <c r="L232" s="13">
        <f t="shared" ref="L232" si="129">(K232/$K$236)</f>
        <v>4.1611162906619618E-3</v>
      </c>
      <c r="M232" s="13">
        <f>((K232-I232)/I232)</f>
        <v>1.2672298909678897E-2</v>
      </c>
      <c r="N232" s="20">
        <f t="shared" ref="N232" si="130">(G232/K232)</f>
        <v>2.6376031025257471E-3</v>
      </c>
      <c r="O232" s="21">
        <f t="shared" ref="O232" si="131">H232/K232</f>
        <v>9.0061103727281475E-2</v>
      </c>
      <c r="P232" s="22">
        <f t="shared" ref="P232" si="132">K232/V232</f>
        <v>118.7751593167835</v>
      </c>
      <c r="Q232" s="22">
        <f t="shared" ref="Q232" si="133">H232/V232</f>
        <v>10.697021943453221</v>
      </c>
      <c r="R232" s="52">
        <v>118.78</v>
      </c>
      <c r="S232" s="52">
        <v>118.78</v>
      </c>
      <c r="T232" s="52">
        <v>113</v>
      </c>
      <c r="U232" s="52">
        <v>4753946</v>
      </c>
      <c r="V232" s="52">
        <v>4684723</v>
      </c>
    </row>
    <row r="233" spans="1:22" ht="15" customHeight="1">
      <c r="A233" s="149">
        <v>200</v>
      </c>
      <c r="B233" s="150" t="s">
        <v>257</v>
      </c>
      <c r="C233" s="79" t="s">
        <v>55</v>
      </c>
      <c r="D233" s="16">
        <v>8835548917</v>
      </c>
      <c r="E233" s="16">
        <v>118364452</v>
      </c>
      <c r="F233" s="16">
        <v>1757511678</v>
      </c>
      <c r="G233" s="16">
        <v>32315325</v>
      </c>
      <c r="H233" s="16">
        <f>(E233+F233)-G233</f>
        <v>1843560805</v>
      </c>
      <c r="I233" s="52">
        <v>11694582268</v>
      </c>
      <c r="J233" s="53">
        <f t="shared" si="128"/>
        <v>0.10279467076837227</v>
      </c>
      <c r="K233" s="52">
        <v>15850049353</v>
      </c>
      <c r="L233" s="13">
        <f t="shared" ref="L233:L235" si="134">(K233/$K$236)</f>
        <v>0.11853072301868872</v>
      </c>
      <c r="M233" s="13">
        <f t="shared" ref="M233:M235" si="135">((K233-I233)/I233)</f>
        <v>0.3553326651410752</v>
      </c>
      <c r="N233" s="20">
        <f t="shared" ref="N233:N235" si="136">(G233/K233)</f>
        <v>2.0388154181919661E-3</v>
      </c>
      <c r="O233" s="21">
        <f t="shared" ref="O233:O235" si="137">H233/K233</f>
        <v>0.11631262237370019</v>
      </c>
      <c r="P233" s="22">
        <f t="shared" ref="P233:P235" si="138">K233/V233</f>
        <v>153.2197132913318</v>
      </c>
      <c r="Q233" s="22">
        <f t="shared" ref="Q233:Q235" si="139">H233/V233</f>
        <v>17.821386652261289</v>
      </c>
      <c r="R233" s="52">
        <v>152.453</v>
      </c>
      <c r="S233" s="52">
        <v>157.0496</v>
      </c>
      <c r="T233" s="52">
        <v>6456</v>
      </c>
      <c r="U233" s="52">
        <v>87491532</v>
      </c>
      <c r="V233" s="52">
        <v>103446541</v>
      </c>
    </row>
    <row r="234" spans="1:22" ht="15" customHeight="1">
      <c r="A234" s="121">
        <v>201</v>
      </c>
      <c r="B234" s="10" t="s">
        <v>195</v>
      </c>
      <c r="C234" s="25" t="s">
        <v>108</v>
      </c>
      <c r="D234" s="16">
        <v>330358488.18000001</v>
      </c>
      <c r="E234" s="16">
        <v>2799574.96</v>
      </c>
      <c r="F234" s="16">
        <v>68829422</v>
      </c>
      <c r="G234" s="10">
        <v>1694496.67</v>
      </c>
      <c r="H234" s="12">
        <f>(E234+F234)-G234</f>
        <v>69934500.289999992</v>
      </c>
      <c r="I234" s="17">
        <v>346979424.66000003</v>
      </c>
      <c r="J234" s="53">
        <f t="shared" si="128"/>
        <v>3.0499281551014984E-3</v>
      </c>
      <c r="K234" s="17">
        <v>426452316.73000002</v>
      </c>
      <c r="L234" s="13">
        <f t="shared" si="134"/>
        <v>3.1891194979424076E-3</v>
      </c>
      <c r="M234" s="13">
        <f t="shared" si="135"/>
        <v>0.2290420884404725</v>
      </c>
      <c r="N234" s="20">
        <f t="shared" si="136"/>
        <v>3.9734727741503571E-3</v>
      </c>
      <c r="O234" s="21">
        <f t="shared" si="137"/>
        <v>0.16399137147677323</v>
      </c>
      <c r="P234" s="22">
        <f t="shared" si="138"/>
        <v>1758.9179656171248</v>
      </c>
      <c r="Q234" s="22">
        <f t="shared" si="139"/>
        <v>288.44736949668817</v>
      </c>
      <c r="R234" s="12">
        <v>1758.92</v>
      </c>
      <c r="S234" s="12">
        <v>1758.92</v>
      </c>
      <c r="T234" s="10">
        <v>276</v>
      </c>
      <c r="U234" s="10">
        <v>234000.65</v>
      </c>
      <c r="V234" s="10">
        <v>242451.51</v>
      </c>
    </row>
    <row r="235" spans="1:22" ht="15" customHeight="1">
      <c r="A235" s="121">
        <v>202</v>
      </c>
      <c r="B235" s="10" t="s">
        <v>255</v>
      </c>
      <c r="C235" s="10" t="s">
        <v>256</v>
      </c>
      <c r="D235" s="17">
        <f>99289162.4+70550000</f>
        <v>169839162.40000001</v>
      </c>
      <c r="E235" s="17">
        <v>5357577.2</v>
      </c>
      <c r="F235" s="17">
        <v>0</v>
      </c>
      <c r="G235" s="17">
        <v>291991.98</v>
      </c>
      <c r="H235" s="17">
        <f>(E235+F235)-G235</f>
        <v>5065585.2200000007</v>
      </c>
      <c r="I235" s="17">
        <v>178379135.03999999</v>
      </c>
      <c r="J235" s="53">
        <f t="shared" si="128"/>
        <v>1.5679418074263289E-3</v>
      </c>
      <c r="K235" s="17">
        <v>198320103.31</v>
      </c>
      <c r="L235" s="13">
        <f t="shared" si="134"/>
        <v>1.4830884567577751E-3</v>
      </c>
      <c r="M235" s="13">
        <f t="shared" si="135"/>
        <v>0.11178980246500478</v>
      </c>
      <c r="N235" s="20">
        <f t="shared" si="136"/>
        <v>1.4723266836119922E-3</v>
      </c>
      <c r="O235" s="21">
        <f t="shared" si="137"/>
        <v>2.5542469651106601E-2</v>
      </c>
      <c r="P235" s="22">
        <f t="shared" si="138"/>
        <v>128.57789897222472</v>
      </c>
      <c r="Q235" s="22">
        <f t="shared" si="139"/>
        <v>3.2841970823011004</v>
      </c>
      <c r="R235" s="17">
        <v>127.27</v>
      </c>
      <c r="S235" s="17">
        <v>129.88999999999999</v>
      </c>
      <c r="T235" s="17">
        <v>312</v>
      </c>
      <c r="U235" s="17">
        <v>1490319.01</v>
      </c>
      <c r="V235" s="17">
        <v>1542412.07</v>
      </c>
    </row>
    <row r="236" spans="1:22" ht="15" customHeight="1">
      <c r="A236" s="125" t="s">
        <v>48</v>
      </c>
      <c r="B236" s="125"/>
      <c r="C236" s="125"/>
      <c r="D236" s="125"/>
      <c r="E236" s="125"/>
      <c r="F236" s="125"/>
      <c r="G236" s="125"/>
      <c r="H236" s="125"/>
      <c r="I236" s="36">
        <f>SUM(I212:I235)</f>
        <v>113766425638.45998</v>
      </c>
      <c r="J236" s="34">
        <f>(I236/$I$247)</f>
        <v>1.3226771306733123E-2</v>
      </c>
      <c r="K236" s="36">
        <f>SUM(K212:K235)</f>
        <v>133721021430.8819</v>
      </c>
      <c r="L236" s="34">
        <f>(K236/$K$247)</f>
        <v>1.5059583559473998E-2</v>
      </c>
      <c r="M236" s="34">
        <f t="shared" si="119"/>
        <v>0.17539969002661585</v>
      </c>
      <c r="N236" s="20"/>
      <c r="O236" s="20"/>
      <c r="P236" s="35"/>
      <c r="Q236" s="35"/>
      <c r="R236" s="36"/>
      <c r="S236" s="36"/>
      <c r="T236" s="36">
        <f>SUM(T212:T235)</f>
        <v>50254</v>
      </c>
      <c r="U236" s="36"/>
      <c r="V236" s="36"/>
    </row>
    <row r="237" spans="1:22" ht="15" customHeight="1">
      <c r="A237" s="142" t="s">
        <v>270</v>
      </c>
      <c r="B237" s="142"/>
      <c r="C237" s="142"/>
      <c r="D237" s="142"/>
      <c r="E237" s="142"/>
      <c r="F237" s="142"/>
      <c r="G237" s="142"/>
      <c r="H237" s="142"/>
      <c r="I237" s="65">
        <f>SUM(I25,I75,I116,I160,I169,I202,I208,I236)</f>
        <v>8571042947260.4541</v>
      </c>
      <c r="J237" s="66"/>
      <c r="K237" s="65">
        <f>SUM(K25,K75,K116,K160,K169,K202,K208,K236)</f>
        <v>8848634347883.1406</v>
      </c>
      <c r="L237" s="66"/>
      <c r="M237" s="66"/>
      <c r="N237" s="67"/>
      <c r="O237" s="67"/>
      <c r="P237" s="68"/>
      <c r="Q237" s="68"/>
      <c r="R237" s="65"/>
      <c r="S237" s="65"/>
      <c r="T237" s="65">
        <f>SUM(T25,T75,T116,T160,T169,T202,T208,T236)</f>
        <v>1222555</v>
      </c>
      <c r="U237" s="65"/>
      <c r="V237" s="65"/>
    </row>
    <row r="238" spans="1:22" s="6" customFormat="1" ht="6.6" customHeight="1">
      <c r="A238" s="59"/>
      <c r="B238" s="59"/>
      <c r="C238" s="59"/>
      <c r="D238" s="59"/>
      <c r="E238" s="59"/>
      <c r="F238" s="59"/>
      <c r="G238" s="59"/>
      <c r="H238" s="59"/>
      <c r="I238" s="36"/>
      <c r="J238" s="55"/>
      <c r="K238" s="36"/>
      <c r="L238" s="55"/>
      <c r="M238" s="55"/>
      <c r="N238" s="56"/>
      <c r="O238" s="56"/>
      <c r="P238" s="57"/>
      <c r="Q238" s="57"/>
      <c r="R238" s="36"/>
      <c r="S238" s="36"/>
      <c r="T238" s="36"/>
      <c r="U238" s="36"/>
      <c r="V238" s="36"/>
    </row>
    <row r="239" spans="1:22" s="6" customFormat="1" ht="15" customHeight="1">
      <c r="A239" s="127" t="s">
        <v>259</v>
      </c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</row>
    <row r="240" spans="1:22" s="6" customFormat="1" ht="15" customHeight="1">
      <c r="A240" s="101">
        <v>1</v>
      </c>
      <c r="B240" s="25" t="s">
        <v>260</v>
      </c>
      <c r="C240" s="25" t="s">
        <v>55</v>
      </c>
      <c r="D240" s="17">
        <f>1031963
*FX_RATE</f>
        <v>1418890406.3053</v>
      </c>
      <c r="E240" s="16">
        <f>9887
*FX_RATE</f>
        <v>13594062.4297</v>
      </c>
      <c r="F240" s="16">
        <f>8288
*FX_RATE</f>
        <v>11395528.412799999</v>
      </c>
      <c r="G240" s="16">
        <f>4422*FX_RATE</f>
        <v>6079998.3881999999</v>
      </c>
      <c r="H240" s="17">
        <f t="shared" ref="H240:H245" si="140">(E240+F240)-G240</f>
        <v>18909592.454300001</v>
      </c>
      <c r="I240" s="10">
        <v>2175892674.5288</v>
      </c>
      <c r="J240" s="13">
        <f t="shared" ref="J240:J245" si="141">(I240/$I$246)</f>
        <v>7.2094146435128501E-2</v>
      </c>
      <c r="K240" s="10">
        <v>2175892674.5288</v>
      </c>
      <c r="L240" s="13">
        <f t="shared" ref="L240" si="142">(K240/$K$246)</f>
        <v>7.0579232007691187E-2</v>
      </c>
      <c r="M240" s="13">
        <f>((K240-I240)/I240)</f>
        <v>0</v>
      </c>
      <c r="N240" s="20">
        <f t="shared" ref="N240" si="143">(G240/K240)</f>
        <v>2.7942547255997599E-3</v>
      </c>
      <c r="O240" s="21">
        <f t="shared" ref="O240" si="144">H240/K240</f>
        <v>8.6904986976873589E-3</v>
      </c>
      <c r="P240" s="22">
        <f t="shared" ref="P240" si="145">K240/V240</f>
        <v>1320.8658378040009</v>
      </c>
      <c r="Q240" s="22">
        <f t="shared" ref="Q240" si="146">H240/V240</f>
        <v>11.478982843255391</v>
      </c>
      <c r="R240" s="10">
        <f>1.0538*FX_RATE</f>
        <v>1448.91503878</v>
      </c>
      <c r="S240" s="10">
        <f>1.0538*FX_RATE</f>
        <v>1448.91503878</v>
      </c>
      <c r="T240" s="10">
        <v>58</v>
      </c>
      <c r="U240" s="10">
        <v>1501740</v>
      </c>
      <c r="V240" s="10">
        <v>1647323</v>
      </c>
    </row>
    <row r="241" spans="1:22" s="6" customFormat="1" ht="15" customHeight="1">
      <c r="A241" s="101">
        <v>2</v>
      </c>
      <c r="B241" s="25" t="s">
        <v>261</v>
      </c>
      <c r="C241" s="25" t="s">
        <v>262</v>
      </c>
      <c r="D241" s="16">
        <v>1229477548.3699999</v>
      </c>
      <c r="E241" s="16">
        <v>254666394.69</v>
      </c>
      <c r="F241" s="85">
        <v>0</v>
      </c>
      <c r="G241" s="16">
        <v>30101802.52</v>
      </c>
      <c r="H241" s="17">
        <f t="shared" si="140"/>
        <v>224564592.16999999</v>
      </c>
      <c r="I241" s="10">
        <v>15321181828.01</v>
      </c>
      <c r="J241" s="13">
        <f t="shared" si="141"/>
        <v>0.50763879082730134</v>
      </c>
      <c r="K241" s="10">
        <v>15321181828.01</v>
      </c>
      <c r="L241" s="13">
        <f t="shared" ref="L241:L245" si="147">(K241/$K$246)</f>
        <v>0.49697177601156872</v>
      </c>
      <c r="M241" s="13">
        <f t="shared" ref="M241:M245" si="148">((K241-I241)/I241)</f>
        <v>0</v>
      </c>
      <c r="N241" s="20">
        <f t="shared" ref="N241:N245" si="149">(G241/K241)</f>
        <v>1.9647180522959556E-3</v>
      </c>
      <c r="O241" s="21">
        <f t="shared" ref="O241:O245" si="150">H241/K241</f>
        <v>1.4657132503933457E-2</v>
      </c>
      <c r="P241" s="22">
        <f t="shared" ref="P241:P245" si="151">K241/V241</f>
        <v>107.21691753018905</v>
      </c>
      <c r="Q241" s="22">
        <f t="shared" ref="Q241:Q245" si="152">H241/V241</f>
        <v>1.5714925669032866</v>
      </c>
      <c r="R241" s="10">
        <v>123.3</v>
      </c>
      <c r="S241" s="10">
        <v>123.3</v>
      </c>
      <c r="T241" s="10">
        <v>12</v>
      </c>
      <c r="U241" s="10">
        <v>142898921</v>
      </c>
      <c r="V241" s="10">
        <v>142898921</v>
      </c>
    </row>
    <row r="242" spans="1:22" s="6" customFormat="1" ht="15" customHeight="1">
      <c r="A242" s="101">
        <v>3</v>
      </c>
      <c r="B242" s="25" t="s">
        <v>263</v>
      </c>
      <c r="C242" s="25" t="s">
        <v>264</v>
      </c>
      <c r="D242" s="16">
        <v>1160492110.9100001</v>
      </c>
      <c r="E242" s="16">
        <v>16483098.310000001</v>
      </c>
      <c r="F242" s="85">
        <v>0</v>
      </c>
      <c r="G242" s="16">
        <v>1659494.78</v>
      </c>
      <c r="H242" s="17">
        <f t="shared" si="140"/>
        <v>14823603.530000001</v>
      </c>
      <c r="I242" s="10">
        <v>11152475253.540001</v>
      </c>
      <c r="J242" s="13">
        <f t="shared" si="141"/>
        <v>0.3695164717703624</v>
      </c>
      <c r="K242" s="10">
        <v>11152475253.540001</v>
      </c>
      <c r="L242" s="13">
        <f t="shared" si="147"/>
        <v>0.36175182149096202</v>
      </c>
      <c r="M242" s="13">
        <f t="shared" si="148"/>
        <v>0</v>
      </c>
      <c r="N242" s="20">
        <f t="shared" si="149"/>
        <v>1.4880057944744113E-4</v>
      </c>
      <c r="O242" s="21">
        <f t="shared" si="150"/>
        <v>1.3291760970547517E-3</v>
      </c>
      <c r="P242" s="22">
        <f t="shared" si="151"/>
        <v>36.908906533365538</v>
      </c>
      <c r="Q242" s="22">
        <f t="shared" si="152"/>
        <v>4.9058436332577428E-2</v>
      </c>
      <c r="R242" s="10">
        <v>3.81</v>
      </c>
      <c r="S242" s="10">
        <v>3.84</v>
      </c>
      <c r="T242" s="10">
        <v>810</v>
      </c>
      <c r="U242" s="10">
        <v>295346853</v>
      </c>
      <c r="V242" s="10">
        <v>302162169</v>
      </c>
    </row>
    <row r="243" spans="1:22" s="6" customFormat="1" ht="15" customHeight="1">
      <c r="A243" s="117">
        <v>4</v>
      </c>
      <c r="B243" s="113" t="s">
        <v>317</v>
      </c>
      <c r="C243" s="12" t="s">
        <v>328</v>
      </c>
      <c r="D243" s="16">
        <v>1600441567.79</v>
      </c>
      <c r="E243" s="16">
        <v>4347410.8600000003</v>
      </c>
      <c r="F243" s="16">
        <v>15553224.18</v>
      </c>
      <c r="G243" s="16">
        <v>1026480.16</v>
      </c>
      <c r="H243" s="17">
        <f t="shared" si="140"/>
        <v>18874154.879999999</v>
      </c>
      <c r="I243" s="10">
        <v>1255172629.6400001</v>
      </c>
      <c r="J243" s="13">
        <f t="shared" si="141"/>
        <v>4.1587804592534715E-2</v>
      </c>
      <c r="K243" s="10">
        <v>1264111173.9200001</v>
      </c>
      <c r="L243" s="13">
        <f t="shared" si="147"/>
        <v>4.1003858725217487E-2</v>
      </c>
      <c r="M243" s="13">
        <f t="shared" si="148"/>
        <v>7.1213664709719356E-3</v>
      </c>
      <c r="N243" s="20">
        <f t="shared" si="149"/>
        <v>8.120173139652679E-4</v>
      </c>
      <c r="O243" s="21">
        <f t="shared" si="150"/>
        <v>1.4930771335144024E-2</v>
      </c>
      <c r="P243" s="22">
        <f t="shared" si="151"/>
        <v>155054.86839526193</v>
      </c>
      <c r="Q243" s="22">
        <f t="shared" si="152"/>
        <v>2315.0887844105059</v>
      </c>
      <c r="R243" s="10">
        <f>112.5*FX_RATE</f>
        <v>154681.09875</v>
      </c>
      <c r="S243" s="10">
        <f>112.5*FX_RATE</f>
        <v>154681.09875</v>
      </c>
      <c r="T243" s="10">
        <v>17</v>
      </c>
      <c r="U243" s="10">
        <v>8152.67</v>
      </c>
      <c r="V243" s="10">
        <v>8152.67</v>
      </c>
    </row>
    <row r="244" spans="1:22" s="6" customFormat="1" ht="15" customHeight="1">
      <c r="A244" s="101">
        <v>5</v>
      </c>
      <c r="B244" s="25" t="s">
        <v>265</v>
      </c>
      <c r="C244" s="25" t="s">
        <v>47</v>
      </c>
      <c r="D244" s="17">
        <v>245766188.39534247</v>
      </c>
      <c r="E244" s="16">
        <v>46449018</v>
      </c>
      <c r="F244" s="16">
        <v>12025847.140000001</v>
      </c>
      <c r="G244" s="16">
        <v>819364</v>
      </c>
      <c r="H244" s="17">
        <f t="shared" si="140"/>
        <v>57655501.140000001</v>
      </c>
      <c r="I244" s="10">
        <v>276544501</v>
      </c>
      <c r="J244" s="13">
        <f t="shared" si="141"/>
        <v>9.1627863746731181E-3</v>
      </c>
      <c r="K244" s="10">
        <v>378980106.00534248</v>
      </c>
      <c r="L244" s="13">
        <f t="shared" si="147"/>
        <v>1.2292943094650982E-2</v>
      </c>
      <c r="M244" s="13">
        <f t="shared" si="148"/>
        <v>0.37041273514725387</v>
      </c>
      <c r="N244" s="20">
        <f t="shared" si="149"/>
        <v>2.1620237764893376E-3</v>
      </c>
      <c r="O244" s="21">
        <f t="shared" si="150"/>
        <v>0.1521333184153662</v>
      </c>
      <c r="P244" s="22">
        <f t="shared" si="151"/>
        <v>1.5721620584622296</v>
      </c>
      <c r="Q244" s="22">
        <f t="shared" si="152"/>
        <v>0.23917823104059191</v>
      </c>
      <c r="R244" s="10">
        <v>1.57</v>
      </c>
      <c r="S244" s="10">
        <v>1.57</v>
      </c>
      <c r="T244" s="10">
        <v>27</v>
      </c>
      <c r="U244" s="10">
        <v>202807181.24000001</v>
      </c>
      <c r="V244" s="10">
        <v>241056641.69</v>
      </c>
    </row>
    <row r="245" spans="1:22" ht="15" customHeight="1">
      <c r="A245" s="101">
        <v>6</v>
      </c>
      <c r="B245" s="151" t="s">
        <v>325</v>
      </c>
      <c r="C245" s="152" t="s">
        <v>83</v>
      </c>
      <c r="D245" s="17">
        <v>446577814.14999998</v>
      </c>
      <c r="E245" s="16">
        <v>828815.21</v>
      </c>
      <c r="F245" s="16">
        <v>0</v>
      </c>
      <c r="G245" s="16">
        <v>410894.52</v>
      </c>
      <c r="H245" s="17">
        <f t="shared" si="140"/>
        <v>417920.68999999994</v>
      </c>
      <c r="I245" s="10">
        <v>0</v>
      </c>
      <c r="J245" s="13">
        <f t="shared" si="141"/>
        <v>0</v>
      </c>
      <c r="K245" s="10">
        <v>536437329.31</v>
      </c>
      <c r="L245" s="13">
        <f t="shared" si="147"/>
        <v>1.7400368669909596E-2</v>
      </c>
      <c r="M245" s="13" t="e">
        <f t="shared" si="148"/>
        <v>#DIV/0!</v>
      </c>
      <c r="N245" s="20">
        <f t="shared" si="149"/>
        <v>7.6596928951331341E-4</v>
      </c>
      <c r="O245" s="21">
        <f t="shared" si="150"/>
        <v>7.7906712893667605E-4</v>
      </c>
      <c r="P245" s="22">
        <f t="shared" si="151"/>
        <v>13578.797724924952</v>
      </c>
      <c r="Q245" s="22">
        <f t="shared" si="152"/>
        <v>10.578794957969151</v>
      </c>
      <c r="R245" s="10">
        <v>13577.1</v>
      </c>
      <c r="S245" s="10">
        <v>13577.1</v>
      </c>
      <c r="T245" s="10">
        <v>12</v>
      </c>
      <c r="U245" s="10">
        <v>0</v>
      </c>
      <c r="V245" s="10">
        <v>39505.51</v>
      </c>
    </row>
    <row r="246" spans="1:22" ht="15" customHeight="1">
      <c r="A246" s="125" t="s">
        <v>48</v>
      </c>
      <c r="B246" s="125"/>
      <c r="C246" s="125"/>
      <c r="D246" s="125"/>
      <c r="E246" s="125"/>
      <c r="F246" s="125"/>
      <c r="G246" s="125"/>
      <c r="H246" s="125"/>
      <c r="I246" s="36">
        <f>SUM(I240:I245)</f>
        <v>30181266886.7188</v>
      </c>
      <c r="J246" s="34">
        <f>(I246/$I$247)</f>
        <v>3.508950137246402E-3</v>
      </c>
      <c r="K246" s="70">
        <f>SUM(K240:K245)</f>
        <v>30829078365.314144</v>
      </c>
      <c r="L246" s="34">
        <f>(K246/$K$247)</f>
        <v>3.4719528518109264E-3</v>
      </c>
      <c r="M246" s="55"/>
      <c r="N246" s="56"/>
      <c r="O246" s="56"/>
      <c r="P246" s="57"/>
      <c r="Q246" s="57"/>
      <c r="R246" s="36"/>
      <c r="S246" s="36"/>
      <c r="T246" s="36">
        <f>SUM(T240:T245)</f>
        <v>936</v>
      </c>
      <c r="U246" s="36"/>
      <c r="V246" s="36"/>
    </row>
    <row r="247" spans="1:22" ht="15.6" customHeight="1">
      <c r="A247" s="126" t="s">
        <v>177</v>
      </c>
      <c r="B247" s="126"/>
      <c r="C247" s="126"/>
      <c r="D247" s="126"/>
      <c r="E247" s="126"/>
      <c r="F247" s="126"/>
      <c r="G247" s="126"/>
      <c r="H247" s="126"/>
      <c r="I247" s="63">
        <f>I237+I246</f>
        <v>8601224214147.1729</v>
      </c>
      <c r="J247" s="62"/>
      <c r="K247" s="63">
        <f>K237+K246</f>
        <v>8879463426248.4551</v>
      </c>
      <c r="L247" s="62"/>
      <c r="M247" s="62"/>
      <c r="N247" s="62"/>
      <c r="O247" s="62"/>
      <c r="P247" s="62"/>
      <c r="Q247" s="62"/>
      <c r="R247" s="64"/>
      <c r="S247" s="64"/>
      <c r="T247" s="63">
        <f>T237+T246</f>
        <v>1223491</v>
      </c>
      <c r="U247" s="64"/>
      <c r="V247" s="64"/>
    </row>
    <row r="248" spans="1:22" ht="4.95" customHeight="1">
      <c r="A248" s="51"/>
      <c r="B248" s="51"/>
      <c r="C248" s="14"/>
      <c r="D248" s="6"/>
      <c r="E248" s="6"/>
      <c r="F248" s="6"/>
      <c r="G248" s="6"/>
      <c r="H248" s="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>
      <c r="A249" s="93" t="s">
        <v>178</v>
      </c>
      <c r="B249" s="94" t="s">
        <v>324</v>
      </c>
      <c r="C249" s="54">
        <v>1374.9431</v>
      </c>
      <c r="D249" s="71"/>
      <c r="E249" s="6"/>
      <c r="F249" s="6"/>
      <c r="G249" s="6"/>
      <c r="H249" s="7"/>
      <c r="I249" s="8"/>
      <c r="J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9"/>
    </row>
    <row r="252" spans="1:22">
      <c r="B252" s="96"/>
    </row>
    <row r="254" spans="1:22">
      <c r="B254" s="95"/>
    </row>
  </sheetData>
  <sheetProtection algorithmName="SHA-512" hashValue="PXVJZaZn62EskIVU6Y/uaKOp7Z+ItMajTspaVjQp0z8wNjGu6skrbVZ0z6qhM9QWszHiKjcXkW9dPNIFJfNkdw==" saltValue="ut5qNTEg+J15z+CwMfoC0A==" spinCount="100000" sheet="1" objects="1" scenarios="1"/>
  <mergeCells count="36">
    <mergeCell ref="A204:V204"/>
    <mergeCell ref="A208:H208"/>
    <mergeCell ref="A236:H236"/>
    <mergeCell ref="A237:H237"/>
    <mergeCell ref="A209:V209"/>
    <mergeCell ref="A210:V210"/>
    <mergeCell ref="A211:V211"/>
    <mergeCell ref="A214:V214"/>
    <mergeCell ref="A215:V215"/>
    <mergeCell ref="A231:V231"/>
    <mergeCell ref="A169:H169"/>
    <mergeCell ref="A170:V170"/>
    <mergeCell ref="A171:V171"/>
    <mergeCell ref="A202:H202"/>
    <mergeCell ref="A203:V203"/>
    <mergeCell ref="A138:V138"/>
    <mergeCell ref="A139:V139"/>
    <mergeCell ref="A160:H160"/>
    <mergeCell ref="A161:V161"/>
    <mergeCell ref="A162:V162"/>
    <mergeCell ref="A246:H246"/>
    <mergeCell ref="A247:H247"/>
    <mergeCell ref="A239:V239"/>
    <mergeCell ref="A1:V1"/>
    <mergeCell ref="A3:V3"/>
    <mergeCell ref="A4:V4"/>
    <mergeCell ref="A25:H25"/>
    <mergeCell ref="A26:V26"/>
    <mergeCell ref="A27:V27"/>
    <mergeCell ref="A75:H75"/>
    <mergeCell ref="A76:V76"/>
    <mergeCell ref="A77:V77"/>
    <mergeCell ref="A116:H116"/>
    <mergeCell ref="A117:V117"/>
    <mergeCell ref="A118:V118"/>
    <mergeCell ref="A119:V119"/>
  </mergeCells>
  <pageMargins left="0.7" right="0.7" top="0.75" bottom="0.75" header="0.3" footer="0.3"/>
  <pageSetup scale="83" orientation="portrait" r:id="rId1"/>
  <colBreaks count="1" manualBreakCount="1">
    <brk id="3" max="1048575" man="1"/>
  </colBreaks>
  <ignoredErrors>
    <ignoredError sqref="J25 J75 J116 J160 J169 J202 J208 J236 J24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8" sqref="H8"/>
    </sheetView>
  </sheetViews>
  <sheetFormatPr defaultColWidth="9" defaultRowHeight="14.4"/>
  <cols>
    <col min="1" max="1" width="30.33203125" customWidth="1"/>
    <col min="2" max="2" width="9.33203125" customWidth="1"/>
    <col min="3" max="3" width="9.44140625" customWidth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82"/>
      <c r="B3" s="82"/>
      <c r="C3" s="82"/>
      <c r="D3" s="2"/>
      <c r="E3" s="86"/>
      <c r="F3" s="2"/>
      <c r="G3" s="2"/>
      <c r="H3" s="2"/>
    </row>
    <row r="4" spans="1:8" ht="33" customHeight="1">
      <c r="A4" s="153" t="s">
        <v>179</v>
      </c>
      <c r="B4" s="154" t="s">
        <v>333</v>
      </c>
      <c r="C4" s="154" t="s">
        <v>334</v>
      </c>
      <c r="D4" s="86"/>
      <c r="E4" s="86"/>
      <c r="F4" s="2"/>
      <c r="G4" s="2"/>
      <c r="H4" s="2"/>
    </row>
    <row r="5" spans="1:8" ht="19.2" customHeight="1">
      <c r="A5" s="155" t="s">
        <v>20</v>
      </c>
      <c r="B5" s="156">
        <f>[1]March!I25/1000000000</f>
        <v>148.292010503</v>
      </c>
      <c r="C5" s="157">
        <f>April!K25/1000000000</f>
        <v>235.55133925593</v>
      </c>
      <c r="D5" s="86"/>
      <c r="E5" s="86"/>
      <c r="F5" s="2"/>
      <c r="G5" s="2"/>
      <c r="H5" s="2"/>
    </row>
    <row r="6" spans="1:8">
      <c r="A6" s="153" t="s">
        <v>49</v>
      </c>
      <c r="B6" s="156">
        <f>[1]March!I74/1000000000</f>
        <v>5317.5723324362407</v>
      </c>
      <c r="C6" s="157">
        <f>April!K75/1000000000</f>
        <v>5695.4340585764612</v>
      </c>
      <c r="D6" s="86"/>
      <c r="E6" s="86"/>
      <c r="F6" s="2"/>
      <c r="G6" s="2"/>
      <c r="H6" s="2"/>
    </row>
    <row r="7" spans="1:8">
      <c r="A7" s="153" t="s">
        <v>180</v>
      </c>
      <c r="B7" s="156">
        <f>[1]March!I115/1000000000</f>
        <v>240.56269176319998</v>
      </c>
      <c r="C7" s="157">
        <f>April!K116/1000000000</f>
        <v>234.62439952482995</v>
      </c>
      <c r="D7" s="86"/>
      <c r="E7" s="86"/>
      <c r="F7" s="2"/>
      <c r="G7" s="2"/>
      <c r="H7" s="2"/>
    </row>
    <row r="8" spans="1:8">
      <c r="A8" s="153" t="s">
        <v>181</v>
      </c>
      <c r="B8" s="156">
        <f>[1]March!I158/1000000000</f>
        <v>1836.1119737791648</v>
      </c>
      <c r="C8" s="157">
        <f>April!K160/1000000000</f>
        <v>1858.7017859926186</v>
      </c>
      <c r="D8" s="86"/>
      <c r="E8" s="86"/>
      <c r="F8" s="2"/>
      <c r="G8" s="2"/>
      <c r="H8" s="2"/>
    </row>
    <row r="9" spans="1:8">
      <c r="A9" s="153" t="s">
        <v>182</v>
      </c>
      <c r="B9" s="156">
        <f>[1]March!I167/1000000000</f>
        <v>501.58741494934998</v>
      </c>
      <c r="C9" s="157">
        <f>April!K169/1000000000</f>
        <v>526.89377204159996</v>
      </c>
      <c r="D9" s="86"/>
      <c r="E9" s="86"/>
      <c r="F9" s="2"/>
      <c r="G9" s="2"/>
      <c r="H9" s="2"/>
    </row>
    <row r="10" spans="1:8">
      <c r="A10" s="153" t="s">
        <v>142</v>
      </c>
      <c r="B10" s="156">
        <f>[1]March!I199/1000000000</f>
        <v>115.15745344782</v>
      </c>
      <c r="C10" s="157">
        <f>April!K202/1000000000</f>
        <v>144.17948628507881</v>
      </c>
      <c r="D10" s="86"/>
      <c r="E10" s="86"/>
      <c r="F10" s="2"/>
      <c r="G10" s="2"/>
      <c r="H10" s="2"/>
    </row>
    <row r="11" spans="1:8">
      <c r="A11" s="153" t="s">
        <v>163</v>
      </c>
      <c r="B11" s="156">
        <f>[1]March!I205/1000000000</f>
        <v>13.45514408373</v>
      </c>
      <c r="C11" s="157">
        <f>April!K208/1000000000</f>
        <v>19.528484775740001</v>
      </c>
      <c r="D11" s="86"/>
      <c r="E11" s="86"/>
      <c r="F11" s="2"/>
      <c r="G11" s="2"/>
      <c r="H11" s="2"/>
    </row>
    <row r="12" spans="1:8">
      <c r="A12" s="153" t="s">
        <v>183</v>
      </c>
      <c r="B12" s="156">
        <f>[1]March!I233/1000000000</f>
        <v>104.38107421831002</v>
      </c>
      <c r="C12" s="157">
        <f>April!K236/1000000000</f>
        <v>133.7210214308819</v>
      </c>
      <c r="D12" s="86"/>
      <c r="E12" s="86"/>
      <c r="F12" s="2"/>
      <c r="G12" s="2"/>
      <c r="H12" s="2"/>
    </row>
    <row r="13" spans="1:8">
      <c r="A13" s="158" t="s">
        <v>259</v>
      </c>
      <c r="B13" s="156">
        <f>[1]March!I242/1000000000</f>
        <v>30.015611170228798</v>
      </c>
      <c r="C13" s="157">
        <f>April!K246/1000000000</f>
        <v>30.829078365314142</v>
      </c>
      <c r="D13" s="86"/>
      <c r="E13" s="86"/>
      <c r="F13" s="2"/>
      <c r="G13" s="2"/>
      <c r="H13" s="2"/>
    </row>
    <row r="14" spans="1:8">
      <c r="A14" s="159"/>
      <c r="B14" s="159"/>
      <c r="C14" s="159"/>
      <c r="D14" s="86"/>
      <c r="E14" s="86"/>
      <c r="F14" s="2"/>
      <c r="G14" s="2"/>
      <c r="H14" s="2"/>
    </row>
    <row r="15" spans="1:8">
      <c r="A15" s="159"/>
      <c r="B15" s="159"/>
      <c r="C15" s="159"/>
      <c r="D15" s="86"/>
      <c r="E15" s="86"/>
      <c r="F15" s="2"/>
      <c r="G15" s="2"/>
      <c r="H15" s="2"/>
    </row>
    <row r="16" spans="1:8">
      <c r="A16" s="159"/>
      <c r="B16" s="160"/>
      <c r="C16" s="159"/>
      <c r="D16" s="86"/>
      <c r="E16" s="86"/>
      <c r="F16" s="2"/>
      <c r="G16" s="2"/>
      <c r="H16" s="2"/>
    </row>
    <row r="17" spans="1:8">
      <c r="A17" s="83"/>
      <c r="B17" s="84"/>
      <c r="C17" s="82"/>
      <c r="D17" s="2"/>
      <c r="E17" s="2"/>
      <c r="F17" s="2"/>
      <c r="G17" s="2"/>
      <c r="H17" s="2"/>
    </row>
    <row r="18" spans="1:8" ht="15.6">
      <c r="A18" s="61"/>
      <c r="B18" s="46"/>
      <c r="C18" s="2"/>
      <c r="D18" s="2"/>
      <c r="E18" s="2"/>
      <c r="F18" s="2"/>
      <c r="G18" s="2"/>
      <c r="H18" s="2"/>
    </row>
    <row r="19" spans="1:8">
      <c r="A19" s="47"/>
      <c r="B19" s="45"/>
      <c r="C19" s="2"/>
      <c r="D19" s="2"/>
      <c r="E19" s="2"/>
      <c r="F19" s="2"/>
      <c r="G19" s="2"/>
      <c r="H19" s="2"/>
    </row>
    <row r="20" spans="1:8">
      <c r="A20" s="47"/>
      <c r="B20" s="46"/>
      <c r="C20" s="2"/>
      <c r="D20" s="2"/>
      <c r="E20" s="2"/>
      <c r="F20" s="2"/>
      <c r="G20" s="2"/>
      <c r="H20" s="2"/>
    </row>
    <row r="21" spans="1:8">
      <c r="A21" s="47"/>
      <c r="B21" s="45"/>
      <c r="C21" s="2"/>
      <c r="D21" s="2"/>
      <c r="E21" s="2"/>
      <c r="F21" s="2"/>
      <c r="G21" s="2"/>
      <c r="H21" s="2"/>
    </row>
    <row r="22" spans="1:8">
      <c r="A22" s="47"/>
      <c r="B22" s="48"/>
      <c r="C22" s="2"/>
      <c r="D22" s="2"/>
      <c r="E22" s="2"/>
      <c r="F22" s="2"/>
      <c r="G22" s="2"/>
      <c r="H22" s="2"/>
    </row>
    <row r="23" spans="1:8">
      <c r="A23" s="47"/>
      <c r="B23" s="45"/>
      <c r="C23" s="2"/>
      <c r="D23" s="2"/>
      <c r="E23" s="2"/>
      <c r="F23" s="2"/>
      <c r="G23" s="2"/>
      <c r="H23" s="2"/>
    </row>
    <row r="24" spans="1:8">
      <c r="A24" s="47"/>
      <c r="B24" s="45"/>
      <c r="C24" s="2"/>
      <c r="D24" s="2"/>
      <c r="E24" s="2"/>
      <c r="F24" s="2"/>
      <c r="G24" s="2"/>
      <c r="H24" s="2"/>
    </row>
    <row r="25" spans="1:8">
      <c r="A25" s="47"/>
      <c r="B25" s="45"/>
      <c r="C25" s="2"/>
      <c r="D25" s="2"/>
      <c r="E25" s="2"/>
      <c r="F25" s="2"/>
      <c r="G25" s="2"/>
      <c r="H25" s="2"/>
    </row>
    <row r="26" spans="1:8">
      <c r="A26" s="47"/>
      <c r="B26" s="45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</sheetData>
  <sheetProtection algorithmName="SHA-512" hashValue="Zz99vFk3fQhKUc2TTSE8ijPmSh7UD3igWRimzHVA/KaJAoRFm6uPoO35l+D7fNF0p6MVnLCWQQAAkM4cRfDFQw==" saltValue="nQpdcR9e/5r2UY2tixX5z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="85" zoomScaleNormal="85" workbookViewId="0">
      <selection activeCell="L15" sqref="L15"/>
    </sheetView>
  </sheetViews>
  <sheetFormatPr defaultColWidth="9" defaultRowHeight="14.4"/>
  <cols>
    <col min="1" max="1" width="26.6640625" customWidth="1"/>
    <col min="2" max="2" width="21.33203125" customWidth="1"/>
  </cols>
  <sheetData>
    <row r="1" spans="1:6">
      <c r="A1" s="161" t="s">
        <v>179</v>
      </c>
      <c r="B1" s="162" t="s">
        <v>332</v>
      </c>
      <c r="C1" s="86"/>
      <c r="D1" s="86"/>
      <c r="E1" s="2"/>
      <c r="F1" s="2"/>
    </row>
    <row r="2" spans="1:6">
      <c r="A2" s="161" t="s">
        <v>163</v>
      </c>
      <c r="B2" s="163">
        <f>April!K208</f>
        <v>19528484775.740002</v>
      </c>
      <c r="C2" s="86"/>
      <c r="D2" s="86"/>
      <c r="E2" s="2"/>
      <c r="F2" s="2"/>
    </row>
    <row r="3" spans="1:6">
      <c r="A3" s="161" t="s">
        <v>259</v>
      </c>
      <c r="B3" s="163">
        <f>April!K246</f>
        <v>30829078365.314144</v>
      </c>
      <c r="C3" s="86"/>
      <c r="D3" s="86"/>
      <c r="E3" s="2"/>
      <c r="F3" s="2"/>
    </row>
    <row r="4" spans="1:6">
      <c r="A4" s="161" t="s">
        <v>183</v>
      </c>
      <c r="B4" s="164">
        <f>April!K236</f>
        <v>133721021430.8819</v>
      </c>
      <c r="C4" s="86"/>
      <c r="D4" s="86"/>
      <c r="E4" s="2"/>
      <c r="F4" s="2"/>
    </row>
    <row r="5" spans="1:6">
      <c r="A5" s="161" t="s">
        <v>20</v>
      </c>
      <c r="B5" s="165">
        <f>April!K25</f>
        <v>235551339255.92999</v>
      </c>
      <c r="C5" s="86"/>
      <c r="D5" s="86"/>
      <c r="E5" s="2"/>
      <c r="F5" s="2"/>
    </row>
    <row r="6" spans="1:6">
      <c r="A6" s="161" t="s">
        <v>142</v>
      </c>
      <c r="B6" s="165">
        <f>April!K202</f>
        <v>144179486285.0788</v>
      </c>
      <c r="C6" s="86"/>
      <c r="D6" s="86"/>
      <c r="E6" s="2"/>
      <c r="F6" s="2"/>
    </row>
    <row r="7" spans="1:6">
      <c r="A7" s="161" t="s">
        <v>180</v>
      </c>
      <c r="B7" s="166">
        <f>April!K116</f>
        <v>234624399524.82996</v>
      </c>
      <c r="C7" s="86"/>
      <c r="D7" s="86"/>
      <c r="E7" s="2"/>
      <c r="F7" s="2"/>
    </row>
    <row r="8" spans="1:6">
      <c r="A8" s="161" t="s">
        <v>182</v>
      </c>
      <c r="B8" s="166">
        <f>April!K169</f>
        <v>526893772041.59998</v>
      </c>
      <c r="C8" s="86"/>
      <c r="D8" s="86"/>
      <c r="E8" s="2"/>
      <c r="F8" s="2"/>
    </row>
    <row r="9" spans="1:6">
      <c r="A9" s="161" t="s">
        <v>181</v>
      </c>
      <c r="B9" s="165">
        <f>April!K160</f>
        <v>1858701785992.6187</v>
      </c>
      <c r="C9" s="86"/>
      <c r="D9" s="86"/>
      <c r="E9" s="2"/>
      <c r="F9" s="2"/>
    </row>
    <row r="10" spans="1:6">
      <c r="A10" s="161" t="s">
        <v>49</v>
      </c>
      <c r="B10" s="165">
        <f>April!K75</f>
        <v>5695434058576.4609</v>
      </c>
      <c r="C10" s="86"/>
      <c r="D10" s="86"/>
      <c r="E10" s="2"/>
      <c r="F10" s="2"/>
    </row>
    <row r="11" spans="1:6">
      <c r="A11" s="86"/>
      <c r="B11" s="86"/>
      <c r="C11" s="86"/>
      <c r="D11" s="86"/>
      <c r="E11" s="2"/>
      <c r="F11" s="2"/>
    </row>
    <row r="12" spans="1:6">
      <c r="A12" s="91"/>
      <c r="B12" s="86"/>
      <c r="C12" s="86"/>
      <c r="D12" s="86"/>
      <c r="E12" s="2"/>
      <c r="F12" s="2"/>
    </row>
    <row r="13" spans="1:6">
      <c r="A13" s="167"/>
      <c r="B13" s="86"/>
      <c r="C13" s="86"/>
      <c r="D13" s="86"/>
      <c r="E13" s="2"/>
      <c r="F13" s="2"/>
    </row>
    <row r="14" spans="1:6" ht="15" customHeight="1">
      <c r="A14" s="86"/>
      <c r="B14" s="168"/>
      <c r="C14" s="86"/>
      <c r="D14" s="86"/>
      <c r="E14" s="2"/>
      <c r="F14" s="2"/>
    </row>
    <row r="15" spans="1:6">
      <c r="A15" s="86"/>
      <c r="B15" s="168"/>
      <c r="C15" s="86"/>
      <c r="D15" s="86"/>
      <c r="E15" s="2"/>
      <c r="F15" s="2"/>
    </row>
    <row r="16" spans="1:6">
      <c r="A16" s="169"/>
      <c r="B16" s="168"/>
      <c r="C16" s="86"/>
      <c r="D16" s="86"/>
      <c r="E16" s="2"/>
      <c r="F16" s="2"/>
    </row>
    <row r="17" spans="1:6">
      <c r="A17" s="170"/>
      <c r="B17" s="168"/>
      <c r="C17" s="86"/>
      <c r="D17" s="86"/>
      <c r="E17" s="2"/>
      <c r="F17" s="2"/>
    </row>
    <row r="18" spans="1:6">
      <c r="A18" s="170"/>
      <c r="B18" s="168"/>
      <c r="C18" s="86"/>
      <c r="D18" s="86"/>
      <c r="E18" s="2"/>
      <c r="F18" s="2"/>
    </row>
    <row r="19" spans="1:6">
      <c r="A19" s="169"/>
      <c r="B19" s="168"/>
      <c r="C19" s="86"/>
      <c r="D19" s="86"/>
      <c r="E19" s="2"/>
      <c r="F19" s="2"/>
    </row>
    <row r="20" spans="1:6">
      <c r="A20" s="171"/>
      <c r="B20" s="168"/>
      <c r="C20" s="86"/>
      <c r="D20" s="86"/>
      <c r="E20" s="2"/>
      <c r="F20" s="2"/>
    </row>
    <row r="21" spans="1:6">
      <c r="A21" s="172"/>
      <c r="B21" s="168"/>
      <c r="C21" s="86"/>
      <c r="D21" s="86"/>
      <c r="E21" s="2"/>
      <c r="F21" s="2"/>
    </row>
    <row r="22" spans="1:6">
      <c r="A22" s="91"/>
      <c r="B22" s="173"/>
      <c r="C22" s="86"/>
      <c r="D22" s="86"/>
      <c r="E22" s="2"/>
      <c r="F22" s="2"/>
    </row>
    <row r="23" spans="1:6">
      <c r="A23" s="2"/>
      <c r="B23" s="46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3" spans="1:17" ht="16.2" customHeigh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"/>
    </row>
    <row r="34" spans="1:17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"/>
    </row>
  </sheetData>
  <sheetProtection algorithmName="SHA-512" hashValue="i8nDxkdq5JKkYOow45HNBUIA3x7HVIB51rTsFr9dCZnK/yampAdSvJynZ6TZC4VXRKGwg13q1NCJJTbl3kFnLw==" saltValue="GC8P0ZPd6oB11+bx4IvK4Q==" spinCount="100000" sheet="1" objects="1" scenarios="1"/>
  <sortState ref="A13:A19">
    <sortCondition ref="A12:A1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F7" sqref="F7"/>
    </sheetView>
  </sheetViews>
  <sheetFormatPr defaultColWidth="9" defaultRowHeight="14.4"/>
  <cols>
    <col min="1" max="1" width="34.6640625" customWidth="1"/>
    <col min="2" max="2" width="15" customWidth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86"/>
      <c r="B4" s="86"/>
      <c r="C4" s="86"/>
      <c r="D4" s="2"/>
      <c r="E4" s="2"/>
      <c r="F4" s="2"/>
      <c r="G4" s="2"/>
      <c r="H4" s="2"/>
    </row>
    <row r="5" spans="1:8" ht="15.6">
      <c r="A5" s="87" t="s">
        <v>179</v>
      </c>
      <c r="B5" s="88" t="s">
        <v>184</v>
      </c>
      <c r="C5" s="86"/>
      <c r="D5" s="2"/>
      <c r="E5" s="2"/>
      <c r="F5" s="2"/>
      <c r="G5" s="2"/>
      <c r="H5" s="2"/>
    </row>
    <row r="6" spans="1:8">
      <c r="A6" s="89" t="s">
        <v>20</v>
      </c>
      <c r="B6" s="90">
        <f>April!T25</f>
        <v>91341</v>
      </c>
      <c r="C6" s="86"/>
      <c r="D6" s="2"/>
      <c r="E6" s="2"/>
      <c r="F6" s="2"/>
      <c r="G6" s="2"/>
      <c r="H6" s="2"/>
    </row>
    <row r="7" spans="1:8">
      <c r="A7" s="89" t="s">
        <v>49</v>
      </c>
      <c r="B7" s="90">
        <f>April!T75</f>
        <v>658622</v>
      </c>
      <c r="C7" s="86"/>
      <c r="D7" s="2"/>
      <c r="E7" s="2"/>
      <c r="F7" s="2"/>
      <c r="G7" s="2"/>
      <c r="H7" s="2"/>
    </row>
    <row r="8" spans="1:8">
      <c r="A8" s="89" t="s">
        <v>180</v>
      </c>
      <c r="B8" s="90">
        <f>April!T116</f>
        <v>58558</v>
      </c>
      <c r="C8" s="86"/>
      <c r="D8" s="2"/>
      <c r="E8" s="2"/>
      <c r="F8" s="2"/>
      <c r="G8" s="2"/>
      <c r="H8" s="2"/>
    </row>
    <row r="9" spans="1:8">
      <c r="A9" s="89" t="s">
        <v>181</v>
      </c>
      <c r="B9" s="90">
        <f>April!T160</f>
        <v>27076</v>
      </c>
      <c r="C9" s="86"/>
      <c r="D9" s="2"/>
      <c r="E9" s="2"/>
      <c r="F9" s="2"/>
      <c r="G9" s="2"/>
      <c r="H9" s="2"/>
    </row>
    <row r="10" spans="1:8">
      <c r="A10" s="89" t="s">
        <v>182</v>
      </c>
      <c r="B10" s="90">
        <f>April!T169</f>
        <v>230297</v>
      </c>
      <c r="C10" s="86"/>
      <c r="D10" s="2"/>
      <c r="E10" s="2"/>
      <c r="F10" s="2"/>
      <c r="G10" s="2"/>
      <c r="H10" s="2"/>
    </row>
    <row r="11" spans="1:8">
      <c r="A11" s="89" t="s">
        <v>142</v>
      </c>
      <c r="B11" s="90">
        <f>April!T202</f>
        <v>89639</v>
      </c>
      <c r="C11" s="86"/>
      <c r="D11" s="2"/>
      <c r="E11" s="2"/>
      <c r="F11" s="2"/>
      <c r="G11" s="2"/>
      <c r="H11" s="2"/>
    </row>
    <row r="12" spans="1:8">
      <c r="A12" s="89" t="s">
        <v>163</v>
      </c>
      <c r="B12" s="90">
        <f>April!T208</f>
        <v>16768</v>
      </c>
      <c r="C12" s="86"/>
      <c r="D12" s="2"/>
      <c r="E12" s="2"/>
      <c r="F12" s="2"/>
      <c r="G12" s="2"/>
      <c r="H12" s="2"/>
    </row>
    <row r="13" spans="1:8">
      <c r="A13" s="89" t="s">
        <v>183</v>
      </c>
      <c r="B13" s="90">
        <f>April!T236</f>
        <v>50254</v>
      </c>
      <c r="C13" s="86"/>
      <c r="D13" s="2"/>
      <c r="E13" s="2"/>
      <c r="F13" s="2"/>
      <c r="G13" s="2"/>
      <c r="H13" s="2"/>
    </row>
    <row r="14" spans="1:8">
      <c r="A14" s="91" t="s">
        <v>259</v>
      </c>
      <c r="B14" s="92">
        <f>April!T246</f>
        <v>936</v>
      </c>
      <c r="C14" s="86"/>
      <c r="D14" s="2"/>
      <c r="E14" s="2"/>
      <c r="F14" s="2"/>
      <c r="G14" s="2"/>
      <c r="H14" s="2"/>
    </row>
    <row r="15" spans="1:8">
      <c r="A15" s="86"/>
      <c r="B15" s="86"/>
      <c r="C15" s="86"/>
      <c r="D15" s="2"/>
      <c r="E15" s="2"/>
      <c r="F15" s="2"/>
      <c r="G15" s="2"/>
      <c r="H15" s="2"/>
    </row>
    <row r="16" spans="1:8">
      <c r="A16" s="86"/>
      <c r="B16" s="86"/>
      <c r="C16" s="86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</sheetData>
  <sheetProtection algorithmName="SHA-512" hashValue="2uixY4XOGGKn6C/IpYgbaE9z3Cu/uueJUTDqPxjF6BdFga4WfIeOtHrxK2EOOIsVOQgGOmsRnm9wM/zgLaC9rA==" saltValue="Q5Dxqh2Zvg/HiW7MFiu8h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April</vt:lpstr>
      <vt:lpstr>NAV Comparison</vt:lpstr>
      <vt:lpstr>Market Share</vt:lpstr>
      <vt:lpstr>Unitholders</vt:lpstr>
      <vt:lpstr>April!_Hlk34300669</vt:lpstr>
      <vt:lpstr>FX_RATE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RV;Mohammed N. Abdulaziz</dc:creator>
  <cp:lastModifiedBy>Isaac, Tunde</cp:lastModifiedBy>
  <cp:lastPrinted>2025-09-10T13:51:24Z</cp:lastPrinted>
  <dcterms:created xsi:type="dcterms:W3CDTF">2023-10-09T09:40:00Z</dcterms:created>
  <dcterms:modified xsi:type="dcterms:W3CDTF">2026-08-26T10:47:01Z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054E73640F5C4E6A998570FE791E2000_13</vt:lpwstr>
  </property>
  <property fmtid="{D5CDD505-2E9C-101B-9397-08002B2CF9AE}" pid="3" name="KSOProductBuildVer">
    <vt:lpwstr>1033-12.2.0.13266</vt:lpwstr>
  </property>
</Properties>
</file>