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3696" yWindow="3696" windowWidth="19200" windowHeight="9972" tabRatio="60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Valuation'!$AC$143</definedName>
    <definedName name="NFEM_RATE" localSheetId="0">'Weekly Valuation'!$AC$143</definedName>
  </definedNames>
  <calcPr calcId="162913"/>
</workbook>
</file>

<file path=xl/calcChain.xml><?xml version="1.0" encoding="utf-8"?>
<calcChain xmlns="http://schemas.openxmlformats.org/spreadsheetml/2006/main">
  <c r="T159" i="1" l="1"/>
  <c r="R159" i="1"/>
  <c r="T152" i="1" l="1"/>
  <c r="R152" i="1"/>
  <c r="N152" i="1"/>
  <c r="O159" i="1" l="1"/>
  <c r="T160" i="1" l="1"/>
  <c r="R160" i="1"/>
  <c r="O160" i="1"/>
  <c r="T141" i="1"/>
  <c r="R141" i="1"/>
  <c r="O141" i="1"/>
  <c r="T246" i="1"/>
  <c r="R246" i="1"/>
  <c r="O246" i="1"/>
  <c r="T127" i="1"/>
  <c r="R127" i="1"/>
  <c r="O127" i="1"/>
  <c r="T126" i="1"/>
  <c r="R126" i="1"/>
  <c r="O126" i="1"/>
  <c r="T249" i="1"/>
  <c r="R249" i="1"/>
  <c r="O249" i="1"/>
  <c r="T135" i="1"/>
  <c r="T134" i="1"/>
  <c r="R135" i="1"/>
  <c r="R134" i="1"/>
  <c r="O135" i="1"/>
  <c r="O134" i="1"/>
  <c r="T158" i="1"/>
  <c r="R158" i="1"/>
  <c r="O158" i="1"/>
  <c r="T156" i="1" l="1"/>
  <c r="R156" i="1"/>
  <c r="O156" i="1"/>
  <c r="T155" i="1" l="1"/>
  <c r="T146" i="1" l="1"/>
  <c r="R146" i="1"/>
  <c r="O146" i="1"/>
  <c r="T129" i="1" l="1"/>
  <c r="R129" i="1"/>
  <c r="O129" i="1"/>
  <c r="O153" i="1" l="1"/>
  <c r="T131" i="1" l="1"/>
  <c r="R131" i="1"/>
  <c r="O131" i="1"/>
  <c r="T163" i="1"/>
  <c r="R163" i="1"/>
  <c r="O163" i="1"/>
  <c r="T251" i="1"/>
  <c r="R251" i="1"/>
  <c r="O251" i="1"/>
  <c r="T128" i="1" l="1"/>
  <c r="R128" i="1"/>
  <c r="O128" i="1"/>
  <c r="O154" i="1"/>
  <c r="O138" i="1" l="1"/>
  <c r="O144" i="1" l="1"/>
  <c r="T147" i="1"/>
  <c r="R147" i="1"/>
  <c r="O147" i="1"/>
  <c r="T157" i="1"/>
  <c r="R157" i="1"/>
  <c r="O157" i="1" l="1"/>
  <c r="T139" i="1" l="1"/>
  <c r="R139" i="1"/>
  <c r="O139" i="1"/>
  <c r="O162" i="1" l="1"/>
  <c r="T125" i="1" l="1"/>
  <c r="R125" i="1"/>
  <c r="O125" i="1"/>
  <c r="T140" i="1" l="1"/>
  <c r="R140" i="1"/>
  <c r="O140" i="1"/>
  <c r="T130" i="1" l="1"/>
  <c r="R130" i="1"/>
  <c r="O130" i="1"/>
  <c r="T149" i="1"/>
  <c r="R149" i="1"/>
  <c r="O149" i="1"/>
  <c r="T124" i="1" l="1"/>
  <c r="R124" i="1"/>
  <c r="O124" i="1"/>
  <c r="T133" i="1" l="1"/>
  <c r="R133" i="1"/>
  <c r="O133" i="1"/>
  <c r="O151" i="1"/>
  <c r="O136" i="1" l="1"/>
  <c r="T137" i="1" l="1"/>
  <c r="R137" i="1"/>
  <c r="O137" i="1"/>
  <c r="T154" i="1" l="1"/>
  <c r="R154" i="1"/>
  <c r="T151" i="1" l="1"/>
  <c r="R151" i="1"/>
  <c r="N155" i="1" l="1"/>
  <c r="AA87" i="1" l="1"/>
  <c r="AB221" i="1" l="1"/>
  <c r="AA221" i="1"/>
  <c r="Z221" i="1"/>
  <c r="Y221" i="1"/>
  <c r="X221" i="1"/>
  <c r="AB222" i="1"/>
  <c r="AA222" i="1"/>
  <c r="Z222" i="1"/>
  <c r="Y222" i="1"/>
  <c r="X222" i="1"/>
  <c r="X22" i="1" l="1"/>
  <c r="Y22" i="1"/>
  <c r="Z22" i="1"/>
  <c r="AA22" i="1"/>
  <c r="AB22" i="1"/>
  <c r="X23" i="1"/>
  <c r="Y23" i="1"/>
  <c r="Z23" i="1"/>
  <c r="AA23" i="1"/>
  <c r="AB23" i="1"/>
  <c r="N150" i="1" l="1"/>
  <c r="X161" i="1" l="1"/>
  <c r="X160" i="1"/>
  <c r="J11" i="4" l="1"/>
  <c r="I11" i="4"/>
  <c r="H11" i="4"/>
  <c r="G11" i="4"/>
  <c r="F11" i="4"/>
  <c r="E11" i="4"/>
  <c r="D11" i="4"/>
  <c r="C11" i="4"/>
  <c r="B11" i="4"/>
  <c r="T162" i="1" l="1"/>
  <c r="R162" i="1"/>
  <c r="T153" i="1" l="1"/>
  <c r="R153" i="1"/>
  <c r="R155" i="1" l="1"/>
  <c r="X256" i="1" l="1"/>
  <c r="Y256" i="1"/>
  <c r="Z25" i="1" l="1"/>
  <c r="O79" i="1" l="1"/>
  <c r="P67" i="1" l="1"/>
  <c r="P38" i="1"/>
  <c r="P39" i="1"/>
  <c r="P40" i="1"/>
  <c r="P41" i="1"/>
  <c r="X125" i="1"/>
  <c r="Z67" i="1"/>
  <c r="AA67" i="1"/>
  <c r="AB67" i="1"/>
  <c r="X67" i="1"/>
  <c r="Y67" i="1"/>
  <c r="X197" i="1"/>
  <c r="AA178" i="1"/>
  <c r="AB178" i="1"/>
  <c r="Z178" i="1"/>
  <c r="Y178" i="1"/>
  <c r="X178" i="1"/>
  <c r="X84" i="1"/>
  <c r="AB11" i="1"/>
  <c r="AA11" i="1"/>
  <c r="Z11" i="1"/>
  <c r="Y11" i="1"/>
  <c r="X11" i="1"/>
  <c r="X25" i="1" l="1"/>
  <c r="X26" i="1"/>
  <c r="T138" i="1"/>
  <c r="X127" i="1" l="1"/>
  <c r="R138" i="1"/>
  <c r="AB205" i="1" l="1"/>
  <c r="AA205" i="1"/>
  <c r="Z205" i="1"/>
  <c r="Y205" i="1"/>
  <c r="X205" i="1"/>
  <c r="T144" i="1" l="1"/>
  <c r="R144" i="1"/>
  <c r="X145" i="1" l="1"/>
  <c r="S150" i="1"/>
  <c r="Q150" i="1"/>
  <c r="T136" i="1"/>
  <c r="R136" i="1"/>
  <c r="O252" i="1" l="1"/>
  <c r="D164" i="1" l="1"/>
  <c r="N164" i="1" l="1"/>
  <c r="AB251" i="1" l="1"/>
  <c r="AA251" i="1"/>
  <c r="Z251" i="1"/>
  <c r="U252" i="1"/>
  <c r="Y251" i="1"/>
  <c r="X251" i="1"/>
  <c r="K252" i="1"/>
  <c r="E252" i="1" l="1"/>
  <c r="E242" i="1" l="1"/>
  <c r="F222" i="1" s="1"/>
  <c r="AB138" i="1" l="1"/>
  <c r="AA138" i="1"/>
  <c r="Z138" i="1"/>
  <c r="Y138" i="1"/>
  <c r="X138" i="1"/>
  <c r="AB195" i="1"/>
  <c r="AA195" i="1"/>
  <c r="Z195" i="1"/>
  <c r="Y195" i="1"/>
  <c r="X195" i="1"/>
  <c r="AB61" i="1" l="1"/>
  <c r="AA61" i="1"/>
  <c r="Z61" i="1"/>
  <c r="Y61" i="1"/>
  <c r="X61" i="1"/>
  <c r="O207" i="1" l="1"/>
  <c r="P178" i="1" s="1"/>
  <c r="P206" i="1" l="1"/>
  <c r="P205" i="1"/>
  <c r="P195" i="1"/>
  <c r="P193" i="1"/>
  <c r="B5" i="3"/>
  <c r="X266" i="1" l="1"/>
  <c r="X183" i="1"/>
  <c r="X91" i="1"/>
  <c r="O28" i="1" l="1"/>
  <c r="P26" i="1" l="1"/>
  <c r="P22" i="1"/>
  <c r="B6" i="3"/>
  <c r="P11" i="1"/>
  <c r="P10" i="1"/>
  <c r="P25" i="1"/>
  <c r="X231" i="1"/>
  <c r="AB33" i="1" l="1"/>
  <c r="AA33" i="1"/>
  <c r="Z33" i="1"/>
  <c r="Y33" i="1"/>
  <c r="X33" i="1"/>
  <c r="AB145" i="1" l="1"/>
  <c r="AA145" i="1"/>
  <c r="Z145" i="1"/>
  <c r="Y145" i="1"/>
  <c r="X35" i="1" l="1"/>
  <c r="Y35" i="1"/>
  <c r="Z35" i="1"/>
  <c r="AA35" i="1"/>
  <c r="AB35" i="1"/>
  <c r="O164" i="1" l="1"/>
  <c r="P130" i="1" s="1"/>
  <c r="P138" i="1" l="1"/>
  <c r="P124" i="1"/>
  <c r="P135" i="1"/>
  <c r="P145" i="1"/>
  <c r="P136" i="1"/>
  <c r="AB70" i="1" l="1"/>
  <c r="AA70" i="1"/>
  <c r="Z70" i="1"/>
  <c r="Y70" i="1"/>
  <c r="X70" i="1"/>
  <c r="K213" i="1" l="1"/>
  <c r="U213" i="1"/>
  <c r="O213" i="1"/>
  <c r="E213" i="1"/>
  <c r="AB210" i="1" l="1"/>
  <c r="AA210" i="1"/>
  <c r="Z210" i="1"/>
  <c r="Y210" i="1"/>
  <c r="X210" i="1"/>
  <c r="P210" i="1"/>
  <c r="Y201" i="1" l="1"/>
  <c r="Y88" i="1" l="1"/>
  <c r="X238" i="1" l="1"/>
  <c r="P176" i="1" l="1"/>
  <c r="P186" i="1" l="1"/>
  <c r="P194" i="1"/>
  <c r="Y225" i="1"/>
  <c r="Y171" i="1"/>
  <c r="X39" i="1" l="1"/>
  <c r="AB26" i="1"/>
  <c r="AA26" i="1"/>
  <c r="Z26" i="1"/>
  <c r="Y26" i="1"/>
  <c r="P211" i="1" l="1"/>
  <c r="AB199" i="1" l="1"/>
  <c r="AA199" i="1"/>
  <c r="Z199" i="1"/>
  <c r="Y199" i="1"/>
  <c r="X199" i="1"/>
  <c r="X151" i="1" l="1"/>
  <c r="Y139" i="1"/>
  <c r="Y135" i="1"/>
  <c r="Y134" i="1"/>
  <c r="Y249" i="1"/>
  <c r="I4" i="5"/>
  <c r="I3" i="5" s="1"/>
  <c r="H4" i="5"/>
  <c r="H3" i="5" s="1"/>
  <c r="G4" i="5"/>
  <c r="G3" i="5" s="1"/>
  <c r="F4" i="5"/>
  <c r="F3" i="5" s="1"/>
  <c r="E4" i="5"/>
  <c r="E3" i="5" s="1"/>
  <c r="C4" i="5"/>
  <c r="C3" i="5" s="1"/>
  <c r="B4" i="5"/>
  <c r="B3" i="5" s="1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72" i="1"/>
  <c r="AA272" i="1"/>
  <c r="Y272" i="1"/>
  <c r="U272" i="1"/>
  <c r="O272" i="1"/>
  <c r="K272" i="1"/>
  <c r="E272" i="1"/>
  <c r="F270" i="1" s="1"/>
  <c r="AB271" i="1"/>
  <c r="AA271" i="1"/>
  <c r="Z271" i="1"/>
  <c r="Y271" i="1"/>
  <c r="X271" i="1"/>
  <c r="AB270" i="1"/>
  <c r="AA270" i="1"/>
  <c r="Z270" i="1"/>
  <c r="Y270" i="1"/>
  <c r="X270" i="1"/>
  <c r="AB269" i="1"/>
  <c r="AA269" i="1"/>
  <c r="Z269" i="1"/>
  <c r="Y269" i="1"/>
  <c r="X269" i="1"/>
  <c r="AB268" i="1"/>
  <c r="AA268" i="1"/>
  <c r="Z268" i="1"/>
  <c r="Y268" i="1"/>
  <c r="X268" i="1"/>
  <c r="AB267" i="1"/>
  <c r="AA267" i="1"/>
  <c r="Z267" i="1"/>
  <c r="Y267" i="1"/>
  <c r="X267" i="1"/>
  <c r="AB266" i="1"/>
  <c r="AA266" i="1"/>
  <c r="Z266" i="1"/>
  <c r="Y266" i="1"/>
  <c r="AB265" i="1"/>
  <c r="AA265" i="1"/>
  <c r="Z265" i="1"/>
  <c r="Y265" i="1"/>
  <c r="X265" i="1"/>
  <c r="AB264" i="1"/>
  <c r="AA264" i="1"/>
  <c r="Z264" i="1"/>
  <c r="Y264" i="1"/>
  <c r="X264" i="1"/>
  <c r="AB263" i="1"/>
  <c r="AA263" i="1"/>
  <c r="Z263" i="1"/>
  <c r="Y263" i="1"/>
  <c r="X263" i="1"/>
  <c r="AB262" i="1"/>
  <c r="AA262" i="1"/>
  <c r="Z262" i="1"/>
  <c r="Y262" i="1"/>
  <c r="X262" i="1"/>
  <c r="AB261" i="1"/>
  <c r="AA261" i="1"/>
  <c r="Z261" i="1"/>
  <c r="Y261" i="1"/>
  <c r="X261" i="1"/>
  <c r="AB260" i="1"/>
  <c r="AA260" i="1"/>
  <c r="Z260" i="1"/>
  <c r="Y260" i="1"/>
  <c r="X260" i="1"/>
  <c r="U257" i="1"/>
  <c r="O257" i="1"/>
  <c r="P256" i="1" s="1"/>
  <c r="K257" i="1"/>
  <c r="E257" i="1"/>
  <c r="F256" i="1" s="1"/>
  <c r="AB256" i="1"/>
  <c r="AA256" i="1"/>
  <c r="Z256" i="1"/>
  <c r="AB255" i="1"/>
  <c r="AA255" i="1"/>
  <c r="Z255" i="1"/>
  <c r="Y255" i="1"/>
  <c r="X255" i="1"/>
  <c r="B21" i="2"/>
  <c r="B11" i="2" s="1"/>
  <c r="AB250" i="1"/>
  <c r="AA250" i="1"/>
  <c r="Z250" i="1"/>
  <c r="Y250" i="1"/>
  <c r="X250" i="1"/>
  <c r="AB248" i="1"/>
  <c r="AA248" i="1"/>
  <c r="Z248" i="1"/>
  <c r="Y248" i="1"/>
  <c r="X248" i="1"/>
  <c r="AB249" i="1"/>
  <c r="AA249" i="1"/>
  <c r="Z249" i="1"/>
  <c r="X249" i="1"/>
  <c r="AB247" i="1"/>
  <c r="AA247" i="1"/>
  <c r="Z247" i="1"/>
  <c r="Y247" i="1"/>
  <c r="X247" i="1"/>
  <c r="AB246" i="1"/>
  <c r="AA246" i="1"/>
  <c r="Z246" i="1"/>
  <c r="Y246" i="1"/>
  <c r="P251" i="1"/>
  <c r="AB242" i="1"/>
  <c r="AA242" i="1"/>
  <c r="Y242" i="1"/>
  <c r="U242" i="1"/>
  <c r="O242" i="1"/>
  <c r="K242" i="1"/>
  <c r="AB241" i="1"/>
  <c r="AA241" i="1"/>
  <c r="Z241" i="1"/>
  <c r="Y241" i="1"/>
  <c r="X241" i="1"/>
  <c r="AB240" i="1"/>
  <c r="AA240" i="1"/>
  <c r="Z240" i="1"/>
  <c r="Y240" i="1"/>
  <c r="X240" i="1"/>
  <c r="AB239" i="1"/>
  <c r="AA239" i="1"/>
  <c r="Z239" i="1"/>
  <c r="Y239" i="1"/>
  <c r="X239" i="1"/>
  <c r="AB238" i="1"/>
  <c r="AA238" i="1"/>
  <c r="Z238" i="1"/>
  <c r="Y238" i="1"/>
  <c r="AB235" i="1"/>
  <c r="AA235" i="1"/>
  <c r="Z235" i="1"/>
  <c r="Y235" i="1"/>
  <c r="X235" i="1"/>
  <c r="AB234" i="1"/>
  <c r="AA234" i="1"/>
  <c r="Z234" i="1"/>
  <c r="Y234" i="1"/>
  <c r="X234" i="1"/>
  <c r="AB233" i="1"/>
  <c r="AA233" i="1"/>
  <c r="Z233" i="1"/>
  <c r="Y233" i="1"/>
  <c r="X233" i="1"/>
  <c r="AB232" i="1"/>
  <c r="AA232" i="1"/>
  <c r="Z232" i="1"/>
  <c r="Y232" i="1"/>
  <c r="X232" i="1"/>
  <c r="AB231" i="1"/>
  <c r="AA231" i="1"/>
  <c r="Z231" i="1"/>
  <c r="Y231" i="1"/>
  <c r="AB230" i="1"/>
  <c r="AA230" i="1"/>
  <c r="Z230" i="1"/>
  <c r="Y230" i="1"/>
  <c r="X230" i="1"/>
  <c r="AB229" i="1"/>
  <c r="AA229" i="1"/>
  <c r="Z229" i="1"/>
  <c r="Y229" i="1"/>
  <c r="X229" i="1"/>
  <c r="AB228" i="1"/>
  <c r="AA228" i="1"/>
  <c r="Z228" i="1"/>
  <c r="Y228" i="1"/>
  <c r="X228" i="1"/>
  <c r="AB227" i="1"/>
  <c r="AA227" i="1"/>
  <c r="Z227" i="1"/>
  <c r="Y227" i="1"/>
  <c r="X227" i="1"/>
  <c r="AB226" i="1"/>
  <c r="AA226" i="1"/>
  <c r="Z226" i="1"/>
  <c r="Y226" i="1"/>
  <c r="X226" i="1"/>
  <c r="AB225" i="1"/>
  <c r="AA225" i="1"/>
  <c r="Z225" i="1"/>
  <c r="X225" i="1"/>
  <c r="AB224" i="1"/>
  <c r="AA224" i="1"/>
  <c r="Z224" i="1"/>
  <c r="Y224" i="1"/>
  <c r="X224" i="1"/>
  <c r="AB223" i="1"/>
  <c r="AA223" i="1"/>
  <c r="Z223" i="1"/>
  <c r="Y223" i="1"/>
  <c r="X223" i="1"/>
  <c r="AB218" i="1"/>
  <c r="AA218" i="1"/>
  <c r="Z218" i="1"/>
  <c r="Y218" i="1"/>
  <c r="X218" i="1"/>
  <c r="AB217" i="1"/>
  <c r="AA217" i="1"/>
  <c r="Z217" i="1"/>
  <c r="Y217" i="1"/>
  <c r="X217" i="1"/>
  <c r="AB213" i="1"/>
  <c r="AA213" i="1"/>
  <c r="Y213" i="1"/>
  <c r="B2" i="3"/>
  <c r="B19" i="2"/>
  <c r="B9" i="2" s="1"/>
  <c r="AB212" i="1"/>
  <c r="AA212" i="1"/>
  <c r="Z212" i="1"/>
  <c r="Y212" i="1"/>
  <c r="X212" i="1"/>
  <c r="AB211" i="1"/>
  <c r="AA211" i="1"/>
  <c r="Z211" i="1"/>
  <c r="Y211" i="1"/>
  <c r="X211" i="1"/>
  <c r="AB207" i="1"/>
  <c r="AA207" i="1"/>
  <c r="Y207" i="1"/>
  <c r="U207" i="1"/>
  <c r="K207" i="1"/>
  <c r="E207" i="1"/>
  <c r="AB204" i="1"/>
  <c r="AA204" i="1"/>
  <c r="Z204" i="1"/>
  <c r="Y204" i="1"/>
  <c r="X204" i="1"/>
  <c r="AB203" i="1"/>
  <c r="AA203" i="1"/>
  <c r="Z203" i="1"/>
  <c r="Y203" i="1"/>
  <c r="X203" i="1"/>
  <c r="AB202" i="1"/>
  <c r="AA202" i="1"/>
  <c r="Z202" i="1"/>
  <c r="Y202" i="1"/>
  <c r="X202" i="1"/>
  <c r="AB201" i="1"/>
  <c r="AA201" i="1"/>
  <c r="Z201" i="1"/>
  <c r="X201" i="1"/>
  <c r="AB200" i="1"/>
  <c r="AA200" i="1"/>
  <c r="Z200" i="1"/>
  <c r="Y200" i="1"/>
  <c r="X200" i="1"/>
  <c r="AB198" i="1"/>
  <c r="AA198" i="1"/>
  <c r="Z198" i="1"/>
  <c r="Y198" i="1"/>
  <c r="X198" i="1"/>
  <c r="AB197" i="1"/>
  <c r="AA197" i="1"/>
  <c r="Z197" i="1"/>
  <c r="Y197" i="1"/>
  <c r="AB196" i="1"/>
  <c r="AA196" i="1"/>
  <c r="Z196" i="1"/>
  <c r="Y196" i="1"/>
  <c r="X196" i="1"/>
  <c r="AB194" i="1"/>
  <c r="AA194" i="1"/>
  <c r="Z194" i="1"/>
  <c r="Y194" i="1"/>
  <c r="X194" i="1"/>
  <c r="AB193" i="1"/>
  <c r="AA193" i="1"/>
  <c r="Z193" i="1"/>
  <c r="Y193" i="1"/>
  <c r="X193" i="1"/>
  <c r="AB192" i="1"/>
  <c r="AA192" i="1"/>
  <c r="Z192" i="1"/>
  <c r="Y192" i="1"/>
  <c r="X192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AB182" i="1"/>
  <c r="AA182" i="1"/>
  <c r="Z182" i="1"/>
  <c r="Y182" i="1"/>
  <c r="X182" i="1"/>
  <c r="AB181" i="1"/>
  <c r="AA181" i="1"/>
  <c r="Z181" i="1"/>
  <c r="Y181" i="1"/>
  <c r="X181" i="1"/>
  <c r="AB180" i="1"/>
  <c r="AA180" i="1"/>
  <c r="Z180" i="1"/>
  <c r="Y180" i="1"/>
  <c r="X180" i="1"/>
  <c r="AB206" i="1"/>
  <c r="AA206" i="1"/>
  <c r="Z206" i="1"/>
  <c r="Y206" i="1"/>
  <c r="X206" i="1"/>
  <c r="AB179" i="1"/>
  <c r="AA179" i="1"/>
  <c r="Z179" i="1"/>
  <c r="Y179" i="1"/>
  <c r="X179" i="1"/>
  <c r="AB177" i="1"/>
  <c r="AA177" i="1"/>
  <c r="Z177" i="1"/>
  <c r="Y177" i="1"/>
  <c r="X177" i="1"/>
  <c r="AB176" i="1"/>
  <c r="AA176" i="1"/>
  <c r="Z176" i="1"/>
  <c r="Y176" i="1"/>
  <c r="X176" i="1"/>
  <c r="AB173" i="1"/>
  <c r="AA173" i="1"/>
  <c r="Y173" i="1"/>
  <c r="U173" i="1"/>
  <c r="O173" i="1"/>
  <c r="K173" i="1"/>
  <c r="E173" i="1"/>
  <c r="B17" i="2" s="1"/>
  <c r="B7" i="2" s="1"/>
  <c r="AB172" i="1"/>
  <c r="AA172" i="1"/>
  <c r="Z172" i="1"/>
  <c r="Y172" i="1"/>
  <c r="X172" i="1"/>
  <c r="AB171" i="1"/>
  <c r="AA171" i="1"/>
  <c r="Z171" i="1"/>
  <c r="X171" i="1"/>
  <c r="AB170" i="1"/>
  <c r="AA170" i="1"/>
  <c r="Z170" i="1"/>
  <c r="Y170" i="1"/>
  <c r="X170" i="1"/>
  <c r="AB169" i="1"/>
  <c r="AA169" i="1"/>
  <c r="Z169" i="1"/>
  <c r="Y169" i="1"/>
  <c r="X169" i="1"/>
  <c r="AB168" i="1"/>
  <c r="AA168" i="1"/>
  <c r="Z168" i="1"/>
  <c r="Y168" i="1"/>
  <c r="X168" i="1"/>
  <c r="AB167" i="1"/>
  <c r="AA167" i="1"/>
  <c r="Z167" i="1"/>
  <c r="Y167" i="1"/>
  <c r="X167" i="1"/>
  <c r="AB164" i="1"/>
  <c r="AA164" i="1"/>
  <c r="Y164" i="1"/>
  <c r="U164" i="1"/>
  <c r="K164" i="1"/>
  <c r="E164" i="1"/>
  <c r="F138" i="1" s="1"/>
  <c r="AB163" i="1"/>
  <c r="AA163" i="1"/>
  <c r="Z163" i="1"/>
  <c r="X163" i="1"/>
  <c r="Y163" i="1"/>
  <c r="AB162" i="1"/>
  <c r="AA162" i="1"/>
  <c r="Z162" i="1"/>
  <c r="X162" i="1"/>
  <c r="Y162" i="1"/>
  <c r="AB161" i="1"/>
  <c r="AA161" i="1"/>
  <c r="Z161" i="1"/>
  <c r="Y161" i="1"/>
  <c r="AB160" i="1"/>
  <c r="AA160" i="1"/>
  <c r="Z160" i="1"/>
  <c r="Y160" i="1"/>
  <c r="AB159" i="1"/>
  <c r="AA159" i="1"/>
  <c r="Z159" i="1"/>
  <c r="Y159" i="1"/>
  <c r="X159" i="1"/>
  <c r="AB158" i="1"/>
  <c r="AA158" i="1"/>
  <c r="Z158" i="1"/>
  <c r="Y158" i="1"/>
  <c r="X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X155" i="1"/>
  <c r="Y155" i="1"/>
  <c r="AB154" i="1"/>
  <c r="AA154" i="1"/>
  <c r="Z154" i="1"/>
  <c r="Y154" i="1"/>
  <c r="X154" i="1"/>
  <c r="AB153" i="1"/>
  <c r="AA153" i="1"/>
  <c r="Z153" i="1"/>
  <c r="Y153" i="1"/>
  <c r="X153" i="1"/>
  <c r="AB152" i="1"/>
  <c r="AA152" i="1"/>
  <c r="Z152" i="1"/>
  <c r="X152" i="1"/>
  <c r="Y152" i="1"/>
  <c r="AB151" i="1"/>
  <c r="AA151" i="1"/>
  <c r="Z151" i="1"/>
  <c r="Y151" i="1"/>
  <c r="AB150" i="1"/>
  <c r="AA150" i="1"/>
  <c r="Z150" i="1"/>
  <c r="Y150" i="1"/>
  <c r="X150" i="1"/>
  <c r="AB149" i="1"/>
  <c r="AA149" i="1"/>
  <c r="Z149" i="1"/>
  <c r="Y149" i="1"/>
  <c r="X149" i="1"/>
  <c r="AB148" i="1"/>
  <c r="AA148" i="1"/>
  <c r="Z148" i="1"/>
  <c r="Y148" i="1"/>
  <c r="X148" i="1"/>
  <c r="AB147" i="1"/>
  <c r="AA147" i="1"/>
  <c r="Z147" i="1"/>
  <c r="Y147" i="1"/>
  <c r="AB146" i="1"/>
  <c r="AA146" i="1"/>
  <c r="Z146" i="1"/>
  <c r="Y146" i="1"/>
  <c r="X146" i="1"/>
  <c r="AB144" i="1"/>
  <c r="AA144" i="1"/>
  <c r="Z144" i="1"/>
  <c r="Y144" i="1"/>
  <c r="X144" i="1"/>
  <c r="AB141" i="1"/>
  <c r="AA141" i="1"/>
  <c r="Z141" i="1"/>
  <c r="Y141" i="1"/>
  <c r="X141" i="1"/>
  <c r="AB140" i="1"/>
  <c r="AA140" i="1"/>
  <c r="Z140" i="1"/>
  <c r="Y140" i="1"/>
  <c r="X140" i="1"/>
  <c r="AB139" i="1"/>
  <c r="AA139" i="1"/>
  <c r="Z139" i="1"/>
  <c r="X139" i="1"/>
  <c r="AB133" i="1"/>
  <c r="AA133" i="1"/>
  <c r="Z133" i="1"/>
  <c r="Y133" i="1"/>
  <c r="X133" i="1"/>
  <c r="AB137" i="1"/>
  <c r="AA137" i="1"/>
  <c r="Z137" i="1"/>
  <c r="Y137" i="1"/>
  <c r="X137" i="1"/>
  <c r="AB136" i="1"/>
  <c r="AA136" i="1"/>
  <c r="Z136" i="1"/>
  <c r="Y136" i="1"/>
  <c r="AB135" i="1"/>
  <c r="AA135" i="1"/>
  <c r="Z135" i="1"/>
  <c r="AB134" i="1"/>
  <c r="AA134" i="1"/>
  <c r="Z134" i="1"/>
  <c r="AB132" i="1"/>
  <c r="AA132" i="1"/>
  <c r="Z132" i="1"/>
  <c r="Y132" i="1"/>
  <c r="X132" i="1"/>
  <c r="AB131" i="1"/>
  <c r="AA131" i="1"/>
  <c r="Z131" i="1"/>
  <c r="Y131" i="1"/>
  <c r="X131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AB126" i="1"/>
  <c r="AA126" i="1"/>
  <c r="Z126" i="1"/>
  <c r="Y126" i="1"/>
  <c r="AB125" i="1"/>
  <c r="AA125" i="1"/>
  <c r="Z125" i="1"/>
  <c r="Y125" i="1"/>
  <c r="AB124" i="1"/>
  <c r="AA124" i="1"/>
  <c r="Z124" i="1"/>
  <c r="Y124" i="1"/>
  <c r="AB120" i="1"/>
  <c r="AA120" i="1"/>
  <c r="Y120" i="1"/>
  <c r="U120" i="1"/>
  <c r="O120" i="1"/>
  <c r="P85" i="1" s="1"/>
  <c r="K120" i="1"/>
  <c r="E120" i="1"/>
  <c r="AB119" i="1"/>
  <c r="AA119" i="1"/>
  <c r="Z119" i="1"/>
  <c r="Y119" i="1"/>
  <c r="X119" i="1"/>
  <c r="AB118" i="1"/>
  <c r="AA118" i="1"/>
  <c r="Z118" i="1"/>
  <c r="Y118" i="1"/>
  <c r="X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98" i="1"/>
  <c r="AA98" i="1"/>
  <c r="Z98" i="1"/>
  <c r="Y98" i="1"/>
  <c r="X98" i="1"/>
  <c r="AB102" i="1"/>
  <c r="AA102" i="1"/>
  <c r="Z102" i="1"/>
  <c r="Y102" i="1"/>
  <c r="X102" i="1"/>
  <c r="AB101" i="1"/>
  <c r="AA101" i="1"/>
  <c r="Z101" i="1"/>
  <c r="Y101" i="1"/>
  <c r="X101" i="1"/>
  <c r="AB100" i="1"/>
  <c r="AA100" i="1"/>
  <c r="Z100" i="1"/>
  <c r="Y100" i="1"/>
  <c r="X100" i="1"/>
  <c r="AB99" i="1"/>
  <c r="AA99" i="1"/>
  <c r="Z99" i="1"/>
  <c r="Y99" i="1"/>
  <c r="X99" i="1"/>
  <c r="AB97" i="1"/>
  <c r="AA97" i="1"/>
  <c r="Z97" i="1"/>
  <c r="Y97" i="1"/>
  <c r="X97" i="1"/>
  <c r="AB96" i="1"/>
  <c r="AA96" i="1"/>
  <c r="Z96" i="1"/>
  <c r="Y96" i="1"/>
  <c r="X96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AB90" i="1"/>
  <c r="AA90" i="1"/>
  <c r="Z90" i="1"/>
  <c r="Y90" i="1"/>
  <c r="X90" i="1"/>
  <c r="AB89" i="1"/>
  <c r="AA89" i="1"/>
  <c r="Z89" i="1"/>
  <c r="Y89" i="1"/>
  <c r="X89" i="1"/>
  <c r="AB88" i="1"/>
  <c r="AA88" i="1"/>
  <c r="Z88" i="1"/>
  <c r="X88" i="1"/>
  <c r="AB87" i="1"/>
  <c r="Z87" i="1"/>
  <c r="Y87" i="1"/>
  <c r="X87" i="1"/>
  <c r="AB86" i="1"/>
  <c r="AA86" i="1"/>
  <c r="Z86" i="1"/>
  <c r="Y86" i="1"/>
  <c r="X86" i="1"/>
  <c r="AB85" i="1"/>
  <c r="AA85" i="1"/>
  <c r="Z85" i="1"/>
  <c r="Y85" i="1"/>
  <c r="X85" i="1"/>
  <c r="AB84" i="1"/>
  <c r="AA84" i="1"/>
  <c r="Z84" i="1"/>
  <c r="Y84" i="1"/>
  <c r="AB83" i="1"/>
  <c r="AA83" i="1"/>
  <c r="Z83" i="1"/>
  <c r="Y83" i="1"/>
  <c r="X83" i="1"/>
  <c r="AB82" i="1"/>
  <c r="AA82" i="1"/>
  <c r="Z82" i="1"/>
  <c r="Y82" i="1"/>
  <c r="X82" i="1"/>
  <c r="AB79" i="1"/>
  <c r="AA79" i="1"/>
  <c r="Y79" i="1"/>
  <c r="U79" i="1"/>
  <c r="K79" i="1"/>
  <c r="E79" i="1"/>
  <c r="B14" i="2" s="1"/>
  <c r="B4" i="2" s="1"/>
  <c r="AB78" i="1"/>
  <c r="AA78" i="1"/>
  <c r="Z78" i="1"/>
  <c r="Y78" i="1"/>
  <c r="X78" i="1"/>
  <c r="AB77" i="1"/>
  <c r="AA77" i="1"/>
  <c r="Z77" i="1"/>
  <c r="Y77" i="1"/>
  <c r="X77" i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69" i="1"/>
  <c r="AA69" i="1"/>
  <c r="Z69" i="1"/>
  <c r="Y69" i="1"/>
  <c r="X69" i="1"/>
  <c r="AB68" i="1"/>
  <c r="AA68" i="1"/>
  <c r="Z68" i="1"/>
  <c r="Y68" i="1"/>
  <c r="X68" i="1"/>
  <c r="AB66" i="1"/>
  <c r="AA66" i="1"/>
  <c r="Z66" i="1"/>
  <c r="Y66" i="1"/>
  <c r="X66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0" i="1"/>
  <c r="AA60" i="1"/>
  <c r="Z60" i="1"/>
  <c r="Y60" i="1"/>
  <c r="X60" i="1"/>
  <c r="AB59" i="1"/>
  <c r="AA59" i="1"/>
  <c r="Z59" i="1"/>
  <c r="Y59" i="1"/>
  <c r="X59" i="1"/>
  <c r="AB49" i="1"/>
  <c r="AA49" i="1"/>
  <c r="Z49" i="1"/>
  <c r="Y49" i="1"/>
  <c r="X49" i="1"/>
  <c r="AB58" i="1"/>
  <c r="AA58" i="1"/>
  <c r="Z58" i="1"/>
  <c r="Y58" i="1"/>
  <c r="X5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8" i="1"/>
  <c r="AA48" i="1"/>
  <c r="Z48" i="1"/>
  <c r="Y48" i="1"/>
  <c r="X48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AB38" i="1"/>
  <c r="AA38" i="1"/>
  <c r="Z38" i="1"/>
  <c r="Y38" i="1"/>
  <c r="X38" i="1"/>
  <c r="AB37" i="1"/>
  <c r="AA37" i="1"/>
  <c r="Z37" i="1"/>
  <c r="Y37" i="1"/>
  <c r="X37" i="1"/>
  <c r="AB36" i="1"/>
  <c r="AA36" i="1"/>
  <c r="Z36" i="1"/>
  <c r="Y36" i="1"/>
  <c r="X36" i="1"/>
  <c r="AB34" i="1"/>
  <c r="AA34" i="1"/>
  <c r="Z34" i="1"/>
  <c r="Y34" i="1"/>
  <c r="X34" i="1"/>
  <c r="AB32" i="1"/>
  <c r="AA32" i="1"/>
  <c r="Z32" i="1"/>
  <c r="Y32" i="1"/>
  <c r="X32" i="1"/>
  <c r="AB31" i="1"/>
  <c r="AA31" i="1"/>
  <c r="Z31" i="1"/>
  <c r="Y31" i="1"/>
  <c r="X31" i="1"/>
  <c r="AB28" i="1"/>
  <c r="AA28" i="1"/>
  <c r="Y28" i="1"/>
  <c r="U28" i="1"/>
  <c r="P19" i="1"/>
  <c r="K28" i="1"/>
  <c r="E28" i="1"/>
  <c r="AB27" i="1"/>
  <c r="AA27" i="1"/>
  <c r="Z27" i="1"/>
  <c r="Y27" i="1"/>
  <c r="X27" i="1"/>
  <c r="AB25" i="1"/>
  <c r="AA25" i="1"/>
  <c r="Y25" i="1"/>
  <c r="AB24" i="1"/>
  <c r="AA24" i="1"/>
  <c r="Z24" i="1"/>
  <c r="Y24" i="1"/>
  <c r="X24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P238" i="1" l="1"/>
  <c r="P239" i="1"/>
  <c r="F9" i="1"/>
  <c r="F21" i="1"/>
  <c r="F10" i="1"/>
  <c r="F22" i="1"/>
  <c r="F11" i="1"/>
  <c r="F23" i="1"/>
  <c r="F12" i="1"/>
  <c r="F24" i="1"/>
  <c r="F13" i="1"/>
  <c r="F25" i="1"/>
  <c r="F14" i="1"/>
  <c r="F26" i="1"/>
  <c r="F15" i="1"/>
  <c r="F27" i="1"/>
  <c r="F16" i="1"/>
  <c r="F17" i="1"/>
  <c r="F18" i="1"/>
  <c r="F7" i="1"/>
  <c r="F19" i="1"/>
  <c r="F8" i="1"/>
  <c r="F20" i="1"/>
  <c r="P226" i="1"/>
  <c r="P222" i="1"/>
  <c r="P62" i="1"/>
  <c r="F67" i="1"/>
  <c r="F205" i="1"/>
  <c r="F178" i="1"/>
  <c r="P71" i="1"/>
  <c r="B15" i="2"/>
  <c r="B5" i="2" s="1"/>
  <c r="F176" i="1"/>
  <c r="F195" i="1"/>
  <c r="P106" i="1"/>
  <c r="P118" i="1"/>
  <c r="B4" i="3"/>
  <c r="P233" i="1"/>
  <c r="P271" i="1"/>
  <c r="P266" i="1"/>
  <c r="P169" i="1"/>
  <c r="B8" i="3"/>
  <c r="P89" i="1"/>
  <c r="B7" i="3"/>
  <c r="F61" i="1"/>
  <c r="P61" i="1"/>
  <c r="P51" i="1"/>
  <c r="P77" i="1"/>
  <c r="P91" i="1"/>
  <c r="P98" i="1"/>
  <c r="P75" i="1"/>
  <c r="P228" i="1"/>
  <c r="P43" i="1"/>
  <c r="P76" i="1"/>
  <c r="P52" i="1"/>
  <c r="F33" i="1"/>
  <c r="P33" i="1"/>
  <c r="B16" i="2"/>
  <c r="B6" i="2" s="1"/>
  <c r="F145" i="1"/>
  <c r="P35" i="1"/>
  <c r="P102" i="1"/>
  <c r="P69" i="1"/>
  <c r="P70" i="1"/>
  <c r="P24" i="1"/>
  <c r="P37" i="1"/>
  <c r="F70" i="1"/>
  <c r="P78" i="1"/>
  <c r="P119" i="1"/>
  <c r="P240" i="1"/>
  <c r="B3" i="3"/>
  <c r="C21" i="2"/>
  <c r="C11" i="2" s="1"/>
  <c r="F13" i="4"/>
  <c r="F39" i="1"/>
  <c r="P14" i="1"/>
  <c r="P32" i="1"/>
  <c r="F106" i="1"/>
  <c r="P225" i="1"/>
  <c r="F118" i="1"/>
  <c r="Z207" i="1"/>
  <c r="F105" i="1"/>
  <c r="F184" i="1"/>
  <c r="F182" i="1"/>
  <c r="F180" i="1"/>
  <c r="F179" i="1"/>
  <c r="P171" i="1"/>
  <c r="P199" i="1"/>
  <c r="P188" i="1"/>
  <c r="P50" i="1"/>
  <c r="F255" i="1"/>
  <c r="F102" i="1"/>
  <c r="F103" i="1"/>
  <c r="F100" i="1"/>
  <c r="F83" i="1"/>
  <c r="F97" i="1"/>
  <c r="F95" i="1"/>
  <c r="F107" i="1"/>
  <c r="B18" i="2"/>
  <c r="B8" i="2" s="1"/>
  <c r="F199" i="1"/>
  <c r="F169" i="1"/>
  <c r="F167" i="1"/>
  <c r="F63" i="1"/>
  <c r="F65" i="1"/>
  <c r="F73" i="1"/>
  <c r="F170" i="1"/>
  <c r="F172" i="1"/>
  <c r="F93" i="1"/>
  <c r="F116" i="1"/>
  <c r="F91" i="1"/>
  <c r="F114" i="1"/>
  <c r="F71" i="1"/>
  <c r="F89" i="1"/>
  <c r="F112" i="1"/>
  <c r="P64" i="1"/>
  <c r="P66" i="1"/>
  <c r="P72" i="1"/>
  <c r="P74" i="1"/>
  <c r="F87" i="1"/>
  <c r="F110" i="1"/>
  <c r="F68" i="1"/>
  <c r="F85" i="1"/>
  <c r="F109" i="1"/>
  <c r="F75" i="1"/>
  <c r="F77" i="1"/>
  <c r="P84" i="1"/>
  <c r="P36" i="1"/>
  <c r="B20" i="2"/>
  <c r="B10" i="2" s="1"/>
  <c r="F249" i="1"/>
  <c r="Z213" i="1"/>
  <c r="F238" i="1"/>
  <c r="F212" i="1"/>
  <c r="F186" i="1"/>
  <c r="F171" i="1"/>
  <c r="D13" i="4"/>
  <c r="Z242" i="1"/>
  <c r="P92" i="1"/>
  <c r="F57" i="1"/>
  <c r="P58" i="1"/>
  <c r="F49" i="1"/>
  <c r="P59" i="1"/>
  <c r="F60" i="1"/>
  <c r="F162" i="1"/>
  <c r="P131" i="1"/>
  <c r="Z272" i="1"/>
  <c r="X272" i="1"/>
  <c r="F261" i="1"/>
  <c r="F263" i="1"/>
  <c r="F265" i="1"/>
  <c r="F267" i="1"/>
  <c r="F271" i="1"/>
  <c r="F269" i="1"/>
  <c r="F260" i="1"/>
  <c r="F262" i="1"/>
  <c r="F264" i="1"/>
  <c r="F266" i="1"/>
  <c r="F268" i="1"/>
  <c r="X257" i="1"/>
  <c r="F224" i="1"/>
  <c r="F221" i="1"/>
  <c r="F217" i="1"/>
  <c r="F240" i="1"/>
  <c r="F234" i="1"/>
  <c r="F232" i="1"/>
  <c r="F230" i="1"/>
  <c r="F228" i="1"/>
  <c r="F211" i="1"/>
  <c r="F204" i="1"/>
  <c r="F202" i="1"/>
  <c r="F200" i="1"/>
  <c r="F197" i="1"/>
  <c r="F194" i="1"/>
  <c r="F177" i="1"/>
  <c r="F206" i="1"/>
  <c r="F192" i="1"/>
  <c r="F190" i="1"/>
  <c r="F188" i="1"/>
  <c r="Z173" i="1"/>
  <c r="Z164" i="1"/>
  <c r="F137" i="1"/>
  <c r="F153" i="1"/>
  <c r="F155" i="1"/>
  <c r="F124" i="1"/>
  <c r="F126" i="1"/>
  <c r="F135" i="1"/>
  <c r="F132" i="1"/>
  <c r="F141" i="1"/>
  <c r="F159" i="1"/>
  <c r="F128" i="1"/>
  <c r="F146" i="1"/>
  <c r="F148" i="1"/>
  <c r="F150" i="1"/>
  <c r="F161" i="1"/>
  <c r="F152" i="1"/>
  <c r="F136" i="1"/>
  <c r="F154" i="1"/>
  <c r="F163" i="1"/>
  <c r="F125" i="1"/>
  <c r="F133" i="1"/>
  <c r="F156" i="1"/>
  <c r="F127" i="1"/>
  <c r="F131" i="1"/>
  <c r="F134" i="1"/>
  <c r="F140" i="1"/>
  <c r="F158" i="1"/>
  <c r="F160" i="1"/>
  <c r="F139" i="1"/>
  <c r="F157" i="1"/>
  <c r="F129" i="1"/>
  <c r="F144" i="1"/>
  <c r="F147" i="1"/>
  <c r="F151" i="1"/>
  <c r="K243" i="1"/>
  <c r="K273" i="1" s="1"/>
  <c r="Z120" i="1"/>
  <c r="X120" i="1"/>
  <c r="F88" i="1"/>
  <c r="F90" i="1"/>
  <c r="F92" i="1"/>
  <c r="F108" i="1"/>
  <c r="F111" i="1"/>
  <c r="F113" i="1"/>
  <c r="F115" i="1"/>
  <c r="F117" i="1"/>
  <c r="F119" i="1"/>
  <c r="F82" i="1"/>
  <c r="F84" i="1"/>
  <c r="F94" i="1"/>
  <c r="F96" i="1"/>
  <c r="F99" i="1"/>
  <c r="F101" i="1"/>
  <c r="F98" i="1"/>
  <c r="F104" i="1"/>
  <c r="Z79" i="1"/>
  <c r="F6" i="1"/>
  <c r="J13" i="4"/>
  <c r="D4" i="5"/>
  <c r="D3" i="5" s="1"/>
  <c r="H13" i="4"/>
  <c r="P217" i="1"/>
  <c r="P218" i="1"/>
  <c r="P224" i="1"/>
  <c r="P227" i="1"/>
  <c r="P230" i="1"/>
  <c r="P231" i="1"/>
  <c r="P234" i="1"/>
  <c r="P235" i="1"/>
  <c r="P241" i="1"/>
  <c r="P101" i="1"/>
  <c r="P111" i="1"/>
  <c r="P82" i="1"/>
  <c r="P88" i="1"/>
  <c r="P96" i="1"/>
  <c r="P104" i="1"/>
  <c r="P108" i="1"/>
  <c r="P115" i="1"/>
  <c r="P86" i="1"/>
  <c r="P90" i="1"/>
  <c r="P94" i="1"/>
  <c r="P99" i="1"/>
  <c r="P113" i="1"/>
  <c r="P117" i="1"/>
  <c r="P182" i="1"/>
  <c r="P183" i="1"/>
  <c r="P187" i="1"/>
  <c r="P190" i="1"/>
  <c r="P191" i="1"/>
  <c r="P196" i="1"/>
  <c r="P200" i="1"/>
  <c r="P201" i="1"/>
  <c r="P204" i="1"/>
  <c r="P177" i="1"/>
  <c r="P263" i="1"/>
  <c r="P267" i="1"/>
  <c r="P261" i="1"/>
  <c r="P265" i="1"/>
  <c r="P269" i="1"/>
  <c r="P260" i="1"/>
  <c r="P262" i="1"/>
  <c r="P264" i="1"/>
  <c r="P268" i="1"/>
  <c r="P270" i="1"/>
  <c r="P56" i="1"/>
  <c r="P179" i="1"/>
  <c r="P180" i="1"/>
  <c r="P181" i="1"/>
  <c r="P184" i="1"/>
  <c r="P185" i="1"/>
  <c r="P189" i="1"/>
  <c r="P192" i="1"/>
  <c r="P197" i="1"/>
  <c r="P198" i="1"/>
  <c r="P202" i="1"/>
  <c r="P203" i="1"/>
  <c r="F31" i="1"/>
  <c r="F34" i="1"/>
  <c r="F37" i="1"/>
  <c r="P6" i="1"/>
  <c r="P16" i="1"/>
  <c r="P8" i="1"/>
  <c r="P18" i="1"/>
  <c r="P7" i="1"/>
  <c r="P9" i="1"/>
  <c r="P12" i="1"/>
  <c r="P15" i="1"/>
  <c r="P17" i="1"/>
  <c r="P20" i="1"/>
  <c r="P13" i="1"/>
  <c r="P23" i="1"/>
  <c r="P83" i="1"/>
  <c r="F86" i="1"/>
  <c r="P87" i="1"/>
  <c r="P93" i="1"/>
  <c r="P95" i="1"/>
  <c r="P97" i="1"/>
  <c r="P100" i="1"/>
  <c r="P103" i="1"/>
  <c r="P105" i="1"/>
  <c r="P107" i="1"/>
  <c r="P109" i="1"/>
  <c r="P110" i="1"/>
  <c r="P112" i="1"/>
  <c r="P114" i="1"/>
  <c r="P116" i="1"/>
  <c r="F41" i="1"/>
  <c r="P42" i="1"/>
  <c r="F43" i="1"/>
  <c r="P44" i="1"/>
  <c r="P45" i="1"/>
  <c r="F46" i="1"/>
  <c r="P47" i="1"/>
  <c r="F48" i="1"/>
  <c r="F51" i="1"/>
  <c r="F53" i="1"/>
  <c r="P54" i="1"/>
  <c r="F55" i="1"/>
  <c r="U243" i="1"/>
  <c r="U273" i="1" s="1"/>
  <c r="P221" i="1"/>
  <c r="P223" i="1"/>
  <c r="P229" i="1"/>
  <c r="P232" i="1"/>
  <c r="P21" i="1"/>
  <c r="P31" i="1"/>
  <c r="F32" i="1"/>
  <c r="P34" i="1"/>
  <c r="F36" i="1"/>
  <c r="F38" i="1"/>
  <c r="F40" i="1"/>
  <c r="F42" i="1"/>
  <c r="F44" i="1"/>
  <c r="P46" i="1"/>
  <c r="F47" i="1"/>
  <c r="P48" i="1"/>
  <c r="F50" i="1"/>
  <c r="F52" i="1"/>
  <c r="P53" i="1"/>
  <c r="F54" i="1"/>
  <c r="P55" i="1"/>
  <c r="P57" i="1"/>
  <c r="F58" i="1"/>
  <c r="P49" i="1"/>
  <c r="F59" i="1"/>
  <c r="P60" i="1"/>
  <c r="F62" i="1"/>
  <c r="P63" i="1"/>
  <c r="F64" i="1"/>
  <c r="P65" i="1"/>
  <c r="F66" i="1"/>
  <c r="P68" i="1"/>
  <c r="F69" i="1"/>
  <c r="F72" i="1"/>
  <c r="P73" i="1"/>
  <c r="F74" i="1"/>
  <c r="F76" i="1"/>
  <c r="F78" i="1"/>
  <c r="C13" i="2"/>
  <c r="C3" i="2" s="1"/>
  <c r="X79" i="1"/>
  <c r="X124" i="1"/>
  <c r="X126" i="1"/>
  <c r="X134" i="1"/>
  <c r="X135" i="1"/>
  <c r="X136" i="1"/>
  <c r="C17" i="2"/>
  <c r="C7" i="2" s="1"/>
  <c r="X173" i="1"/>
  <c r="P172" i="1"/>
  <c r="P170" i="1"/>
  <c r="P168" i="1"/>
  <c r="P167" i="1"/>
  <c r="P248" i="1"/>
  <c r="P246" i="1"/>
  <c r="X252" i="1"/>
  <c r="P250" i="1"/>
  <c r="P247" i="1"/>
  <c r="P27" i="1"/>
  <c r="B13" i="2"/>
  <c r="B3" i="2" s="1"/>
  <c r="E243" i="1"/>
  <c r="F242" i="1" s="1"/>
  <c r="X28" i="1"/>
  <c r="Z28" i="1"/>
  <c r="B10" i="3"/>
  <c r="C14" i="2"/>
  <c r="C4" i="2" s="1"/>
  <c r="C15" i="2"/>
  <c r="C5" i="2" s="1"/>
  <c r="P148" i="1"/>
  <c r="F149" i="1"/>
  <c r="P149" i="1"/>
  <c r="F181" i="1"/>
  <c r="F183" i="1"/>
  <c r="F185" i="1"/>
  <c r="F187" i="1"/>
  <c r="F189" i="1"/>
  <c r="F191" i="1"/>
  <c r="F193" i="1"/>
  <c r="F196" i="1"/>
  <c r="F198" i="1"/>
  <c r="F201" i="1"/>
  <c r="F203" i="1"/>
  <c r="P212" i="1"/>
  <c r="X213" i="1"/>
  <c r="F218" i="1"/>
  <c r="F223" i="1"/>
  <c r="F226" i="1"/>
  <c r="F229" i="1"/>
  <c r="F231" i="1"/>
  <c r="F233" i="1"/>
  <c r="F235" i="1"/>
  <c r="F239" i="1"/>
  <c r="F241" i="1"/>
  <c r="X246" i="1"/>
  <c r="P249" i="1"/>
  <c r="F248" i="1"/>
  <c r="P255" i="1"/>
  <c r="C18" i="2"/>
  <c r="C8" i="2" s="1"/>
  <c r="C19" i="2"/>
  <c r="C9" i="2" s="1"/>
  <c r="C20" i="2"/>
  <c r="C10" i="2" s="1"/>
  <c r="C13" i="4"/>
  <c r="E13" i="4"/>
  <c r="G13" i="4"/>
  <c r="I13" i="4"/>
  <c r="X207" i="1"/>
  <c r="X242" i="1"/>
  <c r="F246" i="1"/>
  <c r="F247" i="1"/>
  <c r="F250" i="1"/>
  <c r="B9" i="3" l="1"/>
  <c r="P163" i="1"/>
  <c r="P151" i="1"/>
  <c r="P133" i="1"/>
  <c r="P126" i="1"/>
  <c r="P153" i="1"/>
  <c r="P128" i="1"/>
  <c r="P144" i="1"/>
  <c r="P160" i="1"/>
  <c r="P157" i="1"/>
  <c r="O243" i="1"/>
  <c r="P164" i="1" s="1"/>
  <c r="P125" i="1"/>
  <c r="P155" i="1"/>
  <c r="P132" i="1"/>
  <c r="P140" i="1"/>
  <c r="P147" i="1"/>
  <c r="P158" i="1"/>
  <c r="C16" i="2"/>
  <c r="C6" i="2" s="1"/>
  <c r="P162" i="1"/>
  <c r="P156" i="1"/>
  <c r="P161" i="1"/>
  <c r="P134" i="1"/>
  <c r="P150" i="1"/>
  <c r="P127" i="1"/>
  <c r="P129" i="1"/>
  <c r="P137" i="1"/>
  <c r="P139" i="1"/>
  <c r="P141" i="1"/>
  <c r="P146" i="1"/>
  <c r="P152" i="1"/>
  <c r="P154" i="1"/>
  <c r="P159" i="1"/>
  <c r="X164" i="1"/>
  <c r="F207" i="1"/>
  <c r="F120" i="1"/>
  <c r="E273" i="1"/>
  <c r="F213" i="1"/>
  <c r="F164" i="1"/>
  <c r="F173" i="1"/>
  <c r="F28" i="1"/>
  <c r="F79" i="1"/>
  <c r="P213" i="1" l="1"/>
  <c r="X243" i="1"/>
  <c r="P79" i="1"/>
  <c r="P242" i="1"/>
  <c r="P173" i="1"/>
  <c r="P207" i="1"/>
  <c r="O273" i="1"/>
  <c r="P120" i="1"/>
  <c r="P28" i="1"/>
</calcChain>
</file>

<file path=xl/sharedStrings.xml><?xml version="1.0" encoding="utf-8"?>
<sst xmlns="http://schemas.openxmlformats.org/spreadsheetml/2006/main" count="1707" uniqueCount="355">
  <si>
    <t>% Change (Current from Previous)</t>
  </si>
  <si>
    <t>Difference</t>
  </si>
  <si>
    <t>S/N</t>
  </si>
  <si>
    <t>FUND</t>
  </si>
  <si>
    <t>FUND MANAGER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</si>
  <si>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</si>
  <si>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NAV (N)</t>
  </si>
  <si>
    <t>% to Total</t>
  </si>
  <si>
    <t>Bid Price ($)</t>
  </si>
  <si>
    <t>Bid Price (N)</t>
  </si>
  <si>
    <t>Offer Price ($)</t>
  </si>
  <si>
    <t>Offer Price (N)</t>
  </si>
  <si>
    <t>Unitholders</t>
  </si>
  <si>
    <t>Yield (WTD)</t>
  </si>
  <si>
    <t>Yield  (YTD)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</si>
  <si>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</si>
  <si>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</si>
  <si>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</si>
  <si>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</si>
  <si>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</si>
  <si>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</si>
  <si>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</si>
  <si>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</si>
  <si>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N/A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</si>
  <si>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</si>
  <si>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</si>
  <si>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</si>
  <si>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</si>
  <si>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</si>
  <si>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</si>
  <si>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</si>
  <si>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</si>
  <si>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Coronation Equity Fund</t>
  </si>
  <si>
    <t>Coronation Asset Management Limited</t>
  </si>
  <si>
    <t>Cowry Equity Fund</t>
  </si>
  <si>
    <t>Cowry Treasurers Limited</t>
  </si>
  <si>
    <t>FCMBAM Equity Fund</t>
  </si>
  <si>
    <t>FCMB Asset Management Limited</t>
  </si>
  <si>
    <t>First Asset Nigeria Smart Beta Equity Fund</t>
  </si>
  <si>
    <t>First Asset Management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</si>
  <si>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</si>
  <si>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</si>
  <si>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</si>
  <si>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</si>
  <si>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</si>
  <si>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</si>
  <si>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</si>
  <si>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</si>
  <si>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</si>
  <si>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</si>
  <si>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</si>
  <si>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</si>
  <si>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</si>
  <si>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</si>
  <si>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</si>
  <si>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</si>
  <si>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</si>
  <si>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</si>
  <si>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</si>
  <si>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Zedcrest Equity Fund</t>
  </si>
  <si>
    <t>Zedcrest Investment Managers Limited</t>
  </si>
  <si>
    <t>Zrosk Magna Equity Fund</t>
  </si>
  <si>
    <t>Zrosk Investment Management Limited</t>
  </si>
  <si>
    <t>Sub-Total</t>
  </si>
  <si>
    <t>Afrinvest Plutus Fund</t>
  </si>
  <si>
    <t>AIICO Money Market Fund</t>
  </si>
  <si>
    <t>AIICO Capital Ltd</t>
  </si>
  <si>
    <t>Alpha10 Money Market Fund</t>
  </si>
  <si>
    <t>Alpha10 Fund Management Limited</t>
  </si>
  <si>
    <t>Anchoria Money Market Fund</t>
  </si>
  <si>
    <t>Apel Wealth Money Market Fund</t>
  </si>
  <si>
    <t>Apel Wealth Management Limited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</si>
  <si>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</si>
  <si>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</si>
  <si>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</si>
  <si>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</si>
  <si>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</si>
  <si>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</si>
  <si>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</si>
  <si>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</si>
  <si>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</si>
  <si>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</si>
  <si>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</si>
  <si>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</si>
  <si>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</si>
  <si>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</si>
  <si>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</si>
  <si>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</si>
  <si>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</si>
  <si>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</si>
  <si>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</si>
  <si>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</si>
  <si>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FCMBAM Money Market Fund</t>
  </si>
  <si>
    <t>First Asset Money Market Fund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</si>
  <si>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</si>
  <si>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</si>
  <si>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</si>
  <si>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</si>
  <si>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</si>
  <si>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</si>
  <si>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</si>
  <si>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</si>
  <si>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</si>
  <si>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</si>
  <si>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</si>
  <si>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</si>
  <si>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</si>
  <si>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</si>
  <si>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</si>
  <si>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</si>
  <si>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</si>
  <si>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Myrtle Nest Money Market Fund</t>
  </si>
  <si>
    <t>Myrtle Asset Management Limited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</si>
  <si>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</si>
  <si>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</si>
  <si>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</si>
  <si>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</si>
  <si>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</si>
  <si>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</si>
  <si>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</si>
  <si>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</si>
  <si>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</si>
  <si>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Radix Money Market Fund</t>
  </si>
  <si>
    <t>Radix Capital Partners Limited</t>
  </si>
  <si>
    <t>RMBN Money Market Fund</t>
  </si>
  <si>
    <t>RMB Nigeria Asset Management Ltd.</t>
  </si>
  <si>
    <t>RT Briscoe Savings &amp; Investment Fund</t>
  </si>
  <si>
    <t>SCM Capital Money Market Fund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</si>
  <si>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</si>
  <si>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</si>
  <si>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</si>
  <si>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</si>
  <si>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</si>
  <si>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</si>
  <si>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</si>
  <si>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</si>
  <si>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</si>
  <si>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</si>
  <si>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</si>
  <si>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</si>
  <si>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</si>
  <si>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</si>
  <si>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</si>
  <si>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</si>
  <si>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</si>
  <si>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</si>
  <si>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</si>
  <si>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</si>
  <si>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</si>
  <si>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</si>
  <si>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</si>
  <si>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</si>
  <si>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</si>
  <si>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</si>
  <si>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</si>
  <si>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</si>
  <si>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</si>
  <si>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</si>
  <si>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</si>
  <si>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FCMBAM Debt Fund</t>
  </si>
  <si>
    <t>First Asset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</si>
  <si>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</si>
  <si>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</si>
  <si>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</si>
  <si>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</si>
  <si>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</si>
  <si>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</si>
  <si>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</si>
  <si>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</si>
  <si>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</si>
  <si>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</si>
  <si>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</si>
  <si>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</si>
  <si>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</si>
  <si>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</si>
  <si>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</si>
  <si>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</si>
  <si>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</si>
  <si>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</si>
  <si>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</si>
  <si>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</si>
  <si>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</si>
  <si>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</si>
  <si>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</si>
  <si>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</si>
  <si>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EUROBONDS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</si>
  <si>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</si>
  <si>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</si>
  <si>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</si>
  <si>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</si>
  <si>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</si>
  <si>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</si>
  <si>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</si>
  <si>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</si>
  <si>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</si>
  <si>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FCMBAM USD Bond Fund</t>
  </si>
  <si>
    <t xml:space="preserve"> </t>
  </si>
  <si>
    <t>First Asset Specialized Dollar Fund</t>
  </si>
  <si>
    <t>FSL Eurobond Fund</t>
  </si>
  <si>
    <t>Futureview Dollar Fund</t>
  </si>
  <si>
    <t>Myrtle Dollar Shield Fund</t>
  </si>
  <si>
    <t>Norrenberger Dollar Fund</t>
  </si>
  <si>
    <t>PACAM Eurobond Fund</t>
  </si>
  <si>
    <t>United Capital Nigerian Eurobond Fund</t>
  </si>
  <si>
    <t>FIXED INCOME</t>
  </si>
  <si>
    <t>Alpha10 Dollar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</si>
  <si>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</si>
  <si>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</si>
  <si>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</si>
  <si>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</si>
  <si>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</si>
  <si>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</si>
  <si>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</si>
  <si>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</si>
  <si>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</si>
  <si>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Meristem Dollar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</si>
  <si>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</si>
  <si>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</si>
  <si>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</si>
  <si>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</si>
  <si>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</si>
  <si>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</si>
  <si>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</si>
  <si>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</si>
  <si>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</si>
  <si>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REAL ESTATE INVESTMENT TRUSTS</t>
  </si>
  <si>
    <t>Housing Solution Fund</t>
  </si>
  <si>
    <t>Fundco Capital Managers Limited</t>
  </si>
  <si>
    <t>MOFI Real Estate Investment Fund</t>
  </si>
  <si>
    <t>Nigeria Real Estate Investment Trust</t>
  </si>
  <si>
    <t>SFS Real Estate Investment Trust Fund</t>
  </si>
  <si>
    <t>Union Homes REITS</t>
  </si>
  <si>
    <t>UPDC Real Estate Investment Trust</t>
  </si>
  <si>
    <t>BALANCED FUNDS</t>
  </si>
  <si>
    <t>AIICO Balanced Fund</t>
  </si>
  <si>
    <t>Alpha Morgan Balanced Fund</t>
  </si>
  <si>
    <t>Alpha Morgan Capital Managers Limited</t>
  </si>
  <si>
    <t>Apel Wealth Balanced Fund</t>
  </si>
  <si>
    <t xml:space="preserve">Apel Wealth Managemenet Limited 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</si>
  <si>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</si>
  <si>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</si>
  <si>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</si>
  <si>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</si>
  <si>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</si>
  <si>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</si>
  <si>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</si>
  <si>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</si>
  <si>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</si>
  <si>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</si>
  <si>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</si>
  <si>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</si>
  <si>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</si>
  <si>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</si>
  <si>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</si>
  <si>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</si>
  <si>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</si>
  <si>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Myrtle Balanced Plus Fund</t>
  </si>
  <si>
    <t>Nigeria Energy Sector Fund</t>
  </si>
  <si>
    <t>Nova Hybrid Balanced Fund</t>
  </si>
  <si>
    <t>PACAM Balanced Fund</t>
  </si>
  <si>
    <t>Samtl Mixed Income Fund</t>
  </si>
  <si>
    <t>Samtl Fund Managers Limited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</si>
  <si>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</si>
  <si>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</si>
  <si>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</si>
  <si>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</si>
  <si>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</si>
  <si>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</si>
  <si>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Zenith Balanced Strategy Fund</t>
  </si>
  <si>
    <t>ETHICAL FUNDS</t>
  </si>
  <si>
    <t>CFG Ethical Fund</t>
  </si>
  <si>
    <t>ESG Impact Fund</t>
  </si>
  <si>
    <t>Zenith Asset Management Ltd.</t>
  </si>
  <si>
    <t>SHARIAH COMPLIANT FUNDS</t>
  </si>
  <si>
    <t>EQUITY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</si>
  <si>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</si>
  <si>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</si>
  <si>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</si>
  <si>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</si>
  <si>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</si>
  <si>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</si>
  <si>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</si>
  <si>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</si>
  <si>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</si>
  <si>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</si>
  <si>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</si>
  <si>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First Asset Halal Fund</t>
  </si>
  <si>
    <t>FSDH Halal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</si>
  <si>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</si>
  <si>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</si>
  <si>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</si>
  <si>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</si>
  <si>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</si>
  <si>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</si>
  <si>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BALANCED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</si>
  <si>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</si>
  <si>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</si>
  <si>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</si>
  <si>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</si>
  <si>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</si>
  <si>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</si>
  <si>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</si>
  <si>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</si>
  <si>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</si>
  <si>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</si>
  <si>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First Asset Blended Dollar Fund</t>
  </si>
  <si>
    <t>United Capital Children Investment Fund</t>
  </si>
  <si>
    <t>ValuAlliance Specialized Dollar Fund</t>
  </si>
  <si>
    <t>Nigeria Infrastructure Debt Fund (NIDF)</t>
  </si>
  <si>
    <t>Chapel Hill Denham Management Limited</t>
  </si>
  <si>
    <t>-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</si>
  <si>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</si>
  <si>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</si>
  <si>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</si>
  <si>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</si>
  <si>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</si>
  <si>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</si>
  <si>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</si>
  <si>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</si>
  <si>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</si>
  <si>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</si>
  <si>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</si>
  <si>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</si>
  <si>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</si>
  <si>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</si>
  <si>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</si>
  <si>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</si>
  <si>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</si>
  <si>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</si>
  <si>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</si>
  <si>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</si>
  <si>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MONEY MARKET 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</si>
  <si>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</si>
  <si>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</si>
  <si>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</si>
  <si>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</si>
  <si>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</si>
  <si>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</si>
  <si>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</si>
  <si>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</si>
  <si>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EXCHANGE TRADED FUNDS (ETFs)</t>
  </si>
  <si>
    <t>Parthian Equity Fund</t>
  </si>
  <si>
    <t>Alpha10 Halal Fund</t>
  </si>
  <si>
    <t>`</t>
  </si>
  <si>
    <t>NAV, Unit Price and Yield as at Week Ended August 21, 2026</t>
  </si>
  <si>
    <t>First Asset Balanced Fund</t>
  </si>
  <si>
    <t>WEEKLY VALUATION REPORT OF COLLECTIVE INVESTMENT SCHEMES AS AT WEEK ENDED FRIDAY, AUGUST 28, 2026</t>
  </si>
  <si>
    <t>NAV, Unit Price and Yield as at Week Ended August 28, 2026</t>
  </si>
  <si>
    <t>NFEM RATE NG₦/US$ as at 28th August, 2026 = N1337.2873</t>
  </si>
  <si>
    <t xml:space="preserve">          421.0666 </t>
  </si>
  <si>
    <t>Stanbic IBTC Ethical Fund</t>
  </si>
  <si>
    <t>First Asset Dollar Fund</t>
  </si>
  <si>
    <t>Lotus Halal Fixed Income Fund</t>
  </si>
  <si>
    <t>Week Ended Aug 21, 2026</t>
  </si>
  <si>
    <t>Week Ended Aug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</si>
</sst>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Ebrima"/>
    </font>
    <font>
      <sz val="11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name val="Century Gothic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8"/>
      <color rgb="FF000000"/>
      <name val="Arial Narrow"/>
      <family val="2"/>
    </font>
    <font>
      <sz val="10"/>
      <color rgb="FF000000"/>
      <name val="Times New Roman"/>
      <family val="1"/>
    </font>
    <font>
      <b/>
      <sz val="8"/>
      <color rgb="FFFF0000"/>
      <name val="Arial Narrow"/>
      <family val="2"/>
    </font>
    <font>
      <sz val="12"/>
      <color rgb="FF000000"/>
      <name val="Aptos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sz val="8"/>
      <color rgb="FF242424"/>
      <name val="Arial Narrow"/>
      <family val="2"/>
    </font>
    <font>
      <sz val="8"/>
      <color theme="0"/>
      <name val="Arial"/>
      <family val="2"/>
    </font>
    <font>
      <sz val="8"/>
      <color rgb="FF424242"/>
      <name val="Arial"/>
      <family val="2"/>
    </font>
    <font>
      <sz val="12"/>
      <color rgb="FF000000"/>
      <name val="Calibri"/>
      <family val="2"/>
      <scheme val="minor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12"/>
      <name val="Arial Narrow"/>
      <family val="2"/>
    </font>
    <font>
      <sz val="11"/>
      <color rgb="FFFF0000"/>
      <name val="Calibri"/>
      <family val="2"/>
      <scheme val="minor"/>
    </font>
    <font>
      <i/>
      <sz val="8"/>
      <name val="Arial Narrow"/>
      <family val="2"/>
    </font>
    <font>
      <sz val="10"/>
      <name val="Arial Narrow"/>
      <family val="2"/>
    </font>
    <font>
      <b/>
      <sz val="6"/>
      <color theme="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</font>
    <font>
      <b/>
      <sz val="18"/>
      <color theme="3"/>
      <name val="Calibri Light"/>
      <family val="2"/>
      <scheme val="major"/>
    </font>
    <font>
      <b/>
      <sz val="8"/>
      <color theme="1"/>
      <name val="Calibri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12"/>
      <color theme="0"/>
      <name val="Arial Narrow"/>
      <family val="2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82909634693444"/>
        <bgColor indexed="64"/>
      </patternFill>
    </fill>
    <fill>
      <patternFill patternType="solid">
        <fgColor theme="3" tint="0.7997680593279824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07">
    <xf numFmtId="0" fontId="0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38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5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43" fontId="4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4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7" fillId="23" borderId="0" applyNumberFormat="0" applyBorder="0" applyAlignment="0" applyProtection="0"/>
    <xf numFmtId="0" fontId="4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3" fillId="0" borderId="0"/>
    <xf numFmtId="164" fontId="3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270">
    <xf numFmtId="0" fontId="0" fillId="0" borderId="0" xfId="0"/>
    <xf numFmtId="0" fontId="5" fillId="3" borderId="1" xfId="0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0" fontId="8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 wrapText="1"/>
    </xf>
    <xf numFmtId="164" fontId="6" fillId="5" borderId="1" xfId="1" applyFont="1" applyFill="1" applyBorder="1" applyAlignment="1">
      <alignment horizontal="center" vertical="top"/>
    </xf>
    <xf numFmtId="164" fontId="9" fillId="6" borderId="5" xfId="1" applyFont="1" applyFill="1" applyBorder="1" applyAlignment="1">
      <alignment horizontal="center" wrapText="1"/>
    </xf>
    <xf numFmtId="164" fontId="9" fillId="6" borderId="5" xfId="1" applyFont="1" applyFill="1" applyBorder="1"/>
    <xf numFmtId="0" fontId="0" fillId="7" borderId="0" xfId="0" applyFill="1"/>
    <xf numFmtId="0" fontId="13" fillId="6" borderId="1" xfId="0" applyFont="1" applyFill="1" applyBorder="1" applyAlignment="1">
      <alignment wrapText="1"/>
    </xf>
    <xf numFmtId="10" fontId="10" fillId="6" borderId="1" xfId="2" applyNumberFormat="1" applyFont="1" applyFill="1" applyBorder="1" applyAlignment="1">
      <alignment horizontal="center"/>
    </xf>
    <xf numFmtId="4" fontId="10" fillId="6" borderId="1" xfId="0" applyNumberFormat="1" applyFont="1" applyFill="1" applyBorder="1"/>
    <xf numFmtId="10" fontId="10" fillId="4" borderId="1" xfId="2" applyNumberFormat="1" applyFont="1" applyFill="1" applyBorder="1" applyAlignment="1">
      <alignment horizontal="center"/>
    </xf>
    <xf numFmtId="164" fontId="10" fillId="8" borderId="1" xfId="1" applyFont="1" applyFill="1" applyBorder="1" applyAlignment="1">
      <alignment horizontal="center"/>
    </xf>
    <xf numFmtId="10" fontId="10" fillId="8" borderId="1" xfId="2" applyNumberFormat="1" applyFont="1" applyFill="1" applyBorder="1" applyAlignment="1">
      <alignment horizontal="center"/>
    </xf>
    <xf numFmtId="164" fontId="10" fillId="8" borderId="1" xfId="1" applyFont="1" applyFill="1" applyBorder="1" applyAlignment="1">
      <alignment horizontal="center"/>
    </xf>
    <xf numFmtId="10" fontId="10" fillId="8" borderId="1" xfId="2" applyNumberFormat="1" applyFont="1" applyFill="1" applyBorder="1" applyAlignment="1">
      <alignment horizontal="center"/>
    </xf>
    <xf numFmtId="10" fontId="10" fillId="5" borderId="1" xfId="2" applyNumberFormat="1" applyFont="1" applyFill="1" applyBorder="1" applyAlignment="1">
      <alignment horizontal="center" vertical="top" wrapText="1"/>
    </xf>
    <xf numFmtId="10" fontId="10" fillId="5" borderId="1" xfId="1" applyNumberFormat="1" applyFont="1" applyFill="1" applyBorder="1" applyAlignment="1">
      <alignment horizontal="center" vertical="top" wrapText="1"/>
    </xf>
    <xf numFmtId="0" fontId="14" fillId="0" borderId="0" xfId="0" applyFont="1"/>
    <xf numFmtId="4" fontId="13" fillId="6" borderId="1" xfId="0" applyNumberFormat="1" applyFont="1" applyFill="1" applyBorder="1"/>
    <xf numFmtId="10" fontId="13" fillId="4" borderId="1" xfId="2" applyNumberFormat="1" applyFont="1" applyFill="1" applyBorder="1" applyAlignment="1">
      <alignment horizontal="center"/>
    </xf>
    <xf numFmtId="164" fontId="13" fillId="8" borderId="1" xfId="1" applyFont="1" applyFill="1" applyBorder="1" applyAlignment="1">
      <alignment horizontal="center"/>
    </xf>
    <xf numFmtId="10" fontId="13" fillId="8" borderId="1" xfId="2" applyNumberFormat="1" applyFont="1" applyFill="1" applyBorder="1" applyAlignment="1">
      <alignment horizontal="center"/>
    </xf>
    <xf numFmtId="10" fontId="13" fillId="5" borderId="1" xfId="2" applyNumberFormat="1" applyFont="1" applyFill="1" applyBorder="1" applyAlignment="1">
      <alignment horizontal="center" vertical="top" wrapText="1"/>
    </xf>
    <xf numFmtId="0" fontId="16" fillId="0" borderId="0" xfId="0" applyFont="1"/>
    <xf numFmtId="2" fontId="16" fillId="0" borderId="1" xfId="0" applyNumberFormat="1" applyFont="1" applyBorder="1"/>
    <xf numFmtId="10" fontId="0" fillId="0" borderId="0" xfId="2" applyNumberFormat="1" applyFont="1"/>
    <xf numFmtId="10" fontId="17" fillId="9" borderId="0" xfId="2" applyNumberFormat="1" applyFont="1" applyFill="1" applyAlignment="1">
      <alignment horizontal="right" vertical="center" wrapText="1"/>
    </xf>
    <xf numFmtId="10" fontId="17" fillId="9" borderId="0" xfId="0" applyNumberFormat="1" applyFont="1" applyFill="1" applyAlignment="1">
      <alignment horizontal="right" vertical="center" wrapText="1"/>
    </xf>
    <xf numFmtId="10" fontId="9" fillId="6" borderId="5" xfId="2" applyNumberFormat="1" applyFont="1" applyFill="1" applyBorder="1"/>
    <xf numFmtId="164" fontId="13" fillId="6" borderId="1" xfId="1" applyFont="1" applyFill="1" applyBorder="1"/>
    <xf numFmtId="164" fontId="13" fillId="6" borderId="1" xfId="3" applyFont="1" applyFill="1" applyBorder="1"/>
    <xf numFmtId="4" fontId="13" fillId="6" borderId="1" xfId="0" applyNumberFormat="1" applyFont="1" applyFill="1" applyBorder="1" applyAlignment="1">
      <alignment wrapText="1"/>
    </xf>
    <xf numFmtId="4" fontId="13" fillId="6" borderId="1" xfId="3" applyNumberFormat="1" applyFont="1" applyFill="1" applyBorder="1" applyAlignment="1">
      <alignment horizontal="right" vertical="top" wrapText="1"/>
    </xf>
    <xf numFmtId="4" fontId="13" fillId="6" borderId="5" xfId="0" applyNumberFormat="1" applyFont="1" applyFill="1" applyBorder="1"/>
    <xf numFmtId="4" fontId="10" fillId="0" borderId="1" xfId="0" applyNumberFormat="1" applyFont="1" applyBorder="1"/>
    <xf numFmtId="4" fontId="13" fillId="6" borderId="1" xfId="0" applyNumberFormat="1" applyFont="1" applyFill="1" applyBorder="1" applyAlignment="1">
      <alignment horizontal="right"/>
    </xf>
    <xf numFmtId="4" fontId="13" fillId="6" borderId="5" xfId="0" applyNumberFormat="1" applyFont="1" applyFill="1" applyBorder="1" applyAlignment="1">
      <alignment horizontal="right"/>
    </xf>
    <xf numFmtId="164" fontId="9" fillId="6" borderId="6" xfId="1" applyFont="1" applyFill="1" applyBorder="1"/>
    <xf numFmtId="0" fontId="10" fillId="6" borderId="1" xfId="0" applyFont="1" applyFill="1" applyBorder="1"/>
    <xf numFmtId="0" fontId="8" fillId="6" borderId="1" xfId="0" applyFont="1" applyFill="1" applyBorder="1" applyAlignment="1">
      <alignment horizontal="right"/>
    </xf>
    <xf numFmtId="0" fontId="13" fillId="6" borderId="1" xfId="0" applyFont="1" applyFill="1" applyBorder="1" applyAlignment="1">
      <alignment horizontal="center" wrapText="1"/>
    </xf>
    <xf numFmtId="164" fontId="8" fillId="6" borderId="1" xfId="1" applyFont="1" applyFill="1" applyBorder="1" applyAlignment="1">
      <alignment horizontal="right" vertical="top" wrapText="1"/>
    </xf>
    <xf numFmtId="10" fontId="18" fillId="4" borderId="1" xfId="2" applyNumberFormat="1" applyFont="1" applyFill="1" applyBorder="1" applyAlignment="1">
      <alignment horizontal="center" vertical="top" wrapText="1"/>
    </xf>
    <xf numFmtId="10" fontId="13" fillId="6" borderId="1" xfId="2" applyNumberFormat="1" applyFont="1" applyFill="1" applyBorder="1" applyAlignment="1">
      <alignment horizontal="center" vertical="top" wrapText="1"/>
    </xf>
    <xf numFmtId="4" fontId="13" fillId="6" borderId="1" xfId="1" applyNumberFormat="1" applyFont="1" applyFill="1" applyBorder="1" applyAlignment="1">
      <alignment vertical="top" wrapText="1"/>
    </xf>
    <xf numFmtId="164" fontId="8" fillId="8" borderId="1" xfId="1" applyFont="1" applyFill="1" applyBorder="1" applyAlignment="1">
      <alignment horizontal="center"/>
    </xf>
    <xf numFmtId="10" fontId="13" fillId="8" borderId="1" xfId="2" applyNumberFormat="1" applyFont="1" applyFill="1" applyBorder="1" applyAlignment="1">
      <alignment horizontal="center" vertical="top" wrapText="1"/>
    </xf>
    <xf numFmtId="10" fontId="18" fillId="6" borderId="1" xfId="2" applyNumberFormat="1" applyFont="1" applyFill="1" applyBorder="1" applyAlignment="1">
      <alignment horizontal="center" vertical="top" wrapText="1"/>
    </xf>
    <xf numFmtId="164" fontId="13" fillId="6" borderId="1" xfId="3" applyFont="1" applyFill="1" applyBorder="1" applyAlignment="1">
      <alignment horizontal="right"/>
    </xf>
    <xf numFmtId="164" fontId="13" fillId="6" borderId="1" xfId="3" applyFont="1" applyFill="1" applyBorder="1" applyAlignment="1">
      <alignment horizontal="right"/>
    </xf>
    <xf numFmtId="10" fontId="13" fillId="8" borderId="1" xfId="2" applyNumberFormat="1" applyFont="1" applyFill="1" applyBorder="1" applyAlignment="1">
      <alignment horizontal="center"/>
    </xf>
    <xf numFmtId="10" fontId="13" fillId="5" borderId="1" xfId="1" applyNumberFormat="1" applyFont="1" applyFill="1" applyBorder="1" applyAlignment="1">
      <alignment horizontal="center" vertical="top" wrapText="1"/>
    </xf>
    <xf numFmtId="0" fontId="19" fillId="0" borderId="0" xfId="0" applyFont="1"/>
    <xf numFmtId="4" fontId="13" fillId="6" borderId="1" xfId="1" applyNumberFormat="1" applyFont="1" applyFill="1" applyBorder="1" applyAlignment="1">
      <alignment horizontal="right"/>
    </xf>
    <xf numFmtId="164" fontId="13" fillId="6" borderId="1" xfId="3" applyFont="1" applyFill="1" applyBorder="1" applyAlignment="1">
      <alignment horizontal="right" wrapText="1"/>
    </xf>
    <xf numFmtId="164" fontId="13" fillId="8" borderId="1" xfId="1" applyFont="1" applyFill="1" applyBorder="1" applyAlignment="1">
      <alignment horizontal="center" wrapText="1"/>
    </xf>
    <xf numFmtId="10" fontId="13" fillId="8" borderId="1" xfId="2" applyNumberFormat="1" applyFont="1" applyFill="1" applyBorder="1" applyAlignment="1">
      <alignment horizontal="center" wrapText="1"/>
    </xf>
    <xf numFmtId="164" fontId="13" fillId="6" borderId="1" xfId="1" applyFont="1" applyFill="1" applyBorder="1" applyAlignment="1">
      <alignment horizontal="right"/>
    </xf>
    <xf numFmtId="10" fontId="13" fillId="4" borderId="1" xfId="2" applyNumberFormat="1" applyFont="1" applyFill="1" applyBorder="1" applyAlignment="1">
      <alignment horizontal="center" wrapText="1"/>
    </xf>
    <xf numFmtId="164" fontId="8" fillId="6" borderId="1" xfId="1" applyFont="1" applyFill="1" applyBorder="1" applyAlignment="1">
      <alignment horizontal="right"/>
    </xf>
    <xf numFmtId="10" fontId="13" fillId="8" borderId="1" xfId="1" applyNumberFormat="1" applyFont="1" applyFill="1" applyBorder="1" applyAlignment="1">
      <alignment horizontal="center"/>
    </xf>
    <xf numFmtId="2" fontId="13" fillId="6" borderId="1" xfId="0" applyNumberFormat="1" applyFont="1" applyFill="1" applyBorder="1"/>
    <xf numFmtId="164" fontId="13" fillId="6" borderId="1" xfId="3" applyFont="1" applyFill="1" applyBorder="1" applyAlignment="1">
      <alignment wrapText="1"/>
    </xf>
    <xf numFmtId="0" fontId="13" fillId="6" borderId="1" xfId="0" applyFont="1" applyFill="1" applyBorder="1" applyAlignment="1">
      <alignment horizontal="left" wrapText="1"/>
    </xf>
    <xf numFmtId="2" fontId="10" fillId="6" borderId="1" xfId="0" applyNumberFormat="1" applyFont="1" applyFill="1" applyBorder="1"/>
    <xf numFmtId="164" fontId="10" fillId="6" borderId="1" xfId="1" applyFont="1" applyFill="1" applyBorder="1" applyAlignment="1">
      <alignment horizontal="center"/>
    </xf>
    <xf numFmtId="164" fontId="13" fillId="10" borderId="1" xfId="1" applyFont="1" applyFill="1" applyBorder="1" applyAlignment="1">
      <alignment horizontal="center"/>
    </xf>
    <xf numFmtId="10" fontId="13" fillId="10" borderId="1" xfId="2" applyNumberFormat="1" applyFont="1" applyFill="1" applyBorder="1" applyAlignment="1">
      <alignment horizontal="center"/>
    </xf>
    <xf numFmtId="0" fontId="0" fillId="11" borderId="0" xfId="0" applyFill="1"/>
    <xf numFmtId="4" fontId="0" fillId="0" borderId="0" xfId="0" applyNumberFormat="1"/>
    <xf numFmtId="2" fontId="0" fillId="0" borderId="0" xfId="0" applyNumberFormat="1"/>
    <xf numFmtId="164" fontId="13" fillId="6" borderId="1" xfId="1" applyFont="1" applyFill="1" applyBorder="1" applyAlignment="1">
      <alignment wrapText="1"/>
    </xf>
    <xf numFmtId="164" fontId="13" fillId="6" borderId="1" xfId="1" applyFont="1" applyFill="1" applyBorder="1" applyAlignment="1">
      <alignment horizontal="center"/>
    </xf>
    <xf numFmtId="164" fontId="13" fillId="6" borderId="1" xfId="1" applyFont="1" applyFill="1" applyBorder="1" applyAlignment="1">
      <alignment horizontal="center"/>
    </xf>
    <xf numFmtId="164" fontId="16" fillId="0" borderId="1" xfId="1" applyFont="1" applyBorder="1"/>
    <xf numFmtId="164" fontId="13" fillId="6" borderId="1" xfId="3" applyFont="1" applyFill="1" applyBorder="1"/>
    <xf numFmtId="165" fontId="0" fillId="0" borderId="0" xfId="0" applyNumberFormat="1"/>
    <xf numFmtId="4" fontId="21" fillId="9" borderId="0" xfId="0" applyNumberFormat="1" applyFont="1" applyFill="1" applyAlignment="1">
      <alignment horizontal="right" vertical="center" wrapText="1"/>
    </xf>
    <xf numFmtId="164" fontId="16" fillId="0" borderId="0" xfId="1" applyFont="1"/>
    <xf numFmtId="164" fontId="13" fillId="6" borderId="1" xfId="1" applyFont="1" applyFill="1" applyBorder="1" applyAlignment="1">
      <alignment horizontal="center" wrapText="1"/>
    </xf>
    <xf numFmtId="0" fontId="22" fillId="0" borderId="0" xfId="0" applyFont="1"/>
    <xf numFmtId="166" fontId="23" fillId="0" borderId="0" xfId="1" applyNumberFormat="1" applyFont="1"/>
    <xf numFmtId="0" fontId="24" fillId="0" borderId="0" xfId="0" applyFont="1"/>
    <xf numFmtId="4" fontId="25" fillId="0" borderId="0" xfId="0" applyNumberFormat="1" applyFont="1"/>
    <xf numFmtId="0" fontId="8" fillId="0" borderId="1" xfId="0" applyFont="1" applyBorder="1" applyAlignment="1">
      <alignment horizontal="right"/>
    </xf>
    <xf numFmtId="4" fontId="13" fillId="8" borderId="1" xfId="1" applyNumberFormat="1" applyFont="1" applyFill="1" applyBorder="1" applyAlignment="1">
      <alignment horizontal="center"/>
    </xf>
    <xf numFmtId="164" fontId="18" fillId="6" borderId="1" xfId="1" applyFont="1" applyFill="1" applyBorder="1" applyAlignment="1">
      <alignment horizontal="center" vertical="top" wrapText="1"/>
    </xf>
    <xf numFmtId="4" fontId="27" fillId="0" borderId="1" xfId="0" applyNumberFormat="1" applyFont="1" applyBorder="1"/>
    <xf numFmtId="0" fontId="15" fillId="6" borderId="1" xfId="0" applyFont="1" applyFill="1" applyBorder="1"/>
    <xf numFmtId="4" fontId="13" fillId="6" borderId="1" xfId="1" applyNumberFormat="1" applyFont="1" applyFill="1" applyBorder="1" applyAlignment="1">
      <alignment horizontal="right" vertical="top" wrapText="1"/>
    </xf>
    <xf numFmtId="4" fontId="13" fillId="8" borderId="1" xfId="1" applyNumberFormat="1" applyFont="1" applyFill="1" applyBorder="1" applyAlignment="1">
      <alignment horizontal="center" vertical="top" wrapText="1"/>
    </xf>
    <xf numFmtId="164" fontId="9" fillId="6" borderId="0" xfId="1" applyFont="1" applyFill="1" applyBorder="1"/>
    <xf numFmtId="164" fontId="8" fillId="6" borderId="1" xfId="1" applyFont="1" applyFill="1" applyBorder="1"/>
    <xf numFmtId="43" fontId="13" fillId="6" borderId="1" xfId="0" applyNumberFormat="1" applyFont="1" applyFill="1" applyBorder="1"/>
    <xf numFmtId="43" fontId="13" fillId="8" borderId="1" xfId="0" applyNumberFormat="1" applyFont="1" applyFill="1" applyBorder="1" applyAlignment="1">
      <alignment horizontal="center"/>
    </xf>
    <xf numFmtId="4" fontId="13" fillId="6" borderId="1" xfId="0" applyNumberFormat="1" applyFont="1" applyFill="1" applyBorder="1" applyAlignment="1">
      <alignment horizontal="right" wrapText="1"/>
    </xf>
    <xf numFmtId="4" fontId="13" fillId="6" borderId="1" xfId="3" applyNumberFormat="1" applyFont="1" applyFill="1" applyBorder="1" applyAlignment="1">
      <alignment horizontal="right"/>
    </xf>
    <xf numFmtId="4" fontId="13" fillId="6" borderId="1" xfId="3" applyNumberFormat="1" applyFont="1" applyFill="1" applyBorder="1" applyAlignment="1">
      <alignment horizontal="right" wrapText="1"/>
    </xf>
    <xf numFmtId="164" fontId="0" fillId="0" borderId="0" xfId="1" applyFont="1"/>
    <xf numFmtId="4" fontId="13" fillId="6" borderId="1" xfId="3" applyNumberFormat="1" applyFont="1" applyFill="1" applyBorder="1" applyAlignment="1">
      <alignment horizontal="right"/>
    </xf>
    <xf numFmtId="4" fontId="13" fillId="6" borderId="5" xfId="7" applyNumberFormat="1" applyFont="1" applyFill="1" applyBorder="1" applyAlignment="1">
      <alignment horizontal="right"/>
    </xf>
    <xf numFmtId="164" fontId="9" fillId="6" borderId="6" xfId="1" applyFont="1" applyFill="1" applyBorder="1" applyAlignment="1">
      <alignment horizontal="center" wrapText="1"/>
    </xf>
    <xf numFmtId="9" fontId="0" fillId="0" borderId="0" xfId="2" applyFont="1"/>
    <xf numFmtId="0" fontId="29" fillId="0" borderId="0" xfId="0" applyFont="1"/>
    <xf numFmtId="4" fontId="8" fillId="8" borderId="1" xfId="1" applyNumberFormat="1" applyFont="1" applyFill="1" applyBorder="1" applyAlignment="1">
      <alignment horizontal="right" vertical="top" wrapText="1"/>
    </xf>
    <xf numFmtId="0" fontId="0" fillId="14" borderId="0" xfId="0" applyFill="1"/>
    <xf numFmtId="0" fontId="13" fillId="14" borderId="1" xfId="0" applyFont="1" applyFill="1" applyBorder="1" applyAlignment="1">
      <alignment horizontal="right" vertical="center"/>
    </xf>
    <xf numFmtId="0" fontId="8" fillId="14" borderId="1" xfId="0" applyFont="1" applyFill="1" applyBorder="1" applyAlignment="1">
      <alignment horizontal="right" vertical="center"/>
    </xf>
    <xf numFmtId="164" fontId="8" fillId="14" borderId="1" xfId="1" applyFont="1" applyFill="1" applyBorder="1" applyAlignment="1">
      <alignment horizontal="right" vertical="center" wrapText="1"/>
    </xf>
    <xf numFmtId="10" fontId="13" fillId="14" borderId="1" xfId="1" applyNumberFormat="1" applyFont="1" applyFill="1" applyBorder="1" applyAlignment="1">
      <alignment horizontal="right" vertical="center" wrapText="1"/>
    </xf>
    <xf numFmtId="4" fontId="13" fillId="14" borderId="1" xfId="1" applyNumberFormat="1" applyFont="1" applyFill="1" applyBorder="1" applyAlignment="1">
      <alignment horizontal="right" vertical="center" wrapText="1"/>
    </xf>
    <xf numFmtId="9" fontId="13" fillId="14" borderId="1" xfId="2" applyFont="1" applyFill="1" applyBorder="1" applyAlignment="1">
      <alignment horizontal="center" vertical="center" wrapText="1"/>
    </xf>
    <xf numFmtId="4" fontId="13" fillId="14" borderId="1" xfId="1" applyNumberFormat="1" applyFont="1" applyFill="1" applyBorder="1" applyAlignment="1">
      <alignment horizontal="center" vertical="center" wrapText="1"/>
    </xf>
    <xf numFmtId="10" fontId="10" fillId="14" borderId="1" xfId="2" applyNumberFormat="1" applyFont="1" applyFill="1" applyBorder="1" applyAlignment="1">
      <alignment horizontal="center" vertical="top" wrapText="1"/>
    </xf>
    <xf numFmtId="10" fontId="13" fillId="6" borderId="1" xfId="2" applyNumberFormat="1" applyFont="1" applyFill="1" applyBorder="1" applyAlignment="1">
      <alignment horizontal="center"/>
    </xf>
    <xf numFmtId="43" fontId="0" fillId="0" borderId="0" xfId="0" applyNumberFormat="1"/>
    <xf numFmtId="164" fontId="8" fillId="14" borderId="1" xfId="1" applyFont="1" applyFill="1" applyBorder="1" applyAlignment="1">
      <alignment horizontal="right" vertical="top" wrapText="1"/>
    </xf>
    <xf numFmtId="164" fontId="30" fillId="14" borderId="1" xfId="1" applyFont="1" applyFill="1" applyBorder="1" applyAlignment="1">
      <alignment horizontal="right" vertical="top" wrapText="1"/>
    </xf>
    <xf numFmtId="4" fontId="13" fillId="14" borderId="1" xfId="1" applyNumberFormat="1" applyFont="1" applyFill="1" applyBorder="1" applyAlignment="1">
      <alignment horizontal="right" vertical="top" wrapText="1"/>
    </xf>
    <xf numFmtId="4" fontId="13" fillId="14" borderId="1" xfId="1" applyNumberFormat="1" applyFont="1" applyFill="1" applyBorder="1" applyAlignment="1">
      <alignment horizontal="center" vertical="top" wrapText="1"/>
    </xf>
    <xf numFmtId="167" fontId="10" fillId="14" borderId="1" xfId="2" applyNumberFormat="1" applyFont="1" applyFill="1" applyBorder="1" applyAlignment="1">
      <alignment horizontal="center" vertical="top" wrapText="1"/>
    </xf>
    <xf numFmtId="10" fontId="10" fillId="14" borderId="1" xfId="1" applyNumberFormat="1" applyFont="1" applyFill="1" applyBorder="1" applyAlignment="1">
      <alignment horizontal="center" vertical="top" wrapText="1"/>
    </xf>
    <xf numFmtId="0" fontId="0" fillId="0" borderId="5" xfId="0" applyBorder="1"/>
    <xf numFmtId="164" fontId="13" fillId="6" borderId="1" xfId="3" applyFont="1" applyFill="1" applyBorder="1" applyAlignment="1">
      <alignment horizontal="right" vertical="top" wrapText="1"/>
    </xf>
    <xf numFmtId="10" fontId="13" fillId="4" borderId="1" xfId="2" applyNumberFormat="1" applyFont="1" applyFill="1" applyBorder="1" applyAlignment="1">
      <alignment horizontal="center" vertical="top" wrapText="1"/>
    </xf>
    <xf numFmtId="4" fontId="13" fillId="6" borderId="1" xfId="3" applyNumberFormat="1" applyFont="1" applyFill="1" applyBorder="1" applyAlignment="1">
      <alignment vertical="top" wrapText="1"/>
    </xf>
    <xf numFmtId="164" fontId="13" fillId="8" borderId="1" xfId="1" applyFont="1" applyFill="1" applyBorder="1" applyAlignment="1">
      <alignment horizontal="center" vertical="top" wrapText="1"/>
    </xf>
    <xf numFmtId="10" fontId="0" fillId="0" borderId="0" xfId="2" applyNumberFormat="1" applyFont="1" applyBorder="1"/>
    <xf numFmtId="164" fontId="13" fillId="6" borderId="1" xfId="1" applyFont="1" applyFill="1" applyBorder="1" applyAlignment="1">
      <alignment horizontal="right" vertical="top" wrapText="1"/>
    </xf>
    <xf numFmtId="0" fontId="0" fillId="0" borderId="4" xfId="0" applyBorder="1"/>
    <xf numFmtId="4" fontId="13" fillId="6" borderId="4" xfId="3" applyNumberFormat="1" applyFont="1" applyFill="1" applyBorder="1" applyAlignment="1">
      <alignment horizontal="right" vertical="top" wrapText="1"/>
    </xf>
    <xf numFmtId="0" fontId="13" fillId="14" borderId="1" xfId="0" applyFont="1" applyFill="1" applyBorder="1" applyAlignment="1">
      <alignment horizontal="right"/>
    </xf>
    <xf numFmtId="0" fontId="8" fillId="14" borderId="1" xfId="0" applyFont="1" applyFill="1" applyBorder="1" applyAlignment="1">
      <alignment horizontal="right"/>
    </xf>
    <xf numFmtId="164" fontId="13" fillId="14" borderId="1" xfId="1" applyFont="1" applyFill="1" applyBorder="1" applyAlignment="1">
      <alignment horizontal="center" vertical="top" wrapText="1"/>
    </xf>
    <xf numFmtId="0" fontId="13" fillId="15" borderId="1" xfId="0" applyFont="1" applyFill="1" applyBorder="1" applyAlignment="1">
      <alignment horizontal="right" vertical="top" wrapText="1"/>
    </xf>
    <xf numFmtId="0" fontId="26" fillId="15" borderId="1" xfId="0" applyFont="1" applyFill="1" applyBorder="1" applyAlignment="1">
      <alignment horizontal="right" vertical="top" wrapText="1"/>
    </xf>
    <xf numFmtId="0" fontId="8" fillId="15" borderId="1" xfId="0" applyFont="1" applyFill="1" applyBorder="1" applyAlignment="1">
      <alignment horizontal="center" vertical="top" wrapText="1"/>
    </xf>
    <xf numFmtId="164" fontId="26" fillId="15" borderId="1" xfId="1" applyFont="1" applyFill="1" applyBorder="1" applyAlignment="1">
      <alignment horizontal="right" vertical="top" wrapText="1"/>
    </xf>
    <xf numFmtId="164" fontId="31" fillId="15" borderId="1" xfId="1" applyFont="1" applyFill="1" applyBorder="1" applyAlignment="1">
      <alignment horizontal="right" vertical="top" wrapText="1"/>
    </xf>
    <xf numFmtId="4" fontId="31" fillId="15" borderId="1" xfId="0" applyNumberFormat="1" applyFont="1" applyFill="1" applyBorder="1" applyAlignment="1">
      <alignment horizontal="right"/>
    </xf>
    <xf numFmtId="9" fontId="31" fillId="15" borderId="1" xfId="2" applyFont="1" applyFill="1" applyBorder="1" applyAlignment="1">
      <alignment horizontal="center"/>
    </xf>
    <xf numFmtId="4" fontId="31" fillId="15" borderId="1" xfId="0" applyNumberFormat="1" applyFont="1" applyFill="1" applyBorder="1" applyAlignment="1">
      <alignment horizontal="center"/>
    </xf>
    <xf numFmtId="10" fontId="31" fillId="15" borderId="1" xfId="2" applyNumberFormat="1" applyFont="1" applyFill="1" applyBorder="1" applyAlignment="1">
      <alignment horizontal="center" vertical="top" wrapText="1"/>
    </xf>
    <xf numFmtId="167" fontId="31" fillId="15" borderId="1" xfId="2" applyNumberFormat="1" applyFont="1" applyFill="1" applyBorder="1" applyAlignment="1">
      <alignment horizontal="center" vertical="top" wrapText="1"/>
    </xf>
    <xf numFmtId="167" fontId="13" fillId="15" borderId="1" xfId="2" applyNumberFormat="1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left" vertical="center"/>
    </xf>
    <xf numFmtId="0" fontId="33" fillId="2" borderId="1" xfId="0" applyFont="1" applyFill="1" applyBorder="1"/>
    <xf numFmtId="0" fontId="34" fillId="2" borderId="1" xfId="0" applyFont="1" applyFill="1" applyBorder="1"/>
    <xf numFmtId="0" fontId="35" fillId="0" borderId="0" xfId="0" applyFont="1"/>
    <xf numFmtId="0" fontId="36" fillId="0" borderId="0" xfId="0" applyFont="1"/>
    <xf numFmtId="0" fontId="15" fillId="6" borderId="0" xfId="0" applyFont="1" applyFill="1" applyAlignment="1">
      <alignment wrapText="1"/>
    </xf>
    <xf numFmtId="43" fontId="36" fillId="0" borderId="0" xfId="8" applyFont="1" applyBorder="1"/>
    <xf numFmtId="2" fontId="36" fillId="0" borderId="0" xfId="0" applyNumberFormat="1" applyFont="1"/>
    <xf numFmtId="10" fontId="36" fillId="0" borderId="0" xfId="2" applyNumberFormat="1" applyFont="1" applyBorder="1"/>
    <xf numFmtId="10" fontId="37" fillId="0" borderId="0" xfId="2" applyNumberFormat="1" applyFont="1" applyBorder="1"/>
    <xf numFmtId="0" fontId="34" fillId="0" borderId="0" xfId="0" applyFont="1"/>
    <xf numFmtId="0" fontId="34" fillId="6" borderId="0" xfId="0" applyFont="1" applyFill="1"/>
    <xf numFmtId="0" fontId="38" fillId="0" borderId="0" xfId="0" applyFont="1"/>
    <xf numFmtId="164" fontId="23" fillId="6" borderId="0" xfId="1" applyFont="1" applyFill="1" applyBorder="1"/>
    <xf numFmtId="4" fontId="23" fillId="6" borderId="0" xfId="0" applyNumberFormat="1" applyFont="1" applyFill="1"/>
    <xf numFmtId="0" fontId="39" fillId="6" borderId="0" xfId="0" applyFont="1" applyFill="1" applyAlignment="1">
      <alignment horizontal="right"/>
    </xf>
    <xf numFmtId="0" fontId="40" fillId="6" borderId="0" xfId="0" applyFont="1" applyFill="1" applyAlignment="1">
      <alignment horizontal="right"/>
    </xf>
    <xf numFmtId="4" fontId="41" fillId="6" borderId="0" xfId="0" applyNumberFormat="1" applyFont="1" applyFill="1"/>
    <xf numFmtId="0" fontId="40" fillId="0" borderId="0" xfId="0" applyFont="1" applyAlignment="1">
      <alignment horizontal="right"/>
    </xf>
    <xf numFmtId="164" fontId="41" fillId="6" borderId="0" xfId="1" applyFont="1" applyFill="1" applyBorder="1" applyAlignment="1">
      <alignment horizontal="right" vertical="top" wrapText="1"/>
    </xf>
    <xf numFmtId="0" fontId="42" fillId="0" borderId="0" xfId="0" applyFont="1" applyAlignment="1">
      <alignment horizontal="right"/>
    </xf>
    <xf numFmtId="4" fontId="43" fillId="6" borderId="0" xfId="0" applyNumberFormat="1" applyFont="1" applyFill="1"/>
    <xf numFmtId="0" fontId="5" fillId="6" borderId="0" xfId="0" applyFont="1" applyFill="1" applyAlignment="1">
      <alignment wrapText="1"/>
    </xf>
    <xf numFmtId="0" fontId="44" fillId="0" borderId="7" xfId="0" applyFont="1" applyBorder="1" applyAlignment="1">
      <alignment horizontal="right"/>
    </xf>
    <xf numFmtId="16" fontId="45" fillId="6" borderId="7" xfId="0" applyNumberFormat="1" applyFont="1" applyFill="1" applyBorder="1"/>
    <xf numFmtId="0" fontId="45" fillId="0" borderId="7" xfId="0" applyFont="1" applyBorder="1" applyAlignment="1">
      <alignment horizontal="right"/>
    </xf>
    <xf numFmtId="4" fontId="43" fillId="6" borderId="7" xfId="0" applyNumberFormat="1" applyFont="1" applyFill="1" applyBorder="1" applyAlignment="1">
      <alignment horizontal="right"/>
    </xf>
    <xf numFmtId="4" fontId="43" fillId="6" borderId="7" xfId="0" applyNumberFormat="1" applyFont="1" applyFill="1" applyBorder="1"/>
    <xf numFmtId="164" fontId="43" fillId="6" borderId="7" xfId="1" applyFont="1" applyFill="1" applyBorder="1" applyAlignment="1">
      <alignment horizontal="right" vertical="top" wrapText="1"/>
    </xf>
    <xf numFmtId="4" fontId="5" fillId="6" borderId="7" xfId="0" applyNumberFormat="1" applyFont="1" applyFill="1" applyBorder="1"/>
    <xf numFmtId="0" fontId="28" fillId="16" borderId="7" xfId="0" applyFont="1" applyFill="1" applyBorder="1" applyAlignment="1">
      <alignment horizontal="right"/>
    </xf>
    <xf numFmtId="43" fontId="28" fillId="16" borderId="7" xfId="0" applyNumberFormat="1" applyFont="1" applyFill="1" applyBorder="1"/>
    <xf numFmtId="0" fontId="5" fillId="0" borderId="0" xfId="0" applyFont="1"/>
    <xf numFmtId="164" fontId="5" fillId="0" borderId="0" xfId="1" applyFont="1"/>
    <xf numFmtId="0" fontId="44" fillId="17" borderId="7" xfId="0" applyFont="1" applyFill="1" applyBorder="1" applyAlignment="1">
      <alignment horizontal="right"/>
    </xf>
    <xf numFmtId="43" fontId="44" fillId="17" borderId="7" xfId="0" quotePrefix="1" applyNumberFormat="1" applyFont="1" applyFill="1" applyBorder="1" applyAlignment="1">
      <alignment horizontal="center"/>
    </xf>
    <xf numFmtId="43" fontId="44" fillId="17" borderId="7" xfId="0" applyNumberFormat="1" applyFont="1" applyFill="1" applyBorder="1"/>
    <xf numFmtId="164" fontId="44" fillId="17" borderId="7" xfId="1" applyFont="1" applyFill="1" applyBorder="1"/>
    <xf numFmtId="0" fontId="42" fillId="0" borderId="7" xfId="0" applyFont="1" applyBorder="1" applyAlignment="1">
      <alignment horizontal="right"/>
    </xf>
    <xf numFmtId="164" fontId="43" fillId="0" borderId="7" xfId="1" applyFont="1" applyBorder="1"/>
    <xf numFmtId="164" fontId="38" fillId="0" borderId="0" xfId="1" applyFont="1"/>
    <xf numFmtId="43" fontId="38" fillId="0" borderId="0" xfId="0" applyNumberFormat="1" applyFont="1"/>
    <xf numFmtId="0" fontId="12" fillId="6" borderId="1" xfId="0" applyFont="1" applyFill="1" applyBorder="1" applyAlignment="1">
      <alignment wrapText="1"/>
    </xf>
    <xf numFmtId="164" fontId="52" fillId="6" borderId="1" xfId="3" applyFont="1" applyFill="1" applyBorder="1"/>
    <xf numFmtId="164" fontId="52" fillId="6" borderId="1" xfId="3" applyFont="1" applyFill="1" applyBorder="1" applyAlignment="1">
      <alignment horizontal="right"/>
    </xf>
    <xf numFmtId="4" fontId="43" fillId="6" borderId="0" xfId="0" applyNumberFormat="1" applyFont="1" applyFill="1" applyAlignment="1">
      <alignment horizontal="right"/>
    </xf>
    <xf numFmtId="10" fontId="12" fillId="8" borderId="1" xfId="2" applyNumberFormat="1" applyFont="1" applyFill="1" applyBorder="1" applyAlignment="1">
      <alignment horizontal="center"/>
    </xf>
    <xf numFmtId="164" fontId="12" fillId="6" borderId="1" xfId="3" applyFont="1" applyFill="1" applyBorder="1"/>
    <xf numFmtId="164" fontId="12" fillId="6" borderId="1" xfId="3" applyFont="1" applyFill="1" applyBorder="1" applyAlignment="1">
      <alignment horizontal="right"/>
    </xf>
    <xf numFmtId="164" fontId="12" fillId="6" borderId="1" xfId="1" applyFont="1" applyFill="1" applyBorder="1"/>
    <xf numFmtId="164" fontId="13" fillId="6" borderId="1" xfId="1" applyFont="1" applyFill="1" applyBorder="1" applyAlignment="1">
      <alignment horizontal="right" wrapText="1"/>
    </xf>
    <xf numFmtId="164" fontId="12" fillId="8" borderId="1" xfId="1" applyFont="1" applyFill="1" applyBorder="1" applyAlignment="1">
      <alignment horizontal="center"/>
    </xf>
    <xf numFmtId="0" fontId="55" fillId="6" borderId="0" xfId="0" applyFont="1" applyFill="1" applyAlignment="1">
      <alignment horizontal="right"/>
    </xf>
    <xf numFmtId="16" fontId="55" fillId="6" borderId="0" xfId="0" applyNumberFormat="1" applyFont="1" applyFill="1" applyAlignment="1">
      <alignment horizontal="center" wrapText="1"/>
    </xf>
    <xf numFmtId="0" fontId="56" fillId="6" borderId="0" xfId="0" applyFont="1" applyFill="1"/>
    <xf numFmtId="0" fontId="55" fillId="6" borderId="0" xfId="0" applyFont="1" applyFill="1" applyAlignment="1">
      <alignment horizontal="right" wrapText="1"/>
    </xf>
    <xf numFmtId="4" fontId="57" fillId="6" borderId="0" xfId="0" applyNumberFormat="1" applyFont="1" applyFill="1"/>
    <xf numFmtId="4" fontId="57" fillId="6" borderId="0" xfId="0" applyNumberFormat="1" applyFont="1" applyFill="1" applyAlignment="1">
      <alignment horizontal="right"/>
    </xf>
    <xf numFmtId="164" fontId="57" fillId="6" borderId="0" xfId="1" applyFont="1" applyFill="1" applyBorder="1" applyAlignment="1">
      <alignment horizontal="right" vertical="top" wrapText="1"/>
    </xf>
    <xf numFmtId="0" fontId="39" fillId="6" borderId="0" xfId="0" applyFont="1" applyFill="1" applyAlignment="1">
      <alignment horizontal="right" wrapText="1"/>
    </xf>
    <xf numFmtId="4" fontId="23" fillId="6" borderId="0" xfId="0" applyNumberFormat="1" applyFont="1" applyFill="1" applyAlignment="1">
      <alignment horizontal="right"/>
    </xf>
    <xf numFmtId="164" fontId="23" fillId="6" borderId="0" xfId="1" applyFont="1" applyFill="1" applyBorder="1" applyAlignment="1">
      <alignment horizontal="right" vertical="top" wrapText="1"/>
    </xf>
    <xf numFmtId="0" fontId="58" fillId="6" borderId="0" xfId="0" applyFont="1" applyFill="1" applyAlignment="1">
      <alignment horizontal="right"/>
    </xf>
    <xf numFmtId="16" fontId="40" fillId="6" borderId="0" xfId="0" applyNumberFormat="1" applyFont="1" applyFill="1"/>
    <xf numFmtId="4" fontId="41" fillId="6" borderId="0" xfId="0" applyNumberFormat="1" applyFont="1" applyFill="1" applyAlignment="1">
      <alignment horizontal="right"/>
    </xf>
    <xf numFmtId="164" fontId="34" fillId="6" borderId="0" xfId="1" applyFont="1" applyFill="1" applyBorder="1"/>
    <xf numFmtId="0" fontId="54" fillId="0" borderId="0" xfId="0" applyFont="1"/>
    <xf numFmtId="16" fontId="59" fillId="6" borderId="0" xfId="0" applyNumberFormat="1" applyFont="1" applyFill="1"/>
    <xf numFmtId="164" fontId="60" fillId="0" borderId="0" xfId="1" applyFont="1"/>
    <xf numFmtId="43" fontId="60" fillId="0" borderId="0" xfId="0" applyNumberFormat="1" applyFont="1"/>
    <xf numFmtId="4" fontId="60" fillId="0" borderId="0" xfId="0" applyNumberFormat="1" applyFont="1"/>
    <xf numFmtId="4" fontId="13" fillId="6" borderId="6" xfId="3" applyNumberFormat="1" applyFont="1" applyFill="1" applyBorder="1" applyAlignment="1">
      <alignment horizontal="right" vertical="top" wrapText="1"/>
    </xf>
    <xf numFmtId="4" fontId="13" fillId="6" borderId="8" xfId="7" applyNumberFormat="1" applyFont="1" applyFill="1" applyBorder="1" applyAlignment="1">
      <alignment horizontal="right" vertical="top" wrapText="1"/>
    </xf>
    <xf numFmtId="0" fontId="0" fillId="0" borderId="9" xfId="0" applyBorder="1"/>
    <xf numFmtId="10" fontId="13" fillId="6" borderId="0" xfId="2" applyNumberFormat="1" applyFont="1" applyFill="1" applyBorder="1" applyAlignment="1">
      <alignment horizontal="right" vertical="top" wrapText="1"/>
    </xf>
    <xf numFmtId="0" fontId="0" fillId="0" borderId="0" xfId="0" applyBorder="1"/>
    <xf numFmtId="4" fontId="12" fillId="6" borderId="1" xfId="0" applyNumberFormat="1" applyFont="1" applyFill="1" applyBorder="1" applyAlignment="1">
      <alignment horizontal="right" wrapText="1"/>
    </xf>
    <xf numFmtId="0" fontId="10" fillId="6" borderId="1" xfId="0" applyFont="1" applyFill="1" applyBorder="1" applyAlignment="1">
      <alignment wrapText="1"/>
    </xf>
    <xf numFmtId="0" fontId="0" fillId="0" borderId="0" xfId="0" applyFont="1" applyAlignment="1">
      <alignment horizontal="right"/>
    </xf>
    <xf numFmtId="164" fontId="61" fillId="6" borderId="5" xfId="1" applyFont="1" applyFill="1" applyBorder="1"/>
    <xf numFmtId="0" fontId="0" fillId="0" borderId="0" xfId="0" applyFont="1"/>
    <xf numFmtId="0" fontId="12" fillId="6" borderId="0" xfId="0" applyFont="1" applyFill="1" applyAlignment="1">
      <alignment horizontal="center" vertical="center"/>
    </xf>
    <xf numFmtId="4" fontId="12" fillId="6" borderId="1" xfId="0" applyNumberFormat="1" applyFont="1" applyFill="1" applyBorder="1" applyAlignment="1">
      <alignment wrapText="1"/>
    </xf>
    <xf numFmtId="0" fontId="12" fillId="6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4" fontId="12" fillId="6" borderId="1" xfId="4" applyNumberFormat="1" applyFont="1" applyFill="1" applyBorder="1" applyAlignment="1">
      <alignment wrapText="1"/>
    </xf>
    <xf numFmtId="164" fontId="12" fillId="6" borderId="1" xfId="1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 wrapText="1"/>
    </xf>
    <xf numFmtId="0" fontId="26" fillId="13" borderId="1" xfId="0" applyFont="1" applyFill="1" applyBorder="1" applyAlignment="1">
      <alignment horizontal="center" wrapText="1"/>
    </xf>
    <xf numFmtId="0" fontId="26" fillId="7" borderId="1" xfId="0" applyFont="1" applyFill="1" applyBorder="1" applyAlignment="1">
      <alignment horizontal="center"/>
    </xf>
    <xf numFmtId="0" fontId="20" fillId="12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31" fillId="6" borderId="0" xfId="0" applyFont="1" applyFill="1" applyAlignment="1">
      <alignment horizontal="center" wrapText="1"/>
    </xf>
    <xf numFmtId="49" fontId="12" fillId="6" borderId="1" xfId="0" applyNumberFormat="1" applyFont="1" applyFill="1" applyBorder="1" applyAlignment="1">
      <alignment wrapText="1"/>
    </xf>
    <xf numFmtId="4" fontId="12" fillId="6" borderId="10" xfId="0" applyNumberFormat="1" applyFont="1" applyFill="1" applyBorder="1" applyAlignment="1">
      <alignment wrapText="1"/>
    </xf>
    <xf numFmtId="4" fontId="12" fillId="6" borderId="1" xfId="0" applyNumberFormat="1" applyFont="1" applyFill="1" applyBorder="1"/>
    <xf numFmtId="4" fontId="12" fillId="6" borderId="1" xfId="0" applyNumberFormat="1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 wrapText="1"/>
    </xf>
    <xf numFmtId="164" fontId="12" fillId="6" borderId="1" xfId="1" applyFont="1" applyFill="1" applyBorder="1" applyAlignment="1">
      <alignment horizontal="right"/>
    </xf>
    <xf numFmtId="164" fontId="12" fillId="8" borderId="1" xfId="1" applyFont="1" applyFill="1" applyBorder="1" applyAlignment="1">
      <alignment horizontal="center" wrapText="1"/>
    </xf>
    <xf numFmtId="10" fontId="12" fillId="8" borderId="1" xfId="2" applyNumberFormat="1" applyFont="1" applyFill="1" applyBorder="1" applyAlignment="1">
      <alignment horizontal="center" wrapText="1"/>
    </xf>
    <xf numFmtId="2" fontId="12" fillId="6" borderId="1" xfId="0" applyNumberFormat="1" applyFont="1" applyFill="1" applyBorder="1"/>
    <xf numFmtId="164" fontId="12" fillId="6" borderId="1" xfId="3" applyFont="1" applyFill="1" applyBorder="1" applyAlignment="1">
      <alignment wrapText="1"/>
    </xf>
    <xf numFmtId="164" fontId="12" fillId="10" borderId="1" xfId="1" applyFont="1" applyFill="1" applyBorder="1" applyAlignment="1">
      <alignment horizontal="center"/>
    </xf>
    <xf numFmtId="10" fontId="12" fillId="10" borderId="1" xfId="2" applyNumberFormat="1" applyFont="1" applyFill="1" applyBorder="1" applyAlignment="1">
      <alignment horizontal="center"/>
    </xf>
    <xf numFmtId="164" fontId="12" fillId="8" borderId="1" xfId="1" applyFont="1" applyFill="1" applyBorder="1" applyAlignment="1">
      <alignment horizontal="center" vertical="top" wrapText="1"/>
    </xf>
    <xf numFmtId="10" fontId="12" fillId="8" borderId="1" xfId="2" applyNumberFormat="1" applyFont="1" applyFill="1" applyBorder="1" applyAlignment="1">
      <alignment horizontal="center" vertical="top" wrapText="1"/>
    </xf>
    <xf numFmtId="0" fontId="38" fillId="6" borderId="0" xfId="0" applyFont="1" applyFill="1"/>
    <xf numFmtId="164" fontId="43" fillId="6" borderId="0" xfId="1" applyFont="1" applyFill="1" applyBorder="1" applyAlignment="1">
      <alignment horizontal="right" vertical="top" wrapText="1"/>
    </xf>
    <xf numFmtId="10" fontId="12" fillId="6" borderId="0" xfId="2" applyNumberFormat="1" applyFont="1" applyFill="1" applyBorder="1" applyAlignment="1">
      <alignment horizontal="right" vertical="top" wrapText="1"/>
    </xf>
    <xf numFmtId="10" fontId="10" fillId="5" borderId="2" xfId="1" applyNumberFormat="1" applyFont="1" applyFill="1" applyBorder="1" applyAlignment="1">
      <alignment horizontal="center" vertical="top" wrapText="1"/>
    </xf>
    <xf numFmtId="4" fontId="12" fillId="6" borderId="5" xfId="3" applyNumberFormat="1" applyFont="1" applyFill="1" applyBorder="1" applyAlignment="1">
      <alignment horizontal="right" vertical="top" wrapText="1"/>
    </xf>
  </cellXfs>
  <cellStyles count="107">
    <cellStyle name="60% - Accent1 2" xfId="9"/>
    <cellStyle name="60% - Accent2 2" xfId="10"/>
    <cellStyle name="60% - Accent3 2" xfId="11"/>
    <cellStyle name="60% - Accent4 2" xfId="12"/>
    <cellStyle name="60% - Accent5 2" xfId="13"/>
    <cellStyle name="60% - Accent6 2" xfId="14"/>
    <cellStyle name="Comma" xfId="1" builtinId="3"/>
    <cellStyle name="Comma 10" xfId="15"/>
    <cellStyle name="Comma 10 13" xfId="3"/>
    <cellStyle name="Comma 10 13 2" xfId="16"/>
    <cellStyle name="Comma 10 13 2 2" xfId="7"/>
    <cellStyle name="Comma 10 13 3" xfId="17"/>
    <cellStyle name="Comma 11" xfId="18"/>
    <cellStyle name="Comma 11 2" xfId="19"/>
    <cellStyle name="Comma 12" xfId="20"/>
    <cellStyle name="Comma 13" xfId="21"/>
    <cellStyle name="Comma 14" xfId="22"/>
    <cellStyle name="Comma 15" xfId="23"/>
    <cellStyle name="Comma 15 2" xfId="24"/>
    <cellStyle name="Comma 2" xfId="8"/>
    <cellStyle name="Comma 2 2" xfId="25"/>
    <cellStyle name="Comma 2 2 2" xfId="26"/>
    <cellStyle name="Comma 2 2 2 2" xfId="27"/>
    <cellStyle name="Comma 2 2 3" xfId="28"/>
    <cellStyle name="Comma 2 3" xfId="29"/>
    <cellStyle name="Comma 2 3 2" xfId="30"/>
    <cellStyle name="Comma 2 4" xfId="31"/>
    <cellStyle name="Comma 2 5" xfId="5"/>
    <cellStyle name="Comma 2 6" xfId="104"/>
    <cellStyle name="Comma 29" xfId="106"/>
    <cellStyle name="Comma 3" xfId="32"/>
    <cellStyle name="Comma 3 2" xfId="33"/>
    <cellStyle name="Comma 3 2 2" xfId="34"/>
    <cellStyle name="Comma 3 2 2 2" xfId="35"/>
    <cellStyle name="Comma 3 2 2 2 2" xfId="36"/>
    <cellStyle name="Comma 3 2 2 3" xfId="37"/>
    <cellStyle name="Comma 3 2 3" xfId="38"/>
    <cellStyle name="Comma 3 2 3 2" xfId="39"/>
    <cellStyle name="Comma 3 2 4" xfId="40"/>
    <cellStyle name="Comma 4" xfId="41"/>
    <cellStyle name="Comma 5" xfId="42"/>
    <cellStyle name="Comma 6" xfId="43"/>
    <cellStyle name="Comma 7" xfId="44"/>
    <cellStyle name="Comma 7 2" xfId="45"/>
    <cellStyle name="Comma 7 2 2" xfId="46"/>
    <cellStyle name="Comma 7 3" xfId="47"/>
    <cellStyle name="Comma 8" xfId="48"/>
    <cellStyle name="Comma 9" xfId="49"/>
    <cellStyle name="Comma 9 2" xfId="50"/>
    <cellStyle name="Comma 9 2 2" xfId="51"/>
    <cellStyle name="Comma 9 3" xfId="52"/>
    <cellStyle name="Neutral 2" xfId="53"/>
    <cellStyle name="Normal" xfId="0" builtinId="0"/>
    <cellStyle name="Normal 2" xfId="54"/>
    <cellStyle name="Normal 2 2" xfId="55"/>
    <cellStyle name="Normal 2 2 2" xfId="56"/>
    <cellStyle name="Normal 2 2 2 2" xfId="57"/>
    <cellStyle name="Normal 2 2 3" xfId="58"/>
    <cellStyle name="Normal 2 3" xfId="105"/>
    <cellStyle name="Normal 27 2" xfId="59"/>
    <cellStyle name="Normal 3" xfId="60"/>
    <cellStyle name="Normal 3 2" xfId="61"/>
    <cellStyle name="Normal 3 2 2" xfId="62"/>
    <cellStyle name="Normal 3 3" xfId="63"/>
    <cellStyle name="Normal 4" xfId="64"/>
    <cellStyle name="Normal 4 2" xfId="65"/>
    <cellStyle name="Normal 4 2 2" xfId="66"/>
    <cellStyle name="Normal 4 3" xfId="67"/>
    <cellStyle name="Normal 5" xfId="68"/>
    <cellStyle name="Normal 5 2" xfId="69"/>
    <cellStyle name="Normal 5 2 2" xfId="70"/>
    <cellStyle name="Normal 5 3" xfId="71"/>
    <cellStyle name="Normal 6" xfId="4"/>
    <cellStyle name="Normal 6 2" xfId="72"/>
    <cellStyle name="Normal 6 2 2" xfId="73"/>
    <cellStyle name="Normal 6 2 2 2" xfId="74"/>
    <cellStyle name="Normal 6 2 3" xfId="75"/>
    <cellStyle name="Normal 6 3" xfId="76"/>
    <cellStyle name="Normal 7" xfId="77"/>
    <cellStyle name="Normal 8" xfId="6"/>
    <cellStyle name="Normal 9" xfId="103"/>
    <cellStyle name="Percent" xfId="2" builtinId="5"/>
    <cellStyle name="Percent 13" xfId="78"/>
    <cellStyle name="Percent 13 2" xfId="79"/>
    <cellStyle name="Percent 2" xfId="80"/>
    <cellStyle name="Percent 2 2" xfId="81"/>
    <cellStyle name="Percent 2 2 2" xfId="82"/>
    <cellStyle name="Percent 2 2 2 2" xfId="83"/>
    <cellStyle name="Percent 2 2 3" xfId="84"/>
    <cellStyle name="Percent 2 3" xfId="85"/>
    <cellStyle name="Percent 2 3 2" xfId="86"/>
    <cellStyle name="Percent 2 4" xfId="87"/>
    <cellStyle name="Percent 3" xfId="88"/>
    <cellStyle name="Percent 3 2" xfId="89"/>
    <cellStyle name="Percent 3 2 2" xfId="90"/>
    <cellStyle name="Percent 3 3" xfId="91"/>
    <cellStyle name="Percent 4" xfId="92"/>
    <cellStyle name="Percent 4 2" xfId="93"/>
    <cellStyle name="Percent 4 2 2" xfId="94"/>
    <cellStyle name="Percent 4 3" xfId="95"/>
    <cellStyle name="Percent 5" xfId="96"/>
    <cellStyle name="Percent 6" xfId="97"/>
    <cellStyle name="Percent 7" xfId="98"/>
    <cellStyle name="Percent 7 2" xfId="99"/>
    <cellStyle name="Percent 8" xfId="100"/>
    <cellStyle name="Percent 9" xfId="101"/>
    <cellStyle name="Title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solidFill>
          <a:schemeClr val="lt1"/>
        </a:solidFill>
        <a:ln w="12700" cmpd="sng" algn="ctr">
          <a:solidFill>
            <a:schemeClr val="accent3"/>
          </a:solidFill>
          <a:prstDash val="solid"/>
          <a:miter lim="800000"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029948179554479E-2"/>
          <c:y val="0.12704990307584102"/>
          <c:w val="0.94540905952453602"/>
          <c:h val="0.73327195644378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Aug 21,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231.06539020948182</c:v>
                </c:pt>
                <c:pt idx="1">
                  <c:v>6414.1599906400807</c:v>
                </c:pt>
                <c:pt idx="2">
                  <c:v>232.49234266881004</c:v>
                </c:pt>
                <c:pt idx="3">
                  <c:v>1770.8763789972152</c:v>
                </c:pt>
                <c:pt idx="4">
                  <c:v>515.71165235742092</c:v>
                </c:pt>
                <c:pt idx="5" formatCode="_-* #,##0.00_-;\-* #,##0.00_-;_-* &quot;-&quot;??_-;_-@_-">
                  <c:v>155.26223252052645</c:v>
                </c:pt>
                <c:pt idx="6">
                  <c:v>19.211809027200001</c:v>
                </c:pt>
                <c:pt idx="7">
                  <c:v>146.98932152250595</c:v>
                </c:pt>
                <c:pt idx="8">
                  <c:v>53.336376843973525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2-43FB-8807-8F42904C1B04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Aug 28,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230.50219411707869</c:v>
                </c:pt>
                <c:pt idx="1">
                  <c:v>6437.0933492841432</c:v>
                </c:pt>
                <c:pt idx="2">
                  <c:v>233.36438082859928</c:v>
                </c:pt>
                <c:pt idx="3">
                  <c:v>1758.7402819077663</c:v>
                </c:pt>
                <c:pt idx="4">
                  <c:v>516.01485615285753</c:v>
                </c:pt>
                <c:pt idx="5" formatCode="_-* #,##0.00_-;\-* #,##0.00_-;_-* &quot;-&quot;??_-;_-@_-">
                  <c:v>154.12517796622262</c:v>
                </c:pt>
                <c:pt idx="6">
                  <c:v>19.190576649520001</c:v>
                </c:pt>
                <c:pt idx="7">
                  <c:v>147.58544425820349</c:v>
                </c:pt>
                <c:pt idx="8">
                  <c:v>53.493721855760562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2-43FB-8807-8F42904C1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28TH AUGUST,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5908775302"/>
          <c:y val="1.87027491629124E-2"/>
        </c:manualLayout>
      </c:layout>
      <c:overlay val="0"/>
      <c:spPr>
        <a:solidFill>
          <a:schemeClr val="dk1"/>
        </a:solidFill>
        <a:ln w="12700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7143230399"/>
          <c:y val="0.14742729067802399"/>
          <c:w val="0.84316498041152999"/>
          <c:h val="0.81423920392990101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28-Aug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80-404D-9122-441AE6B5ED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80-404D-9122-441AE6B5EDA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80-404D-9122-441AE6B5EDA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80-404D-9122-441AE6B5EDA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80-404D-9122-441AE6B5EDA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380-404D-9122-441AE6B5EDA5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380-404D-9122-441AE6B5EDA5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380-404D-9122-441AE6B5EDA5}"/>
              </c:ext>
            </c:extLst>
          </c:dPt>
          <c:dLbls>
            <c:dLbl>
              <c:idx val="0"/>
              <c:layout>
                <c:manualLayout>
                  <c:x val="-4.3124206364154802E-2"/>
                  <c:y val="0.11941221356391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  <a:tileRect/>
                </a:gradFill>
                <a:ln w="6350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  <c:ext xmlns:c16="http://schemas.microsoft.com/office/drawing/2014/chart" uri="{C3380CC4-5D6E-409C-BE32-E72D297353CC}">
                  <c16:uniqueId val="{00000001-C380-404D-9122-441AE6B5EDA5}"/>
                </c:ext>
              </c:extLst>
            </c:dLbl>
            <c:dLbl>
              <c:idx val="1"/>
              <c:layout>
                <c:manualLayout>
                  <c:x val="-8.3929151296615601E-2"/>
                  <c:y val="5.52374087274074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380-404D-9122-441AE6B5EDA5}"/>
                </c:ext>
              </c:extLst>
            </c:dLbl>
            <c:dLbl>
              <c:idx val="2"/>
              <c:layout>
                <c:manualLayout>
                  <c:x val="-2.4332942441105801E-2"/>
                  <c:y val="-9.75631326436996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80-404D-9122-441AE6B5EDA5}"/>
                </c:ext>
              </c:extLst>
            </c:dLbl>
            <c:dLbl>
              <c:idx val="3"/>
              <c:layout>
                <c:manualLayout>
                  <c:x val="-1.8232066184282299E-2"/>
                  <c:y val="3.1761456280946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380-404D-9122-441AE6B5EDA5}"/>
                </c:ext>
              </c:extLst>
            </c:dLbl>
            <c:dLbl>
              <c:idx val="4"/>
              <c:layout>
                <c:manualLayout>
                  <c:x val="-1.9911337643861798E-2"/>
                  <c:y val="-0.115206100046634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380-404D-9122-441AE6B5EDA5}"/>
                </c:ext>
              </c:extLst>
            </c:dLbl>
            <c:dLbl>
              <c:idx val="5"/>
              <c:layout>
                <c:manualLayout>
                  <c:x val="0.12519177794456501"/>
                  <c:y val="-0.153816595673561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380-404D-9122-441AE6B5EDA5}"/>
                </c:ext>
              </c:extLst>
            </c:dLbl>
            <c:dLbl>
              <c:idx val="6"/>
              <c:layout>
                <c:manualLayout>
                  <c:x val="0.104828163981438"/>
                  <c:y val="7.5248312205076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380-404D-9122-441AE6B5EDA5}"/>
                </c:ext>
              </c:extLst>
            </c:dLbl>
            <c:dLbl>
              <c:idx val="7"/>
              <c:layout>
                <c:manualLayout>
                  <c:x val="0.112579382956028"/>
                  <c:y val="8.3652377128601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380-404D-9122-441AE6B5EDA5}"/>
                </c:ext>
              </c:extLst>
            </c:dLbl>
            <c:dLbl>
              <c:idx val="8"/>
              <c:layout>
                <c:manualLayout>
                  <c:x val="-0.21830311417579701"/>
                  <c:y val="-0.199591666460037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380-404D-9122-441AE6B5EDA5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  <a:tileRect/>
              </a:gradFill>
              <a:ln w="6350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19190576649.52</c:v>
                </c:pt>
                <c:pt idx="1">
                  <c:v>53493721855.760559</c:v>
                </c:pt>
                <c:pt idx="2">
                  <c:v>147585444258.20349</c:v>
                </c:pt>
                <c:pt idx="3" formatCode="_-* #,##0.00_-;\-* #,##0.00_-;_-* &quot;-&quot;??_-;_-@_-">
                  <c:v>154125177966.22263</c:v>
                </c:pt>
                <c:pt idx="4">
                  <c:v>230502194117.07867</c:v>
                </c:pt>
                <c:pt idx="5">
                  <c:v>233364380828.59927</c:v>
                </c:pt>
                <c:pt idx="6">
                  <c:v>516014856152.85748</c:v>
                </c:pt>
                <c:pt idx="7">
                  <c:v>1758740281907.7664</c:v>
                </c:pt>
                <c:pt idx="8">
                  <c:v>6437093349284.1436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380-404D-9122-441AE6B5EDA5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2102851901"/>
          <c:y val="1.56862791627645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46213</c:v>
                </c:pt>
                <c:pt idx="1">
                  <c:v>46220</c:v>
                </c:pt>
                <c:pt idx="2">
                  <c:v>46227</c:v>
                </c:pt>
                <c:pt idx="3">
                  <c:v>46234</c:v>
                </c:pt>
                <c:pt idx="4">
                  <c:v>46241</c:v>
                </c:pt>
                <c:pt idx="5">
                  <c:v>46248</c:v>
                </c:pt>
                <c:pt idx="6">
                  <c:v>46255</c:v>
                </c:pt>
                <c:pt idx="7">
                  <c:v>46262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9322.9578326476822</c:v>
                </c:pt>
                <c:pt idx="1">
                  <c:v>9381.6721985894019</c:v>
                </c:pt>
                <c:pt idx="2">
                  <c:v>9403.97354604477</c:v>
                </c:pt>
                <c:pt idx="3">
                  <c:v>9322.9578326476822</c:v>
                </c:pt>
                <c:pt idx="4">
                  <c:v>9473.0392209383554</c:v>
                </c:pt>
                <c:pt idx="5">
                  <c:v>9514.0087054555552</c:v>
                </c:pt>
                <c:pt idx="6">
                  <c:v>9539.1054947872126</c:v>
                </c:pt>
                <c:pt idx="7">
                  <c:v>9550.1099830201529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8-4542-9882-B8458D4236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46213</c:v>
                </c:pt>
                <c:pt idx="1">
                  <c:v>46220</c:v>
                </c:pt>
                <c:pt idx="2">
                  <c:v>46227</c:v>
                </c:pt>
                <c:pt idx="3">
                  <c:v>46234</c:v>
                </c:pt>
                <c:pt idx="4">
                  <c:v>46241</c:v>
                </c:pt>
                <c:pt idx="5">
                  <c:v>46248</c:v>
                </c:pt>
                <c:pt idx="6">
                  <c:v>46255</c:v>
                </c:pt>
                <c:pt idx="7">
                  <c:v>46262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31.056126253639995</c:v>
                </c:pt>
                <c:pt idx="1">
                  <c:v>31.336682253870002</c:v>
                </c:pt>
                <c:pt idx="2">
                  <c:v>31.945291834430002</c:v>
                </c:pt>
                <c:pt idx="3">
                  <c:v>31.056126253639995</c:v>
                </c:pt>
                <c:pt idx="4">
                  <c:v>31.9642466514</c:v>
                </c:pt>
                <c:pt idx="5">
                  <c:v>31.696141977819998</c:v>
                </c:pt>
                <c:pt idx="6">
                  <c:v>31.723704174310001</c:v>
                </c:pt>
                <c:pt idx="7">
                  <c:v>32.027778905540004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A-4965-A706-4F6A23AE58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191770</xdr:colOff>
      <xdr:row>32</xdr:row>
      <xdr:rowOff>71755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588645</xdr:colOff>
      <xdr:row>19</xdr:row>
      <xdr:rowOff>8890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434340</xdr:colOff>
      <xdr:row>18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G281"/>
  <sheetViews>
    <sheetView tabSelected="1" zoomScale="118" zoomScaleNormal="118" workbookViewId="0">
      <pane xSplit="1" topLeftCell="B1" activePane="topRight" state="frozen"/>
      <selection activeCell="A88" sqref="A88"/>
      <selection pane="topRight" sqref="A1:AB1"/>
    </sheetView>
  </sheetViews>
  <sheetFormatPr defaultColWidth="9" defaultRowHeight="14.4"/>
  <cols>
    <col min="1" max="1" width="4.44140625" customWidth="1"/>
    <col min="2" max="2" width="34.5546875" customWidth="1"/>
    <col min="3" max="3" width="35.3320312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18" width="12.44140625" customWidth="1"/>
    <col min="19" max="20" width="10.109375" customWidth="1"/>
    <col min="21" max="21" width="11.6640625" customWidth="1"/>
    <col min="22" max="22" width="8.33203125" customWidth="1"/>
    <col min="23" max="23" width="9.109375" customWidth="1"/>
    <col min="24" max="24" width="8.4414062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45" t="s">
        <v>346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</row>
    <row r="2" spans="1:32" ht="14.4" customHeight="1">
      <c r="A2" s="1"/>
      <c r="B2" s="2"/>
      <c r="C2" s="3"/>
      <c r="D2" s="246" t="s">
        <v>344</v>
      </c>
      <c r="E2" s="247"/>
      <c r="F2" s="247"/>
      <c r="G2" s="247"/>
      <c r="H2" s="247"/>
      <c r="I2" s="247"/>
      <c r="J2" s="247"/>
      <c r="K2" s="247"/>
      <c r="L2" s="247"/>
      <c r="M2" s="248"/>
      <c r="N2" s="246" t="s">
        <v>347</v>
      </c>
      <c r="O2" s="247"/>
      <c r="P2" s="247"/>
      <c r="Q2" s="247"/>
      <c r="R2" s="247"/>
      <c r="S2" s="247"/>
      <c r="T2" s="247"/>
      <c r="U2" s="247"/>
      <c r="V2" s="247"/>
      <c r="W2" s="248"/>
      <c r="X2" s="249" t="s">
        <v>0</v>
      </c>
      <c r="Y2" s="249"/>
      <c r="Z2" s="249"/>
      <c r="AA2" s="249" t="s">
        <v>1</v>
      </c>
      <c r="AB2" s="249"/>
    </row>
    <row r="3" spans="1:32" ht="20.399999999999999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6" t="s">
        <v>5</v>
      </c>
      <c r="O3" s="8" t="s">
        <v>6</v>
      </c>
      <c r="P3" s="7" t="s">
        <v>7</v>
      </c>
      <c r="Q3" s="7" t="s">
        <v>8</v>
      </c>
      <c r="R3" s="7" t="s">
        <v>9</v>
      </c>
      <c r="S3" s="7" t="s">
        <v>10</v>
      </c>
      <c r="T3" s="7" t="s">
        <v>11</v>
      </c>
      <c r="U3" s="7" t="s">
        <v>12</v>
      </c>
      <c r="V3" s="7" t="s">
        <v>13</v>
      </c>
      <c r="W3" s="7" t="s">
        <v>14</v>
      </c>
      <c r="X3" s="6" t="s">
        <v>15</v>
      </c>
      <c r="Y3" s="7" t="s">
        <v>16</v>
      </c>
      <c r="Z3" s="7" t="s">
        <v>17</v>
      </c>
      <c r="AA3" s="7" t="s">
        <v>18</v>
      </c>
      <c r="AB3" s="7" t="s">
        <v>19</v>
      </c>
      <c r="AD3" s="9"/>
      <c r="AF3" s="10"/>
    </row>
    <row r="4" spans="1:32" ht="5.7" customHeight="1"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</row>
    <row r="5" spans="1:32" ht="15" customHeight="1">
      <c r="A5" s="11"/>
      <c r="B5" s="243" t="s">
        <v>20</v>
      </c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</row>
    <row r="6" spans="1:32">
      <c r="A6" s="231">
        <v>1</v>
      </c>
      <c r="B6" s="232" t="s">
        <v>21</v>
      </c>
      <c r="C6" s="12" t="s">
        <v>22</v>
      </c>
      <c r="D6" s="13" t="s">
        <v>23</v>
      </c>
      <c r="E6" s="14">
        <v>11652865686.389999</v>
      </c>
      <c r="F6" s="15">
        <f t="shared" ref="F6:F27" si="0">(E6/$E$28)</f>
        <v>5.043103026301609E-2</v>
      </c>
      <c r="G6" s="13" t="s">
        <v>23</v>
      </c>
      <c r="H6" s="14">
        <v>864.18870000000004</v>
      </c>
      <c r="I6" s="13" t="s">
        <v>23</v>
      </c>
      <c r="J6" s="14">
        <v>876.57719999999995</v>
      </c>
      <c r="K6" s="18">
        <v>1712</v>
      </c>
      <c r="L6" s="19">
        <v>-1.2200000000000001E-2</v>
      </c>
      <c r="M6" s="19">
        <v>0.3962</v>
      </c>
      <c r="N6" s="13" t="s">
        <v>23</v>
      </c>
      <c r="O6" s="14">
        <v>11693303570.1</v>
      </c>
      <c r="P6" s="15">
        <f t="shared" ref="P6:P27" si="1">(O6/$O$28)</f>
        <v>5.072968443918862E-2</v>
      </c>
      <c r="Q6" s="13" t="s">
        <v>23</v>
      </c>
      <c r="R6" s="14">
        <v>872.28160000000003</v>
      </c>
      <c r="S6" s="13" t="s">
        <v>23</v>
      </c>
      <c r="T6" s="14">
        <v>878.31</v>
      </c>
      <c r="U6" s="18">
        <v>1712</v>
      </c>
      <c r="V6" s="19">
        <v>9.4000000000000004E-3</v>
      </c>
      <c r="W6" s="19">
        <v>0.4093</v>
      </c>
      <c r="X6" s="20">
        <f>((O6-E6)/E6)</f>
        <v>3.470209371522281E-3</v>
      </c>
      <c r="Y6" s="20">
        <f>((T6-J6)/J6)</f>
        <v>1.9767796835235933E-3</v>
      </c>
      <c r="Z6" s="20">
        <f>((U6-K6)/K6)</f>
        <v>0</v>
      </c>
      <c r="AA6" s="20">
        <f>V6-L6</f>
        <v>2.1600000000000001E-2</v>
      </c>
      <c r="AB6" s="21">
        <f>W6-M6</f>
        <v>1.3100000000000001E-2</v>
      </c>
      <c r="AC6" s="22"/>
    </row>
    <row r="7" spans="1:32" s="230" customFormat="1" ht="13.2" customHeight="1">
      <c r="A7" s="231">
        <v>2</v>
      </c>
      <c r="B7" s="232" t="s">
        <v>24</v>
      </c>
      <c r="C7" s="227" t="s">
        <v>25</v>
      </c>
      <c r="D7" s="13" t="s">
        <v>23</v>
      </c>
      <c r="E7" s="14">
        <v>2193400161.0799999</v>
      </c>
      <c r="F7" s="15">
        <f t="shared" si="0"/>
        <v>9.4925516932305738E-3</v>
      </c>
      <c r="G7" s="13" t="s">
        <v>23</v>
      </c>
      <c r="H7" s="14">
        <v>574.40790000000004</v>
      </c>
      <c r="I7" s="13" t="s">
        <v>23</v>
      </c>
      <c r="J7" s="14">
        <v>582.86689999999999</v>
      </c>
      <c r="K7" s="18">
        <v>883</v>
      </c>
      <c r="L7" s="19">
        <v>-5.5420000000000001E-3</v>
      </c>
      <c r="M7" s="19">
        <v>0.4022</v>
      </c>
      <c r="N7" s="13" t="s">
        <v>23</v>
      </c>
      <c r="O7" s="14">
        <v>2196195623.3800001</v>
      </c>
      <c r="P7" s="15">
        <f t="shared" si="1"/>
        <v>9.5278729636061044E-3</v>
      </c>
      <c r="Q7" s="13" t="s">
        <v>23</v>
      </c>
      <c r="R7" s="14">
        <v>574.34249999999997</v>
      </c>
      <c r="S7" s="13" t="s">
        <v>23</v>
      </c>
      <c r="T7" s="14">
        <v>582.78390000000002</v>
      </c>
      <c r="U7" s="18">
        <v>890</v>
      </c>
      <c r="V7" s="19">
        <v>7.3599999999999999E-2</v>
      </c>
      <c r="W7" s="19">
        <v>0.40200000000000002</v>
      </c>
      <c r="X7" s="20">
        <f t="shared" ref="X7:X28" si="2">((O7-E7)/E7)</f>
        <v>1.2744880526605522E-3</v>
      </c>
      <c r="Y7" s="20">
        <f t="shared" ref="Y7:Y28" si="3">((T7-J7)/J7)</f>
        <v>-1.4239957698742198E-4</v>
      </c>
      <c r="Z7" s="20">
        <f t="shared" ref="Z7:Z28" si="4">((U7-K7)/K7)</f>
        <v>7.9275198187995465E-3</v>
      </c>
      <c r="AA7" s="20">
        <f t="shared" ref="AA7:AA28" si="5">V7-L7</f>
        <v>7.9142000000000004E-2</v>
      </c>
      <c r="AB7" s="21">
        <f t="shared" ref="AB7:AB28" si="6">W7-M7</f>
        <v>-1.9999999999997797E-4</v>
      </c>
      <c r="AC7" s="228"/>
      <c r="AD7" s="229"/>
      <c r="AE7" s="229"/>
    </row>
    <row r="8" spans="1:32" ht="13.95" customHeight="1">
      <c r="A8" s="231">
        <v>3</v>
      </c>
      <c r="B8" s="232" t="s">
        <v>26</v>
      </c>
      <c r="C8" s="12" t="s">
        <v>27</v>
      </c>
      <c r="D8" s="13" t="s">
        <v>23</v>
      </c>
      <c r="E8" s="23">
        <v>17966862557.16</v>
      </c>
      <c r="F8" s="15">
        <f t="shared" si="0"/>
        <v>7.7756614873700489E-2</v>
      </c>
      <c r="G8" s="13" t="s">
        <v>23</v>
      </c>
      <c r="H8" s="253">
        <v>70.836399999999998</v>
      </c>
      <c r="I8" s="13" t="s">
        <v>23</v>
      </c>
      <c r="J8" s="29">
        <v>72.948443920000003</v>
      </c>
      <c r="K8" s="18">
        <v>12987</v>
      </c>
      <c r="L8" s="19">
        <v>0.52790000000000004</v>
      </c>
      <c r="M8" s="19">
        <v>0.4743</v>
      </c>
      <c r="N8" s="13" t="s">
        <v>23</v>
      </c>
      <c r="O8" s="23">
        <v>17923028043.400002</v>
      </c>
      <c r="P8" s="24">
        <f t="shared" si="1"/>
        <v>7.7756431395600428E-2</v>
      </c>
      <c r="Q8" s="13" t="s">
        <v>23</v>
      </c>
      <c r="R8" s="23">
        <v>71.130600000000001</v>
      </c>
      <c r="S8" s="13" t="s">
        <v>23</v>
      </c>
      <c r="T8" s="29">
        <v>73.251543920000003</v>
      </c>
      <c r="U8" s="18">
        <v>12991</v>
      </c>
      <c r="V8" s="19">
        <v>4.1999999999999997E-3</v>
      </c>
      <c r="W8" s="19">
        <v>0.52100000000000002</v>
      </c>
      <c r="X8" s="27">
        <f t="shared" si="2"/>
        <v>-2.4397422544165767E-3</v>
      </c>
      <c r="Y8" s="27">
        <f t="shared" si="3"/>
        <v>4.1549892459995406E-3</v>
      </c>
      <c r="Z8" s="27">
        <f t="shared" si="4"/>
        <v>3.0800030800030799E-4</v>
      </c>
      <c r="AA8" s="20">
        <f t="shared" si="5"/>
        <v>-0.52370000000000005</v>
      </c>
      <c r="AB8" s="21">
        <f t="shared" si="6"/>
        <v>4.6700000000000019E-2</v>
      </c>
      <c r="AC8" s="30"/>
      <c r="AD8" s="31"/>
      <c r="AE8" s="32"/>
      <c r="AF8" s="33"/>
    </row>
    <row r="9" spans="1:32" ht="13.95" customHeight="1">
      <c r="A9" s="231">
        <v>4</v>
      </c>
      <c r="B9" s="232" t="s">
        <v>28</v>
      </c>
      <c r="C9" s="12" t="s">
        <v>29</v>
      </c>
      <c r="D9" s="13" t="s">
        <v>23</v>
      </c>
      <c r="E9" s="23">
        <v>3618062977.1199999</v>
      </c>
      <c r="F9" s="15">
        <f t="shared" si="0"/>
        <v>1.5658177859695459E-2</v>
      </c>
      <c r="G9" s="13" t="s">
        <v>23</v>
      </c>
      <c r="H9" s="253">
        <v>350.27280000000002</v>
      </c>
      <c r="I9" s="13" t="s">
        <v>23</v>
      </c>
      <c r="J9" s="253">
        <v>350.27280000000002</v>
      </c>
      <c r="K9" s="201">
        <v>2883</v>
      </c>
      <c r="L9" s="196">
        <v>1.1790420347779218E-3</v>
      </c>
      <c r="M9" s="196">
        <v>0.4709221688868146</v>
      </c>
      <c r="N9" s="13" t="s">
        <v>23</v>
      </c>
      <c r="O9" s="23">
        <v>3597792277.6300001</v>
      </c>
      <c r="P9" s="24">
        <f t="shared" si="1"/>
        <v>1.5608494710478019E-2</v>
      </c>
      <c r="Q9" s="13" t="s">
        <v>23</v>
      </c>
      <c r="R9" s="23">
        <v>351.06349999999998</v>
      </c>
      <c r="S9" s="13" t="s">
        <v>23</v>
      </c>
      <c r="T9" s="23">
        <v>351.06349999999998</v>
      </c>
      <c r="U9" s="25">
        <v>2899</v>
      </c>
      <c r="V9" s="55">
        <v>2.2573833880334959E-3</v>
      </c>
      <c r="W9" s="55">
        <v>0.47408166910478688</v>
      </c>
      <c r="X9" s="27">
        <f t="shared" si="2"/>
        <v>-5.6026386544922365E-3</v>
      </c>
      <c r="Y9" s="27">
        <f t="shared" si="3"/>
        <v>2.2573833880334369E-3</v>
      </c>
      <c r="Z9" s="27">
        <f t="shared" si="4"/>
        <v>5.5497745404092958E-3</v>
      </c>
      <c r="AA9" s="20">
        <f t="shared" si="5"/>
        <v>1.0783413532555741E-3</v>
      </c>
      <c r="AB9" s="21">
        <f t="shared" si="6"/>
        <v>3.1595002179722886E-3</v>
      </c>
      <c r="AD9" s="30"/>
    </row>
    <row r="10" spans="1:32">
      <c r="A10" s="231">
        <v>5</v>
      </c>
      <c r="B10" s="232" t="s">
        <v>30</v>
      </c>
      <c r="C10" s="12" t="s">
        <v>31</v>
      </c>
      <c r="D10" s="13" t="s">
        <v>23</v>
      </c>
      <c r="E10" s="23">
        <v>12512322990.85</v>
      </c>
      <c r="F10" s="15">
        <f t="shared" si="0"/>
        <v>5.4150571747272239E-2</v>
      </c>
      <c r="G10" s="13" t="s">
        <v>23</v>
      </c>
      <c r="H10" s="253">
        <v>2.7298</v>
      </c>
      <c r="I10" s="13" t="s">
        <v>23</v>
      </c>
      <c r="J10" s="253">
        <v>2.7682000000000002</v>
      </c>
      <c r="K10" s="201">
        <v>3137</v>
      </c>
      <c r="L10" s="196">
        <v>-1.67E-2</v>
      </c>
      <c r="M10" s="196">
        <v>0.52900000000000003</v>
      </c>
      <c r="N10" s="13" t="s">
        <v>23</v>
      </c>
      <c r="O10" s="23">
        <v>12303745822.09</v>
      </c>
      <c r="P10" s="24">
        <f t="shared" si="1"/>
        <v>5.3377998718053744E-2</v>
      </c>
      <c r="Q10" s="13" t="s">
        <v>23</v>
      </c>
      <c r="R10" s="23">
        <v>2.7298</v>
      </c>
      <c r="S10" s="13" t="s">
        <v>23</v>
      </c>
      <c r="T10" s="23">
        <v>2.7682000000000002</v>
      </c>
      <c r="U10" s="25">
        <v>3237</v>
      </c>
      <c r="V10" s="55">
        <v>8.8999999999999999E-3</v>
      </c>
      <c r="W10" s="55">
        <v>0.52900000000000003</v>
      </c>
      <c r="X10" s="27">
        <f t="shared" si="2"/>
        <v>-1.6669739816701369E-2</v>
      </c>
      <c r="Y10" s="27">
        <f t="shared" si="3"/>
        <v>0</v>
      </c>
      <c r="Z10" s="27">
        <f t="shared" si="4"/>
        <v>3.1877590054191905E-2</v>
      </c>
      <c r="AA10" s="20">
        <f t="shared" si="5"/>
        <v>2.5599999999999998E-2</v>
      </c>
      <c r="AB10" s="21">
        <f t="shared" si="6"/>
        <v>0</v>
      </c>
    </row>
    <row r="11" spans="1:32">
      <c r="A11" s="231">
        <v>6</v>
      </c>
      <c r="B11" s="232" t="s">
        <v>32</v>
      </c>
      <c r="C11" s="12" t="s">
        <v>33</v>
      </c>
      <c r="D11" s="13" t="s">
        <v>23</v>
      </c>
      <c r="E11" s="23">
        <v>906293753.12</v>
      </c>
      <c r="F11" s="15">
        <f t="shared" si="0"/>
        <v>3.9222392946791475E-3</v>
      </c>
      <c r="G11" s="13" t="s">
        <v>23</v>
      </c>
      <c r="H11" s="253">
        <v>0.95760000000000001</v>
      </c>
      <c r="I11" s="13" t="s">
        <v>23</v>
      </c>
      <c r="J11" s="253">
        <v>0.98229999999999995</v>
      </c>
      <c r="K11" s="201">
        <v>788</v>
      </c>
      <c r="L11" s="196">
        <v>-8.59302205197221E-3</v>
      </c>
      <c r="M11" s="196">
        <v>-3.0050000000000021E-2</v>
      </c>
      <c r="N11" s="13" t="s">
        <v>23</v>
      </c>
      <c r="O11" s="23">
        <v>917246411.36000001</v>
      </c>
      <c r="P11" s="24">
        <f>(O11/$O$28)</f>
        <v>3.9793391766765754E-3</v>
      </c>
      <c r="Q11" s="13" t="s">
        <v>23</v>
      </c>
      <c r="R11" s="23">
        <v>0.9647</v>
      </c>
      <c r="S11" s="13" t="s">
        <v>23</v>
      </c>
      <c r="T11" s="23">
        <v>0.9899</v>
      </c>
      <c r="U11" s="25">
        <v>802</v>
      </c>
      <c r="V11" s="55">
        <v>7.4000000000000003E-3</v>
      </c>
      <c r="W11" s="55">
        <v>-2.2700000000000001E-2</v>
      </c>
      <c r="X11" s="27">
        <f>((O11-E11)/E11)</f>
        <v>1.2085108390402638E-2</v>
      </c>
      <c r="Y11" s="27">
        <f>((T11-J11)/J11)</f>
        <v>7.7369439071567252E-3</v>
      </c>
      <c r="Z11" s="27">
        <f>((U11-K11)/K11)</f>
        <v>1.7766497461928935E-2</v>
      </c>
      <c r="AA11" s="20">
        <f>V11-L11</f>
        <v>1.599302205197221E-2</v>
      </c>
      <c r="AB11" s="21">
        <f>W11-M11</f>
        <v>7.3500000000000197E-3</v>
      </c>
    </row>
    <row r="12" spans="1:32" ht="12.6" customHeight="1">
      <c r="A12" s="231">
        <v>7</v>
      </c>
      <c r="B12" s="232" t="s">
        <v>34</v>
      </c>
      <c r="C12" s="12" t="s">
        <v>35</v>
      </c>
      <c r="D12" s="13" t="s">
        <v>23</v>
      </c>
      <c r="E12" s="34">
        <v>750952281.98000002</v>
      </c>
      <c r="F12" s="15">
        <f t="shared" si="0"/>
        <v>3.2499556999825607E-3</v>
      </c>
      <c r="G12" s="13" t="s">
        <v>23</v>
      </c>
      <c r="H12" s="253">
        <v>334.09140000000002</v>
      </c>
      <c r="I12" s="13" t="s">
        <v>23</v>
      </c>
      <c r="J12" s="253">
        <v>336.55560000000003</v>
      </c>
      <c r="K12" s="18">
        <v>270</v>
      </c>
      <c r="L12" s="19">
        <v>4.1300000000000001E-4</v>
      </c>
      <c r="M12" s="19">
        <v>0.56040000000000001</v>
      </c>
      <c r="N12" s="13" t="s">
        <v>23</v>
      </c>
      <c r="O12" s="34">
        <v>745398005.5</v>
      </c>
      <c r="P12" s="24">
        <f t="shared" si="1"/>
        <v>3.2338000440958535E-3</v>
      </c>
      <c r="Q12" s="13" t="s">
        <v>23</v>
      </c>
      <c r="R12" s="23">
        <v>333.65120000000002</v>
      </c>
      <c r="S12" s="13" t="s">
        <v>23</v>
      </c>
      <c r="T12" s="23">
        <v>336.11959999999999</v>
      </c>
      <c r="U12" s="18">
        <v>321</v>
      </c>
      <c r="V12" s="19">
        <v>2.6679999999999998E-3</v>
      </c>
      <c r="W12" s="19">
        <v>0.55830000000000002</v>
      </c>
      <c r="X12" s="27">
        <f t="shared" si="2"/>
        <v>-7.3963108086645976E-3</v>
      </c>
      <c r="Y12" s="27">
        <f t="shared" si="3"/>
        <v>-1.2954768840573012E-3</v>
      </c>
      <c r="Z12" s="27">
        <f t="shared" si="4"/>
        <v>0.18888888888888888</v>
      </c>
      <c r="AA12" s="20">
        <f t="shared" si="5"/>
        <v>2.2549999999999996E-3</v>
      </c>
      <c r="AB12" s="21">
        <f t="shared" si="6"/>
        <v>-2.0999999999999908E-3</v>
      </c>
    </row>
    <row r="13" spans="1:32" ht="12.6" customHeight="1">
      <c r="A13" s="231">
        <v>8</v>
      </c>
      <c r="B13" s="232" t="s">
        <v>36</v>
      </c>
      <c r="C13" s="12" t="s">
        <v>37</v>
      </c>
      <c r="D13" s="13" t="s">
        <v>23</v>
      </c>
      <c r="E13" s="80">
        <v>4184275473.3800001</v>
      </c>
      <c r="F13" s="15">
        <f t="shared" si="0"/>
        <v>1.8108620549302401E-2</v>
      </c>
      <c r="G13" s="13" t="s">
        <v>23</v>
      </c>
      <c r="H13" s="253">
        <v>7.98</v>
      </c>
      <c r="I13" s="13" t="s">
        <v>23</v>
      </c>
      <c r="J13" s="253">
        <v>8.14</v>
      </c>
      <c r="K13" s="201">
        <v>3883</v>
      </c>
      <c r="L13" s="196">
        <v>-6.6E-3</v>
      </c>
      <c r="M13" s="196">
        <v>0.44140000000000001</v>
      </c>
      <c r="N13" s="13" t="s">
        <v>23</v>
      </c>
      <c r="O13" s="80">
        <v>4195258768.8499999</v>
      </c>
      <c r="P13" s="24">
        <f t="shared" si="1"/>
        <v>1.8200515552225537E-2</v>
      </c>
      <c r="Q13" s="13" t="s">
        <v>23</v>
      </c>
      <c r="R13" s="23">
        <v>8.19</v>
      </c>
      <c r="S13" s="13" t="s">
        <v>23</v>
      </c>
      <c r="T13" s="23">
        <v>8.19</v>
      </c>
      <c r="U13" s="25">
        <v>3880</v>
      </c>
      <c r="V13" s="55">
        <v>9.7999999999999997E-3</v>
      </c>
      <c r="W13" s="55">
        <v>0.46529999999999999</v>
      </c>
      <c r="X13" s="27">
        <f>((O13-E13)/E13)</f>
        <v>2.6248977964941768E-3</v>
      </c>
      <c r="Y13" s="27">
        <f>((T13-J13)/J13)</f>
        <v>6.1425061425060112E-3</v>
      </c>
      <c r="Z13" s="27">
        <f>((U13-K13)/K13)</f>
        <v>-7.7259850630955449E-4</v>
      </c>
      <c r="AA13" s="20">
        <f>V13-L13</f>
        <v>1.6399999999999998E-2</v>
      </c>
      <c r="AB13" s="21">
        <f>W13-M13</f>
        <v>2.3899999999999977E-2</v>
      </c>
    </row>
    <row r="14" spans="1:32">
      <c r="A14" s="231">
        <v>9</v>
      </c>
      <c r="B14" s="232" t="s">
        <v>38</v>
      </c>
      <c r="C14" s="12" t="s">
        <v>39</v>
      </c>
      <c r="D14" s="13" t="s">
        <v>23</v>
      </c>
      <c r="E14" s="34">
        <v>6772437093.1700001</v>
      </c>
      <c r="F14" s="15">
        <f t="shared" si="0"/>
        <v>2.9309612690287236E-2</v>
      </c>
      <c r="G14" s="13" t="s">
        <v>23</v>
      </c>
      <c r="H14" s="253">
        <v>582.32000000000005</v>
      </c>
      <c r="I14" s="13" t="s">
        <v>23</v>
      </c>
      <c r="J14" s="253">
        <v>590.58000000000004</v>
      </c>
      <c r="K14" s="18">
        <v>2287</v>
      </c>
      <c r="L14" s="19">
        <v>6.7999999999999996E-3</v>
      </c>
      <c r="M14" s="19">
        <v>0.28460000000000002</v>
      </c>
      <c r="N14" s="13" t="s">
        <v>23</v>
      </c>
      <c r="O14" s="34">
        <v>6779785520.3699999</v>
      </c>
      <c r="P14" s="24">
        <f t="shared" si="1"/>
        <v>2.9413106223736649E-2</v>
      </c>
      <c r="Q14" s="13" t="s">
        <v>23</v>
      </c>
      <c r="R14" s="23">
        <v>584.32000000000005</v>
      </c>
      <c r="S14" s="13" t="s">
        <v>23</v>
      </c>
      <c r="T14" s="23">
        <v>592.63</v>
      </c>
      <c r="U14" s="18">
        <v>2290</v>
      </c>
      <c r="V14" s="19">
        <v>6.7999999999999996E-3</v>
      </c>
      <c r="W14" s="19">
        <v>0.28460000000000002</v>
      </c>
      <c r="X14" s="27">
        <f t="shared" si="2"/>
        <v>1.0850491630864604E-3</v>
      </c>
      <c r="Y14" s="27">
        <f t="shared" si="3"/>
        <v>3.4711639405329581E-3</v>
      </c>
      <c r="Z14" s="27">
        <f t="shared" si="4"/>
        <v>1.3117621337997377E-3</v>
      </c>
      <c r="AA14" s="20">
        <f t="shared" si="5"/>
        <v>0</v>
      </c>
      <c r="AB14" s="21">
        <f t="shared" si="6"/>
        <v>0</v>
      </c>
      <c r="AC14" s="30"/>
      <c r="AD14" s="30"/>
      <c r="AE14" s="37"/>
    </row>
    <row r="15" spans="1:32" ht="13.2" customHeight="1">
      <c r="A15" s="231">
        <v>10</v>
      </c>
      <c r="B15" s="232" t="s">
        <v>40</v>
      </c>
      <c r="C15" s="12" t="s">
        <v>41</v>
      </c>
      <c r="D15" s="13" t="s">
        <v>23</v>
      </c>
      <c r="E15" s="80">
        <v>593278015.60000002</v>
      </c>
      <c r="F15" s="15">
        <f t="shared" si="0"/>
        <v>2.5675762824633299E-3</v>
      </c>
      <c r="G15" s="13" t="s">
        <v>23</v>
      </c>
      <c r="H15" s="253">
        <v>295.62</v>
      </c>
      <c r="I15" s="13" t="s">
        <v>23</v>
      </c>
      <c r="J15" s="253">
        <v>304.32</v>
      </c>
      <c r="K15" s="201">
        <v>2472</v>
      </c>
      <c r="L15" s="196">
        <v>-2.775E-2</v>
      </c>
      <c r="M15" s="196">
        <v>0.16980000000000001</v>
      </c>
      <c r="N15" s="13" t="s">
        <v>23</v>
      </c>
      <c r="O15" s="197">
        <v>593647751.70000005</v>
      </c>
      <c r="P15" s="24">
        <f t="shared" si="1"/>
        <v>2.5754537997953689E-3</v>
      </c>
      <c r="Q15" s="13" t="s">
        <v>23</v>
      </c>
      <c r="R15" s="23">
        <v>295.81</v>
      </c>
      <c r="S15" s="13" t="s">
        <v>23</v>
      </c>
      <c r="T15" s="23">
        <v>304.48</v>
      </c>
      <c r="U15" s="25">
        <v>2472</v>
      </c>
      <c r="V15" s="55">
        <v>-2.775E-2</v>
      </c>
      <c r="W15" s="55">
        <v>0.16980000000000001</v>
      </c>
      <c r="X15" s="27">
        <f t="shared" si="2"/>
        <v>6.2320883342710509E-4</v>
      </c>
      <c r="Y15" s="27">
        <f t="shared" si="3"/>
        <v>5.2576235541543443E-4</v>
      </c>
      <c r="Z15" s="27">
        <f t="shared" si="4"/>
        <v>0</v>
      </c>
      <c r="AA15" s="20">
        <f t="shared" si="5"/>
        <v>0</v>
      </c>
      <c r="AB15" s="21">
        <f t="shared" si="6"/>
        <v>0</v>
      </c>
      <c r="AD15" s="10"/>
      <c r="AE15" s="37"/>
    </row>
    <row r="16" spans="1:32">
      <c r="A16" s="231">
        <v>11</v>
      </c>
      <c r="B16" s="232" t="s">
        <v>42</v>
      </c>
      <c r="C16" s="192" t="s">
        <v>43</v>
      </c>
      <c r="D16" s="13" t="s">
        <v>23</v>
      </c>
      <c r="E16" s="80">
        <v>201529504.11610001</v>
      </c>
      <c r="F16" s="15">
        <f t="shared" si="0"/>
        <v>8.7217520518064243E-4</v>
      </c>
      <c r="G16" s="13" t="s">
        <v>23</v>
      </c>
      <c r="H16" s="253">
        <v>494.68599999999998</v>
      </c>
      <c r="I16" s="13" t="s">
        <v>23</v>
      </c>
      <c r="J16" s="253">
        <v>510.96539999999999</v>
      </c>
      <c r="K16" s="201">
        <v>74</v>
      </c>
      <c r="L16" s="196">
        <v>-1.47E-2</v>
      </c>
      <c r="M16" s="196">
        <v>0.56159999999999999</v>
      </c>
      <c r="N16" s="13" t="s">
        <v>23</v>
      </c>
      <c r="O16" s="80">
        <v>204682366.44929999</v>
      </c>
      <c r="P16" s="24">
        <f t="shared" si="1"/>
        <v>8.8798446033592181E-4</v>
      </c>
      <c r="Q16" s="13" t="s">
        <v>23</v>
      </c>
      <c r="R16" s="23">
        <v>502.01569999999998</v>
      </c>
      <c r="S16" s="13" t="s">
        <v>23</v>
      </c>
      <c r="T16" s="23">
        <v>518.33720000000005</v>
      </c>
      <c r="U16" s="25">
        <v>74</v>
      </c>
      <c r="V16" s="55">
        <v>1.46E-2</v>
      </c>
      <c r="W16" s="55">
        <v>0.58440000000000003</v>
      </c>
      <c r="X16" s="27">
        <f t="shared" si="2"/>
        <v>1.564466873983688E-2</v>
      </c>
      <c r="Y16" s="27">
        <f t="shared" si="3"/>
        <v>1.4427199963050462E-2</v>
      </c>
      <c r="Z16" s="27">
        <f t="shared" si="4"/>
        <v>0</v>
      </c>
      <c r="AA16" s="20">
        <f t="shared" si="5"/>
        <v>2.93E-2</v>
      </c>
      <c r="AB16" s="21">
        <f t="shared" si="6"/>
        <v>2.2800000000000042E-2</v>
      </c>
      <c r="AD16" s="30"/>
    </row>
    <row r="17" spans="1:34" ht="14.25" customHeight="1">
      <c r="A17" s="231">
        <v>12</v>
      </c>
      <c r="B17" s="232" t="s">
        <v>44</v>
      </c>
      <c r="C17" s="12" t="s">
        <v>45</v>
      </c>
      <c r="D17" s="13" t="s">
        <v>23</v>
      </c>
      <c r="E17" s="80">
        <v>19511238104.970001</v>
      </c>
      <c r="F17" s="15">
        <f t="shared" si="0"/>
        <v>8.4440331316088871E-2</v>
      </c>
      <c r="G17" s="13" t="s">
        <v>23</v>
      </c>
      <c r="H17" s="253">
        <v>5.4012370000000001</v>
      </c>
      <c r="I17" s="13" t="s">
        <v>23</v>
      </c>
      <c r="J17" s="253">
        <v>5.4904469999999996</v>
      </c>
      <c r="K17" s="201">
        <v>17473</v>
      </c>
      <c r="L17" s="196">
        <v>-1.3966161227075391E-2</v>
      </c>
      <c r="M17" s="196">
        <v>0.35764801635239274</v>
      </c>
      <c r="N17" s="13" t="s">
        <v>23</v>
      </c>
      <c r="O17" s="35">
        <v>19324435377.169998</v>
      </c>
      <c r="P17" s="24">
        <f t="shared" si="1"/>
        <v>8.3836231803305794E-2</v>
      </c>
      <c r="Q17" s="13" t="s">
        <v>23</v>
      </c>
      <c r="R17" s="23">
        <v>5.3894510000000002</v>
      </c>
      <c r="S17" s="13" t="s">
        <v>23</v>
      </c>
      <c r="T17" s="23">
        <v>5.4816549999999999</v>
      </c>
      <c r="U17" s="25">
        <v>18232</v>
      </c>
      <c r="V17" s="55">
        <v>-2.1820927317205419E-3</v>
      </c>
      <c r="W17" s="26">
        <v>0.35468550248367547</v>
      </c>
      <c r="X17" s="27">
        <f t="shared" si="2"/>
        <v>-9.5741093822446725E-3</v>
      </c>
      <c r="Y17" s="27">
        <f t="shared" si="3"/>
        <v>-1.6013268136455354E-3</v>
      </c>
      <c r="Z17" s="27">
        <f t="shared" si="4"/>
        <v>4.3438447891031878E-2</v>
      </c>
      <c r="AA17" s="20">
        <f t="shared" si="5"/>
        <v>1.1784068495354849E-2</v>
      </c>
      <c r="AB17" s="21">
        <f t="shared" si="6"/>
        <v>-2.9625138687172647E-3</v>
      </c>
      <c r="AD17" s="38"/>
    </row>
    <row r="18" spans="1:34" ht="14.25" customHeight="1">
      <c r="A18" s="231">
        <v>13</v>
      </c>
      <c r="B18" s="232" t="s">
        <v>46</v>
      </c>
      <c r="C18" s="12" t="s">
        <v>47</v>
      </c>
      <c r="D18" s="13" t="s">
        <v>23</v>
      </c>
      <c r="E18" s="197">
        <v>530455630.63999999</v>
      </c>
      <c r="F18" s="15">
        <f t="shared" si="0"/>
        <v>2.2956948687083501E-3</v>
      </c>
      <c r="G18" s="13" t="s">
        <v>23</v>
      </c>
      <c r="H18" s="253">
        <v>44.43</v>
      </c>
      <c r="I18" s="13" t="s">
        <v>23</v>
      </c>
      <c r="J18" s="253">
        <v>44.67</v>
      </c>
      <c r="K18" s="201">
        <v>122</v>
      </c>
      <c r="L18" s="196">
        <v>0</v>
      </c>
      <c r="M18" s="196">
        <v>0.67</v>
      </c>
      <c r="N18" s="13" t="s">
        <v>23</v>
      </c>
      <c r="O18" s="197">
        <v>434347430.86000001</v>
      </c>
      <c r="P18" s="24">
        <f t="shared" si="1"/>
        <v>1.884352695746499E-3</v>
      </c>
      <c r="Q18" s="13" t="s">
        <v>23</v>
      </c>
      <c r="R18" s="23">
        <v>44.43</v>
      </c>
      <c r="S18" s="13" t="s">
        <v>23</v>
      </c>
      <c r="T18" s="23">
        <v>44.67</v>
      </c>
      <c r="U18" s="25">
        <v>122</v>
      </c>
      <c r="V18" s="26">
        <v>0.01</v>
      </c>
      <c r="W18" s="55">
        <v>0.67</v>
      </c>
      <c r="X18" s="27">
        <f t="shared" ref="X18" si="7">((O18-E18)/E18)</f>
        <v>-0.1811804686926303</v>
      </c>
      <c r="Y18" s="27">
        <f t="shared" ref="Y18" si="8">((T18-J18)/J18)</f>
        <v>0</v>
      </c>
      <c r="Z18" s="27">
        <f t="shared" ref="Z18" si="9">((U18-K18)/K18)</f>
        <v>0</v>
      </c>
      <c r="AA18" s="20">
        <f t="shared" ref="AA18" si="10">V18-L18</f>
        <v>0.01</v>
      </c>
      <c r="AB18" s="21">
        <f t="shared" ref="AB18" si="11">W18-M18</f>
        <v>0</v>
      </c>
      <c r="AD18" s="30"/>
    </row>
    <row r="19" spans="1:34">
      <c r="A19" s="231">
        <v>14</v>
      </c>
      <c r="B19" s="232" t="s">
        <v>48</v>
      </c>
      <c r="C19" s="12" t="s">
        <v>49</v>
      </c>
      <c r="D19" s="13" t="s">
        <v>23</v>
      </c>
      <c r="E19" s="23">
        <v>9513078540.25</v>
      </c>
      <c r="F19" s="15">
        <f t="shared" si="0"/>
        <v>4.1170503863107874E-2</v>
      </c>
      <c r="G19" s="13" t="s">
        <v>23</v>
      </c>
      <c r="H19" s="253">
        <v>44.73</v>
      </c>
      <c r="I19" s="13" t="s">
        <v>23</v>
      </c>
      <c r="J19" s="253">
        <v>45.129721000000004</v>
      </c>
      <c r="K19" s="201">
        <v>2379</v>
      </c>
      <c r="L19" s="196">
        <v>-1.11E-2</v>
      </c>
      <c r="M19" s="196">
        <v>0.45179999999999998</v>
      </c>
      <c r="N19" s="13" t="s">
        <v>23</v>
      </c>
      <c r="O19" s="23">
        <v>9566039199.5200005</v>
      </c>
      <c r="P19" s="24">
        <f t="shared" si="1"/>
        <v>4.15008596172457E-2</v>
      </c>
      <c r="Q19" s="13" t="s">
        <v>23</v>
      </c>
      <c r="R19" s="23">
        <v>45.199852</v>
      </c>
      <c r="S19" s="13" t="s">
        <v>23</v>
      </c>
      <c r="T19" s="23">
        <v>45.346131</v>
      </c>
      <c r="U19" s="25">
        <v>2436</v>
      </c>
      <c r="V19" s="26">
        <v>1.06E-2</v>
      </c>
      <c r="W19" s="26">
        <v>0.46639999999999998</v>
      </c>
      <c r="X19" s="27">
        <f t="shared" si="2"/>
        <v>5.5671420188452133E-3</v>
      </c>
      <c r="Y19" s="27">
        <f t="shared" si="3"/>
        <v>4.7952877882847141E-3</v>
      </c>
      <c r="Z19" s="27">
        <f t="shared" si="4"/>
        <v>2.3959646910466582E-2</v>
      </c>
      <c r="AA19" s="20">
        <f t="shared" si="5"/>
        <v>2.1700000000000001E-2</v>
      </c>
      <c r="AB19" s="21">
        <f t="shared" si="6"/>
        <v>1.4600000000000002E-2</v>
      </c>
      <c r="AD19" s="10"/>
      <c r="AE19" s="10"/>
    </row>
    <row r="20" spans="1:34">
      <c r="A20" s="231">
        <v>15</v>
      </c>
      <c r="B20" s="232" t="s">
        <v>50</v>
      </c>
      <c r="C20" s="12" t="s">
        <v>51</v>
      </c>
      <c r="D20" s="13" t="s">
        <v>23</v>
      </c>
      <c r="E20" s="23">
        <v>389320917.30000001</v>
      </c>
      <c r="F20" s="15">
        <f t="shared" si="0"/>
        <v>1.6848949855581797E-3</v>
      </c>
      <c r="G20" s="13" t="s">
        <v>23</v>
      </c>
      <c r="H20" s="253">
        <v>2.86</v>
      </c>
      <c r="I20" s="13" t="s">
        <v>23</v>
      </c>
      <c r="J20" s="253">
        <v>2.89</v>
      </c>
      <c r="K20" s="201">
        <v>50</v>
      </c>
      <c r="L20" s="196">
        <v>-6.6E-3</v>
      </c>
      <c r="M20" s="196">
        <v>-0.29239999999999999</v>
      </c>
      <c r="N20" s="13" t="s">
        <v>23</v>
      </c>
      <c r="O20" s="23">
        <v>390364358.29000002</v>
      </c>
      <c r="P20" s="24">
        <f t="shared" si="1"/>
        <v>1.6935385790372249E-3</v>
      </c>
      <c r="Q20" s="13" t="s">
        <v>23</v>
      </c>
      <c r="R20" s="23">
        <v>2.87</v>
      </c>
      <c r="S20" s="13" t="s">
        <v>23</v>
      </c>
      <c r="T20" s="23">
        <v>2.9</v>
      </c>
      <c r="U20" s="25">
        <v>51</v>
      </c>
      <c r="V20" s="26">
        <v>2.07E-2</v>
      </c>
      <c r="W20" s="26">
        <v>0.35510000000000003</v>
      </c>
      <c r="X20" s="27">
        <f t="shared" si="2"/>
        <v>2.6801565074808516E-3</v>
      </c>
      <c r="Y20" s="27">
        <f t="shared" si="3"/>
        <v>3.4602076124566734E-3</v>
      </c>
      <c r="Z20" s="27">
        <f t="shared" si="4"/>
        <v>0.02</v>
      </c>
      <c r="AA20" s="20">
        <f t="shared" si="5"/>
        <v>2.7299999999999998E-2</v>
      </c>
      <c r="AB20" s="21">
        <f t="shared" si="6"/>
        <v>0.64749999999999996</v>
      </c>
      <c r="AD20" s="30"/>
      <c r="AE20" s="30"/>
      <c r="AH20" t="s">
        <v>343</v>
      </c>
    </row>
    <row r="21" spans="1:34">
      <c r="A21" s="231">
        <v>16</v>
      </c>
      <c r="B21" s="232" t="s">
        <v>52</v>
      </c>
      <c r="C21" s="12" t="s">
        <v>53</v>
      </c>
      <c r="D21" s="13" t="s">
        <v>23</v>
      </c>
      <c r="E21" s="39">
        <v>21931081803.759998</v>
      </c>
      <c r="F21" s="15">
        <f t="shared" si="0"/>
        <v>9.4912880651998446E-2</v>
      </c>
      <c r="G21" s="13" t="s">
        <v>23</v>
      </c>
      <c r="H21" s="253">
        <v>68.706800000000001</v>
      </c>
      <c r="I21" s="13" t="s">
        <v>23</v>
      </c>
      <c r="J21" s="253">
        <v>68.91</v>
      </c>
      <c r="K21" s="201">
        <v>21899</v>
      </c>
      <c r="L21" s="196">
        <v>-2.3900000000000001E-2</v>
      </c>
      <c r="M21" s="196">
        <v>0.51049999999999995</v>
      </c>
      <c r="N21" s="13" t="s">
        <v>23</v>
      </c>
      <c r="O21" s="39">
        <v>21882571685.450001</v>
      </c>
      <c r="P21" s="24">
        <f t="shared" si="1"/>
        <v>9.4934331403089448E-2</v>
      </c>
      <c r="Q21" s="13" t="s">
        <v>23</v>
      </c>
      <c r="R21" s="23">
        <v>69.696700000000007</v>
      </c>
      <c r="S21" s="13" t="s">
        <v>23</v>
      </c>
      <c r="T21" s="23">
        <v>69.934100000000001</v>
      </c>
      <c r="U21" s="25">
        <v>22049</v>
      </c>
      <c r="V21" s="26">
        <v>2.3099999999999999E-2</v>
      </c>
      <c r="W21" s="26">
        <v>0.53349999999999997</v>
      </c>
      <c r="X21" s="27">
        <f t="shared" si="2"/>
        <v>-2.2119345841699741E-3</v>
      </c>
      <c r="Y21" s="27">
        <f t="shared" si="3"/>
        <v>1.4861413437817505E-2</v>
      </c>
      <c r="Z21" s="27">
        <f t="shared" si="4"/>
        <v>6.8496278368875294E-3</v>
      </c>
      <c r="AA21" s="20">
        <f t="shared" si="5"/>
        <v>4.7E-2</v>
      </c>
      <c r="AB21" s="21">
        <f t="shared" si="6"/>
        <v>2.300000000000002E-2</v>
      </c>
      <c r="AD21" s="30"/>
    </row>
    <row r="22" spans="1:34">
      <c r="A22" s="231">
        <v>17</v>
      </c>
      <c r="B22" s="232" t="s">
        <v>341</v>
      </c>
      <c r="C22" s="12" t="s">
        <v>121</v>
      </c>
      <c r="D22" s="13" t="s">
        <v>23</v>
      </c>
      <c r="E22" s="39">
        <v>115539012.61574349</v>
      </c>
      <c r="F22" s="15">
        <f t="shared" si="0"/>
        <v>5.0002734079299745E-4</v>
      </c>
      <c r="G22" s="13" t="s">
        <v>23</v>
      </c>
      <c r="H22" s="253">
        <v>1.0070427247722293</v>
      </c>
      <c r="I22" s="13" t="s">
        <v>23</v>
      </c>
      <c r="J22" s="253">
        <v>1.0110427247722293</v>
      </c>
      <c r="K22" s="201">
        <v>203</v>
      </c>
      <c r="L22" s="196">
        <v>-1.12E-2</v>
      </c>
      <c r="M22" s="196">
        <v>7.8427247722292481E-3</v>
      </c>
      <c r="N22" s="13" t="s">
        <v>23</v>
      </c>
      <c r="O22" s="39">
        <v>117539269.63936301</v>
      </c>
      <c r="P22" s="24">
        <f t="shared" si="1"/>
        <v>5.0992690151860961E-4</v>
      </c>
      <c r="Q22" s="13" t="s">
        <v>23</v>
      </c>
      <c r="R22" s="23">
        <v>1.0150418280334601</v>
      </c>
      <c r="S22" s="13" t="s">
        <v>23</v>
      </c>
      <c r="T22" s="23">
        <v>1.0190418280334601</v>
      </c>
      <c r="U22" s="25">
        <v>209</v>
      </c>
      <c r="V22" s="55">
        <v>7.3000000000000001E-3</v>
      </c>
      <c r="W22" s="55">
        <v>1.5841828033464678E-2</v>
      </c>
      <c r="X22" s="27">
        <f t="shared" ref="X22:X23" si="12">((O22-E22)/E22)</f>
        <v>1.7312394993991495E-2</v>
      </c>
      <c r="Y22" s="27">
        <f t="shared" ref="Y22:Y23" si="13">((T22-J22)/J22)</f>
        <v>7.91173613660375E-3</v>
      </c>
      <c r="Z22" s="27">
        <f t="shared" ref="Z22:Z23" si="14">((U22-K22)/K22)</f>
        <v>2.9556650246305417E-2</v>
      </c>
      <c r="AA22" s="20">
        <f t="shared" ref="AA22:AA23" si="15">V22-L22</f>
        <v>1.8499999999999999E-2</v>
      </c>
      <c r="AB22" s="21">
        <f t="shared" ref="AB22:AB23" si="16">W22-M22</f>
        <v>7.9991032612354296E-3</v>
      </c>
    </row>
    <row r="23" spans="1:34" ht="12.75" customHeight="1">
      <c r="A23" s="231">
        <v>18</v>
      </c>
      <c r="B23" s="232" t="s">
        <v>54</v>
      </c>
      <c r="C23" s="12" t="s">
        <v>55</v>
      </c>
      <c r="D23" s="13" t="s">
        <v>23</v>
      </c>
      <c r="E23" s="23">
        <v>4174784782.04</v>
      </c>
      <c r="F23" s="15">
        <f t="shared" si="0"/>
        <v>1.806754693229989E-2</v>
      </c>
      <c r="G23" s="13" t="s">
        <v>23</v>
      </c>
      <c r="H23" s="253">
        <v>16936.919999999998</v>
      </c>
      <c r="I23" s="13" t="s">
        <v>23</v>
      </c>
      <c r="J23" s="253">
        <v>17189.05</v>
      </c>
      <c r="K23" s="201">
        <v>89</v>
      </c>
      <c r="L23" s="196">
        <v>4.5801803318160899E-3</v>
      </c>
      <c r="M23" s="196">
        <v>0.33648982143384698</v>
      </c>
      <c r="N23" s="13" t="s">
        <v>23</v>
      </c>
      <c r="O23" s="23">
        <v>4148699290.0799999</v>
      </c>
      <c r="P23" s="24">
        <f t="shared" si="1"/>
        <v>1.799852407466784E-2</v>
      </c>
      <c r="Q23" s="13" t="s">
        <v>23</v>
      </c>
      <c r="R23" s="23">
        <v>16845.48</v>
      </c>
      <c r="S23" s="13" t="s">
        <v>23</v>
      </c>
      <c r="T23" s="23">
        <v>17096.27</v>
      </c>
      <c r="U23" s="25">
        <v>90</v>
      </c>
      <c r="V23" s="55">
        <v>-5.3976223235140302E-3</v>
      </c>
      <c r="W23" s="55">
        <v>0.32927595413852701</v>
      </c>
      <c r="X23" s="27">
        <f t="shared" si="12"/>
        <v>-6.2483441235630394E-3</v>
      </c>
      <c r="Y23" s="27">
        <f t="shared" si="13"/>
        <v>-5.3976223235140302E-3</v>
      </c>
      <c r="Z23" s="27">
        <f t="shared" si="14"/>
        <v>1.1235955056179775E-2</v>
      </c>
      <c r="AA23" s="20">
        <f t="shared" si="15"/>
        <v>-9.9778026553301209E-3</v>
      </c>
      <c r="AB23" s="21">
        <f t="shared" si="16"/>
        <v>-7.2138672953199756E-3</v>
      </c>
      <c r="AD23" s="30"/>
    </row>
    <row r="24" spans="1:34">
      <c r="A24" s="231">
        <v>19</v>
      </c>
      <c r="B24" s="232" t="s">
        <v>56</v>
      </c>
      <c r="C24" s="12" t="s">
        <v>55</v>
      </c>
      <c r="D24" s="13" t="s">
        <v>23</v>
      </c>
      <c r="E24" s="23">
        <v>66156692815.730003</v>
      </c>
      <c r="F24" s="15">
        <f t="shared" si="0"/>
        <v>0.28631156208964459</v>
      </c>
      <c r="G24" s="13" t="s">
        <v>23</v>
      </c>
      <c r="H24" s="253">
        <v>60015.3</v>
      </c>
      <c r="I24" s="13" t="s">
        <v>23</v>
      </c>
      <c r="J24" s="253">
        <v>60808.37</v>
      </c>
      <c r="K24" s="201">
        <v>35068</v>
      </c>
      <c r="L24" s="196">
        <v>-6.1450460968848805E-4</v>
      </c>
      <c r="M24" s="196">
        <v>0.40506813180312901</v>
      </c>
      <c r="N24" s="13" t="s">
        <v>23</v>
      </c>
      <c r="O24" s="23">
        <v>65261763634.279999</v>
      </c>
      <c r="P24" s="24">
        <f t="shared" si="1"/>
        <v>0.28312860050751482</v>
      </c>
      <c r="Q24" s="13" t="s">
        <v>23</v>
      </c>
      <c r="R24" s="23">
        <v>59856.81</v>
      </c>
      <c r="S24" s="13" t="s">
        <v>23</v>
      </c>
      <c r="T24" s="23">
        <v>60654.17</v>
      </c>
      <c r="U24" s="25">
        <v>35245</v>
      </c>
      <c r="V24" s="55">
        <v>-2.5358351161197698E-3</v>
      </c>
      <c r="W24" s="55">
        <v>0.401505110693961</v>
      </c>
      <c r="X24" s="27">
        <f t="shared" si="2"/>
        <v>-1.3527417157062275E-2</v>
      </c>
      <c r="Y24" s="27">
        <f t="shared" si="3"/>
        <v>-2.5358351161197767E-3</v>
      </c>
      <c r="Z24" s="27">
        <f t="shared" si="4"/>
        <v>5.0473366031709823E-3</v>
      </c>
      <c r="AA24" s="20">
        <f t="shared" si="5"/>
        <v>-1.9213305064312816E-3</v>
      </c>
      <c r="AB24" s="21">
        <f t="shared" si="6"/>
        <v>-3.5630211091680075E-3</v>
      </c>
    </row>
    <row r="25" spans="1:34">
      <c r="A25" s="231">
        <v>20</v>
      </c>
      <c r="B25" s="192" t="s">
        <v>57</v>
      </c>
      <c r="C25" s="12" t="s">
        <v>58</v>
      </c>
      <c r="D25" s="13" t="s">
        <v>23</v>
      </c>
      <c r="E25" s="23">
        <v>15109325176.4</v>
      </c>
      <c r="F25" s="15">
        <f t="shared" si="0"/>
        <v>6.5389823905267777E-2</v>
      </c>
      <c r="G25" s="13" t="s">
        <v>23</v>
      </c>
      <c r="H25" s="253">
        <v>2.3887499999999999</v>
      </c>
      <c r="I25" s="13" t="s">
        <v>23</v>
      </c>
      <c r="J25" s="254">
        <v>2.4199600000000001</v>
      </c>
      <c r="K25" s="201">
        <v>10992</v>
      </c>
      <c r="L25" s="196">
        <v>-1.26E-2</v>
      </c>
      <c r="M25" s="196">
        <v>0.41239999999999999</v>
      </c>
      <c r="N25" s="13" t="s">
        <v>23</v>
      </c>
      <c r="O25" s="23">
        <v>15265820931.620001</v>
      </c>
      <c r="P25" s="24">
        <f t="shared" si="1"/>
        <v>6.6228527628965014E-2</v>
      </c>
      <c r="Q25" s="13" t="s">
        <v>23</v>
      </c>
      <c r="R25" s="23">
        <v>2.3587400000000001</v>
      </c>
      <c r="S25" s="13" t="s">
        <v>23</v>
      </c>
      <c r="T25" s="40">
        <v>2.3831600000000002</v>
      </c>
      <c r="U25" s="25">
        <v>11084</v>
      </c>
      <c r="V25" s="55">
        <v>-2.2000000000000001E-3</v>
      </c>
      <c r="W25" s="55">
        <v>0.40939999999999999</v>
      </c>
      <c r="X25" s="27">
        <f t="shared" ref="X25:X26" si="17">((O25-E25)/E25)</f>
        <v>1.0357560870053923E-2</v>
      </c>
      <c r="Y25" s="27">
        <f t="shared" ref="Y25:Y26" si="18">((T25-J25)/J25)</f>
        <v>-1.5206862923354081E-2</v>
      </c>
      <c r="Z25" s="27">
        <f t="shared" ref="Z25:Z26" si="19">((U25-K25)/K25)</f>
        <v>8.3697234352256185E-3</v>
      </c>
      <c r="AA25" s="20">
        <f t="shared" ref="AA25:AA26" si="20">V25-L25</f>
        <v>1.04E-2</v>
      </c>
      <c r="AB25" s="21">
        <f t="shared" ref="AB25:AB26" si="21">W25-M25</f>
        <v>-3.0000000000000027E-3</v>
      </c>
      <c r="AD25" s="41"/>
      <c r="AE25" s="42"/>
    </row>
    <row r="26" spans="1:34">
      <c r="A26" s="231">
        <v>21</v>
      </c>
      <c r="B26" s="232" t="s">
        <v>59</v>
      </c>
      <c r="C26" s="12" t="s">
        <v>60</v>
      </c>
      <c r="D26" s="13" t="s">
        <v>23</v>
      </c>
      <c r="E26" s="23">
        <v>9715769680.2800007</v>
      </c>
      <c r="F26" s="15">
        <f t="shared" si="0"/>
        <v>4.2047706372087011E-2</v>
      </c>
      <c r="G26" s="13" t="s">
        <v>23</v>
      </c>
      <c r="H26" s="253">
        <v>1.84</v>
      </c>
      <c r="I26" s="13" t="s">
        <v>23</v>
      </c>
      <c r="J26" s="254">
        <v>1.86</v>
      </c>
      <c r="K26" s="201">
        <v>6445</v>
      </c>
      <c r="L26" s="196">
        <v>-1.2288E-2</v>
      </c>
      <c r="M26" s="196">
        <v>0.80967500000000003</v>
      </c>
      <c r="N26" s="13" t="s">
        <v>23</v>
      </c>
      <c r="O26" s="23">
        <v>9716355500.1700001</v>
      </c>
      <c r="P26" s="24">
        <f t="shared" si="1"/>
        <v>4.2152984865882814E-2</v>
      </c>
      <c r="Q26" s="13" t="s">
        <v>23</v>
      </c>
      <c r="R26" s="23">
        <v>1.85</v>
      </c>
      <c r="S26" s="13" t="s">
        <v>23</v>
      </c>
      <c r="T26" s="40">
        <v>1.88</v>
      </c>
      <c r="U26" s="25">
        <v>6550</v>
      </c>
      <c r="V26" s="26">
        <v>7.8079999999999998E-3</v>
      </c>
      <c r="W26" s="26">
        <v>0.82359000000000004</v>
      </c>
      <c r="X26" s="27">
        <f t="shared" si="17"/>
        <v>6.0295777820713713E-5</v>
      </c>
      <c r="Y26" s="27">
        <f t="shared" si="18"/>
        <v>1.0752688172042901E-2</v>
      </c>
      <c r="Z26" s="27">
        <f t="shared" si="19"/>
        <v>1.6291698991466253E-2</v>
      </c>
      <c r="AA26" s="20">
        <f t="shared" si="20"/>
        <v>2.0095999999999999E-2</v>
      </c>
      <c r="AB26" s="21">
        <f t="shared" si="21"/>
        <v>1.3915000000000011E-2</v>
      </c>
      <c r="AD26" s="30"/>
      <c r="AE26" s="30"/>
      <c r="AF26" s="30"/>
      <c r="AG26" s="30"/>
    </row>
    <row r="27" spans="1:34">
      <c r="A27" s="231">
        <v>22</v>
      </c>
      <c r="B27" s="192" t="s">
        <v>61</v>
      </c>
      <c r="C27" s="12" t="s">
        <v>62</v>
      </c>
      <c r="D27" s="13" t="s">
        <v>23</v>
      </c>
      <c r="E27" s="23">
        <v>22565823251.529999</v>
      </c>
      <c r="F27" s="15">
        <f t="shared" si="0"/>
        <v>9.7659901515636013E-2</v>
      </c>
      <c r="G27" s="13" t="s">
        <v>23</v>
      </c>
      <c r="H27" s="253">
        <v>338.21</v>
      </c>
      <c r="I27" s="13" t="s">
        <v>23</v>
      </c>
      <c r="J27" s="254">
        <v>343.96</v>
      </c>
      <c r="K27" s="201">
        <v>188</v>
      </c>
      <c r="L27" s="196">
        <v>-2.8E-3</v>
      </c>
      <c r="M27" s="196">
        <v>0.60129999999999995</v>
      </c>
      <c r="N27" s="13" t="s">
        <v>23</v>
      </c>
      <c r="O27" s="23">
        <v>23244173279.169998</v>
      </c>
      <c r="P27" s="24">
        <f t="shared" si="1"/>
        <v>0.10084144043923338</v>
      </c>
      <c r="Q27" s="13" t="s">
        <v>23</v>
      </c>
      <c r="R27" s="23">
        <v>348.04</v>
      </c>
      <c r="S27" s="13" t="s">
        <v>23</v>
      </c>
      <c r="T27" s="40">
        <v>353.77</v>
      </c>
      <c r="U27" s="25">
        <v>201</v>
      </c>
      <c r="V27" s="26">
        <v>2.87E-2</v>
      </c>
      <c r="W27" s="26">
        <v>0.64729999999999999</v>
      </c>
      <c r="X27" s="27">
        <f t="shared" si="2"/>
        <v>3.0060947481453226E-2</v>
      </c>
      <c r="Y27" s="27">
        <f t="shared" si="3"/>
        <v>2.8520758227700903E-2</v>
      </c>
      <c r="Z27" s="27">
        <f t="shared" si="4"/>
        <v>6.9148936170212769E-2</v>
      </c>
      <c r="AA27" s="20">
        <f t="shared" si="5"/>
        <v>3.15E-2</v>
      </c>
      <c r="AB27" s="21">
        <f t="shared" si="6"/>
        <v>4.6000000000000041E-2</v>
      </c>
      <c r="AD27" s="30"/>
      <c r="AE27" s="30"/>
    </row>
    <row r="28" spans="1:34">
      <c r="B28" s="43"/>
      <c r="C28" s="44" t="s">
        <v>63</v>
      </c>
      <c r="D28" s="45" t="s">
        <v>23</v>
      </c>
      <c r="E28" s="46">
        <f>SUM(E6:E27)</f>
        <v>231065390209.48181</v>
      </c>
      <c r="F28" s="47">
        <f>(E28/$E$243)</f>
        <v>2.4359162376448685E-2</v>
      </c>
      <c r="G28" s="13"/>
      <c r="H28" s="48"/>
      <c r="I28" s="48"/>
      <c r="J28" s="49"/>
      <c r="K28" s="50">
        <f>SUM(K6:K27)</f>
        <v>126284</v>
      </c>
      <c r="L28" s="51"/>
      <c r="M28" s="25">
        <v>0</v>
      </c>
      <c r="N28" s="13" t="s">
        <v>23</v>
      </c>
      <c r="O28" s="46">
        <f>SUM(O6:O27)</f>
        <v>230502194117.07867</v>
      </c>
      <c r="P28" s="47">
        <f>(O28/$O$243)</f>
        <v>2.4272034141223319E-2</v>
      </c>
      <c r="Q28" s="52"/>
      <c r="R28" s="48"/>
      <c r="S28" s="48"/>
      <c r="T28" s="49"/>
      <c r="U28" s="50">
        <f>SUM(U6:U27)</f>
        <v>127837</v>
      </c>
      <c r="V28" s="51"/>
      <c r="W28" s="50"/>
      <c r="X28" s="27">
        <f t="shared" si="2"/>
        <v>-2.4373883596004952E-3</v>
      </c>
      <c r="Y28" s="27" t="e">
        <f t="shared" si="3"/>
        <v>#DIV/0!</v>
      </c>
      <c r="Z28" s="27">
        <f t="shared" si="4"/>
        <v>1.2297678249026004E-2</v>
      </c>
      <c r="AA28" s="20">
        <f t="shared" si="5"/>
        <v>0</v>
      </c>
      <c r="AB28" s="21">
        <f t="shared" si="6"/>
        <v>0</v>
      </c>
    </row>
    <row r="29" spans="1:34" ht="4.5" customHeight="1"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</row>
    <row r="30" spans="1:34" ht="15" customHeight="1">
      <c r="A30" s="11"/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</row>
    <row r="31" spans="1:34" ht="16.2" customHeight="1">
      <c r="A31" s="233">
        <v>23</v>
      </c>
      <c r="B31" s="232" t="s">
        <v>64</v>
      </c>
      <c r="C31" s="12" t="s">
        <v>22</v>
      </c>
      <c r="D31" s="13" t="s">
        <v>23</v>
      </c>
      <c r="E31" s="198">
        <v>6652562717.79</v>
      </c>
      <c r="F31" s="24">
        <f>(E31/$O$79)</f>
        <v>1.0334730843276987E-3</v>
      </c>
      <c r="G31" s="13" t="s">
        <v>23</v>
      </c>
      <c r="H31" s="40">
        <v>100</v>
      </c>
      <c r="I31" s="13" t="s">
        <v>23</v>
      </c>
      <c r="J31" s="40">
        <v>100</v>
      </c>
      <c r="K31" s="201">
        <v>936</v>
      </c>
      <c r="L31" s="196">
        <v>0.15579999999999999</v>
      </c>
      <c r="M31" s="196">
        <v>0.15579999999999999</v>
      </c>
      <c r="N31" s="13" t="s">
        <v>23</v>
      </c>
      <c r="O31" s="54">
        <v>6703023847.5699997</v>
      </c>
      <c r="P31" s="24">
        <f t="shared" ref="P31:P41" si="22">(O31/$O$79)</f>
        <v>1.0413122016189854E-3</v>
      </c>
      <c r="Q31" s="13" t="s">
        <v>23</v>
      </c>
      <c r="R31" s="40">
        <v>100</v>
      </c>
      <c r="S31" s="13" t="s">
        <v>23</v>
      </c>
      <c r="T31" s="40">
        <v>100</v>
      </c>
      <c r="U31" s="25">
        <v>936</v>
      </c>
      <c r="V31" s="55">
        <v>0.15529999999999999</v>
      </c>
      <c r="W31" s="55">
        <v>0.15529999999999999</v>
      </c>
      <c r="X31" s="27">
        <f>((O31-E31)/E31)</f>
        <v>7.5852166932690061E-3</v>
      </c>
      <c r="Y31" s="27">
        <f>((T31-J31)/J31)</f>
        <v>0</v>
      </c>
      <c r="Z31" s="27">
        <f>((U31-K31)/K31)</f>
        <v>0</v>
      </c>
      <c r="AA31" s="27">
        <f>V31-L31</f>
        <v>-5.0000000000000044E-4</v>
      </c>
      <c r="AB31" s="56">
        <f>W31-M31</f>
        <v>-5.0000000000000044E-4</v>
      </c>
    </row>
    <row r="32" spans="1:34" ht="15.6">
      <c r="A32" s="233">
        <v>24</v>
      </c>
      <c r="B32" s="232" t="s">
        <v>65</v>
      </c>
      <c r="C32" s="12" t="s">
        <v>66</v>
      </c>
      <c r="D32" s="13" t="s">
        <v>23</v>
      </c>
      <c r="E32" s="198">
        <v>46534548561.360001</v>
      </c>
      <c r="F32" s="24">
        <f>(E32/$O$79)</f>
        <v>7.2291243945584562E-3</v>
      </c>
      <c r="G32" s="13" t="s">
        <v>23</v>
      </c>
      <c r="H32" s="40">
        <v>100</v>
      </c>
      <c r="I32" s="13" t="s">
        <v>23</v>
      </c>
      <c r="J32" s="40">
        <v>100</v>
      </c>
      <c r="K32" s="201">
        <v>5521</v>
      </c>
      <c r="L32" s="196">
        <v>0.176063</v>
      </c>
      <c r="M32" s="196">
        <v>0.176063</v>
      </c>
      <c r="N32" s="13" t="s">
        <v>23</v>
      </c>
      <c r="O32" s="54">
        <v>47449128219.400002</v>
      </c>
      <c r="P32" s="24">
        <f t="shared" si="22"/>
        <v>7.371203996082599E-3</v>
      </c>
      <c r="Q32" s="13" t="s">
        <v>23</v>
      </c>
      <c r="R32" s="40">
        <v>100</v>
      </c>
      <c r="S32" s="13" t="s">
        <v>23</v>
      </c>
      <c r="T32" s="40">
        <v>100</v>
      </c>
      <c r="U32" s="25">
        <v>5598</v>
      </c>
      <c r="V32" s="196">
        <v>0.1502</v>
      </c>
      <c r="W32" s="55">
        <v>0.1502</v>
      </c>
      <c r="X32" s="27">
        <f t="shared" ref="X32:X79" si="23">((O32-E32)/E32)</f>
        <v>1.9653777382927548E-2</v>
      </c>
      <c r="Y32" s="27">
        <f t="shared" ref="Y32:Y79" si="24">((T32-J32)/J32)</f>
        <v>0</v>
      </c>
      <c r="Z32" s="27">
        <f t="shared" ref="Z32:Z79" si="25">((U32-K32)/K32)</f>
        <v>1.39467487773954E-2</v>
      </c>
      <c r="AA32" s="20">
        <f t="shared" ref="AA32:AA79" si="26">V32-L32</f>
        <v>-2.5862999999999997E-2</v>
      </c>
      <c r="AB32" s="21">
        <f t="shared" ref="AB32:AB79" si="27">W32-M32</f>
        <v>-2.5862999999999997E-2</v>
      </c>
      <c r="AD32" s="57"/>
    </row>
    <row r="33" spans="1:28">
      <c r="A33" s="233">
        <v>25</v>
      </c>
      <c r="B33" s="232" t="s">
        <v>67</v>
      </c>
      <c r="C33" s="12" t="s">
        <v>68</v>
      </c>
      <c r="D33" s="13" t="s">
        <v>23</v>
      </c>
      <c r="E33" s="198">
        <v>2113155335.7</v>
      </c>
      <c r="F33" s="24">
        <f>(E33/$O$79)</f>
        <v>3.2827787652559053E-4</v>
      </c>
      <c r="G33" s="13" t="s">
        <v>23</v>
      </c>
      <c r="H33" s="40">
        <v>1</v>
      </c>
      <c r="I33" s="13" t="s">
        <v>23</v>
      </c>
      <c r="J33" s="40">
        <v>1</v>
      </c>
      <c r="K33" s="201">
        <v>289</v>
      </c>
      <c r="L33" s="196">
        <v>0.20630000000000001</v>
      </c>
      <c r="M33" s="196">
        <v>0.20630000000000001</v>
      </c>
      <c r="N33" s="13" t="s">
        <v>23</v>
      </c>
      <c r="O33" s="54">
        <v>2125582549.73</v>
      </c>
      <c r="P33" s="24">
        <f t="shared" si="22"/>
        <v>3.3020843949177492E-4</v>
      </c>
      <c r="Q33" s="13" t="s">
        <v>23</v>
      </c>
      <c r="R33" s="40">
        <v>1</v>
      </c>
      <c r="S33" s="13" t="s">
        <v>23</v>
      </c>
      <c r="T33" s="40">
        <v>1</v>
      </c>
      <c r="U33" s="25">
        <v>303</v>
      </c>
      <c r="V33" s="26">
        <v>0.1799</v>
      </c>
      <c r="W33" s="26">
        <v>0.1799</v>
      </c>
      <c r="X33" s="27">
        <f t="shared" ref="X33" si="28">((O33-E33)/E33)</f>
        <v>5.8808805107947041E-3</v>
      </c>
      <c r="Y33" s="27">
        <f t="shared" ref="Y33" si="29">((T33-J33)/J33)</f>
        <v>0</v>
      </c>
      <c r="Z33" s="27">
        <f t="shared" ref="Z33" si="30">((U33-K33)/K33)</f>
        <v>4.8442906574394463E-2</v>
      </c>
      <c r="AA33" s="20">
        <f t="shared" ref="AA33" si="31">V33-L33</f>
        <v>-2.6400000000000007E-2</v>
      </c>
      <c r="AB33" s="21">
        <f t="shared" ref="AB33" si="32">W33-M33</f>
        <v>-2.6400000000000007E-2</v>
      </c>
    </row>
    <row r="34" spans="1:28">
      <c r="A34" s="233">
        <v>26</v>
      </c>
      <c r="B34" s="232" t="s">
        <v>69</v>
      </c>
      <c r="C34" s="12" t="s">
        <v>25</v>
      </c>
      <c r="D34" s="13" t="s">
        <v>23</v>
      </c>
      <c r="E34" s="198">
        <v>4305619763.4300003</v>
      </c>
      <c r="F34" s="24">
        <f>(E34/$O$79)</f>
        <v>6.6887639029016412E-4</v>
      </c>
      <c r="G34" s="13" t="s">
        <v>23</v>
      </c>
      <c r="H34" s="40">
        <v>100</v>
      </c>
      <c r="I34" s="13" t="s">
        <v>23</v>
      </c>
      <c r="J34" s="40">
        <v>100</v>
      </c>
      <c r="K34" s="201">
        <v>2870</v>
      </c>
      <c r="L34" s="196">
        <v>0.1699</v>
      </c>
      <c r="M34" s="196">
        <v>0.1699</v>
      </c>
      <c r="N34" s="13" t="s">
        <v>23</v>
      </c>
      <c r="O34" s="54">
        <v>4455945894.0200005</v>
      </c>
      <c r="P34" s="24">
        <f t="shared" si="22"/>
        <v>6.922294974199088E-4</v>
      </c>
      <c r="Q34" s="13" t="s">
        <v>23</v>
      </c>
      <c r="R34" s="40">
        <v>100</v>
      </c>
      <c r="S34" s="13" t="s">
        <v>23</v>
      </c>
      <c r="T34" s="40">
        <v>100</v>
      </c>
      <c r="U34" s="25">
        <v>3007</v>
      </c>
      <c r="V34" s="55">
        <v>0.17380000000000001</v>
      </c>
      <c r="W34" s="55">
        <v>0.17380000000000001</v>
      </c>
      <c r="X34" s="27">
        <f t="shared" si="23"/>
        <v>3.4913935472612505E-2</v>
      </c>
      <c r="Y34" s="27">
        <f t="shared" si="24"/>
        <v>0</v>
      </c>
      <c r="Z34" s="27">
        <f t="shared" si="25"/>
        <v>4.773519163763066E-2</v>
      </c>
      <c r="AA34" s="20">
        <f t="shared" si="26"/>
        <v>3.9000000000000146E-3</v>
      </c>
      <c r="AB34" s="21">
        <f t="shared" si="27"/>
        <v>3.9000000000000146E-3</v>
      </c>
    </row>
    <row r="35" spans="1:28">
      <c r="A35" s="233">
        <v>27</v>
      </c>
      <c r="B35" s="232" t="s">
        <v>70</v>
      </c>
      <c r="C35" s="12" t="s">
        <v>71</v>
      </c>
      <c r="D35" s="13" t="s">
        <v>23</v>
      </c>
      <c r="E35" s="198">
        <v>1973355556.4000001</v>
      </c>
      <c r="F35" s="24">
        <v>0</v>
      </c>
      <c r="G35" s="13" t="s">
        <v>23</v>
      </c>
      <c r="H35" s="40">
        <v>100</v>
      </c>
      <c r="I35" s="13" t="s">
        <v>23</v>
      </c>
      <c r="J35" s="40">
        <v>100</v>
      </c>
      <c r="K35" s="201">
        <v>207</v>
      </c>
      <c r="L35" s="196">
        <v>0.183615</v>
      </c>
      <c r="M35" s="196">
        <v>0.183615</v>
      </c>
      <c r="N35" s="13" t="s">
        <v>23</v>
      </c>
      <c r="O35" s="53">
        <v>1935414862.3800001</v>
      </c>
      <c r="P35" s="24">
        <f t="shared" si="22"/>
        <v>3.0066596169453313E-4</v>
      </c>
      <c r="Q35" s="13" t="s">
        <v>23</v>
      </c>
      <c r="R35" s="40">
        <v>100</v>
      </c>
      <c r="S35" s="13" t="s">
        <v>23</v>
      </c>
      <c r="T35" s="40">
        <v>100</v>
      </c>
      <c r="U35" s="25">
        <v>217</v>
      </c>
      <c r="V35" s="26">
        <v>0.185943</v>
      </c>
      <c r="W35" s="26">
        <v>0.185943</v>
      </c>
      <c r="X35" s="27">
        <f t="shared" ref="X35" si="33">((O35-E35)/E35)</f>
        <v>-1.9226486527960187E-2</v>
      </c>
      <c r="Y35" s="27">
        <f t="shared" ref="Y35" si="34">((T35-J35)/J35)</f>
        <v>0</v>
      </c>
      <c r="Z35" s="27">
        <f t="shared" ref="Z35" si="35">((U35-K35)/K35)</f>
        <v>4.8309178743961352E-2</v>
      </c>
      <c r="AA35" s="20">
        <f t="shared" ref="AA35" si="36">V35-L35</f>
        <v>2.3279999999999967E-3</v>
      </c>
      <c r="AB35" s="21">
        <f t="shared" ref="AB35" si="37">W35-M35</f>
        <v>2.3279999999999967E-3</v>
      </c>
    </row>
    <row r="36" spans="1:28">
      <c r="A36" s="233">
        <v>28</v>
      </c>
      <c r="B36" s="232" t="s">
        <v>72</v>
      </c>
      <c r="C36" s="12" t="s">
        <v>27</v>
      </c>
      <c r="D36" s="13" t="s">
        <v>23</v>
      </c>
      <c r="E36" s="198">
        <v>447975317939.53003</v>
      </c>
      <c r="F36" s="24">
        <f>(E36/$O$79)</f>
        <v>6.9592795013505349E-2</v>
      </c>
      <c r="G36" s="13" t="s">
        <v>23</v>
      </c>
      <c r="H36" s="40">
        <v>1</v>
      </c>
      <c r="I36" s="13" t="s">
        <v>23</v>
      </c>
      <c r="J36" s="40">
        <v>1</v>
      </c>
      <c r="K36" s="201">
        <v>89350</v>
      </c>
      <c r="L36" s="196">
        <v>0.16789999999999999</v>
      </c>
      <c r="M36" s="196">
        <v>0.16789999999999999</v>
      </c>
      <c r="N36" s="13" t="s">
        <v>23</v>
      </c>
      <c r="O36" s="54">
        <v>444452967571.84003</v>
      </c>
      <c r="P36" s="24">
        <f t="shared" si="22"/>
        <v>6.904559922550553E-2</v>
      </c>
      <c r="Q36" s="13" t="s">
        <v>23</v>
      </c>
      <c r="R36" s="40">
        <v>1</v>
      </c>
      <c r="S36" s="13" t="s">
        <v>23</v>
      </c>
      <c r="T36" s="40">
        <v>1</v>
      </c>
      <c r="U36" s="25">
        <v>89648</v>
      </c>
      <c r="V36" s="55">
        <v>0.16739999999999999</v>
      </c>
      <c r="W36" s="55">
        <v>0.16739999999999999</v>
      </c>
      <c r="X36" s="27">
        <f t="shared" si="23"/>
        <v>-7.8628224070270477E-3</v>
      </c>
      <c r="Y36" s="27">
        <f t="shared" si="24"/>
        <v>0</v>
      </c>
      <c r="Z36" s="27">
        <f t="shared" si="25"/>
        <v>3.3351986569669836E-3</v>
      </c>
      <c r="AA36" s="20">
        <f t="shared" si="26"/>
        <v>-5.0000000000000044E-4</v>
      </c>
      <c r="AB36" s="21">
        <f t="shared" si="27"/>
        <v>-5.0000000000000044E-4</v>
      </c>
    </row>
    <row r="37" spans="1:28">
      <c r="A37" s="233">
        <v>29</v>
      </c>
      <c r="B37" s="232" t="s">
        <v>73</v>
      </c>
      <c r="C37" s="12" t="s">
        <v>74</v>
      </c>
      <c r="D37" s="13" t="s">
        <v>23</v>
      </c>
      <c r="E37" s="198">
        <v>2405738331.1199999</v>
      </c>
      <c r="F37" s="24">
        <f>(E37/$O$79)</f>
        <v>3.737305334227501E-4</v>
      </c>
      <c r="G37" s="13" t="s">
        <v>23</v>
      </c>
      <c r="H37" s="40">
        <v>1</v>
      </c>
      <c r="I37" s="13" t="s">
        <v>23</v>
      </c>
      <c r="J37" s="40">
        <v>1</v>
      </c>
      <c r="K37" s="201">
        <v>441</v>
      </c>
      <c r="L37" s="196">
        <v>0.16750000000000001</v>
      </c>
      <c r="M37" s="196">
        <v>0.16750000000000001</v>
      </c>
      <c r="N37" s="13" t="s">
        <v>23</v>
      </c>
      <c r="O37" s="54">
        <v>2439588268.96</v>
      </c>
      <c r="P37" s="24">
        <f t="shared" si="22"/>
        <v>3.7898910837316069E-4</v>
      </c>
      <c r="Q37" s="13" t="s">
        <v>23</v>
      </c>
      <c r="R37" s="40">
        <v>1</v>
      </c>
      <c r="S37" s="13" t="s">
        <v>23</v>
      </c>
      <c r="T37" s="40">
        <v>1</v>
      </c>
      <c r="U37" s="25">
        <v>441</v>
      </c>
      <c r="V37" s="55">
        <v>0.17169999999999999</v>
      </c>
      <c r="W37" s="55">
        <v>0.17169999999999999</v>
      </c>
      <c r="X37" s="27">
        <f t="shared" si="23"/>
        <v>1.4070498608317553E-2</v>
      </c>
      <c r="Y37" s="27">
        <f t="shared" si="24"/>
        <v>0</v>
      </c>
      <c r="Z37" s="27">
        <f t="shared" si="25"/>
        <v>0</v>
      </c>
      <c r="AA37" s="20">
        <f t="shared" si="26"/>
        <v>4.1999999999999815E-3</v>
      </c>
      <c r="AB37" s="21">
        <f t="shared" si="27"/>
        <v>4.1999999999999815E-3</v>
      </c>
    </row>
    <row r="38" spans="1:28">
      <c r="A38" s="233">
        <v>30</v>
      </c>
      <c r="B38" s="232" t="s">
        <v>75</v>
      </c>
      <c r="C38" s="12" t="s">
        <v>29</v>
      </c>
      <c r="D38" s="13" t="s">
        <v>23</v>
      </c>
      <c r="E38" s="198">
        <v>180194155553.047</v>
      </c>
      <c r="F38" s="24">
        <f>(E38/$O$79)</f>
        <v>2.7993093431383287E-2</v>
      </c>
      <c r="G38" s="13" t="s">
        <v>23</v>
      </c>
      <c r="H38" s="40">
        <v>1</v>
      </c>
      <c r="I38" s="13" t="s">
        <v>23</v>
      </c>
      <c r="J38" s="40">
        <v>1</v>
      </c>
      <c r="K38" s="201">
        <v>42078</v>
      </c>
      <c r="L38" s="196">
        <v>0.15484957329440754</v>
      </c>
      <c r="M38" s="196">
        <v>0.15484957329440754</v>
      </c>
      <c r="N38" s="13" t="s">
        <v>23</v>
      </c>
      <c r="O38" s="54">
        <v>179368152511.457</v>
      </c>
      <c r="P38" s="24">
        <f t="shared" si="22"/>
        <v>2.7864774173486886E-2</v>
      </c>
      <c r="Q38" s="13" t="s">
        <v>23</v>
      </c>
      <c r="R38" s="40">
        <v>1</v>
      </c>
      <c r="S38" s="13" t="s">
        <v>23</v>
      </c>
      <c r="T38" s="40">
        <v>1</v>
      </c>
      <c r="U38" s="25">
        <v>42147</v>
      </c>
      <c r="V38" s="55">
        <v>0.15711112204527033</v>
      </c>
      <c r="W38" s="26">
        <v>0.15711112204527033</v>
      </c>
      <c r="X38" s="27">
        <f t="shared" si="23"/>
        <v>-4.5839613335673969E-3</v>
      </c>
      <c r="Y38" s="27">
        <f t="shared" si="24"/>
        <v>0</v>
      </c>
      <c r="Z38" s="27">
        <f t="shared" si="25"/>
        <v>1.6398117781263367E-3</v>
      </c>
      <c r="AA38" s="20">
        <f t="shared" si="26"/>
        <v>2.2615487508627907E-3</v>
      </c>
      <c r="AB38" s="21">
        <f t="shared" si="27"/>
        <v>2.2615487508627907E-3</v>
      </c>
    </row>
    <row r="39" spans="1:28">
      <c r="A39" s="233">
        <v>31</v>
      </c>
      <c r="B39" s="232" t="s">
        <v>76</v>
      </c>
      <c r="C39" s="12" t="s">
        <v>31</v>
      </c>
      <c r="D39" s="13" t="s">
        <v>23</v>
      </c>
      <c r="E39" s="253">
        <v>38025776114.360001</v>
      </c>
      <c r="F39" s="24">
        <f t="shared" ref="F39" si="38">(E39/$E$28)</f>
        <v>0.16456716464497853</v>
      </c>
      <c r="G39" s="13" t="s">
        <v>23</v>
      </c>
      <c r="H39" s="23">
        <v>1</v>
      </c>
      <c r="I39" s="13" t="s">
        <v>23</v>
      </c>
      <c r="J39" s="23">
        <v>1</v>
      </c>
      <c r="K39" s="201">
        <v>2959</v>
      </c>
      <c r="L39" s="196">
        <v>0.18720000000000001</v>
      </c>
      <c r="M39" s="196">
        <v>0.18720000000000001</v>
      </c>
      <c r="N39" s="13" t="s">
        <v>23</v>
      </c>
      <c r="O39" s="23">
        <v>38384818169.360001</v>
      </c>
      <c r="P39" s="24">
        <f t="shared" si="22"/>
        <v>5.9630668822953613E-3</v>
      </c>
      <c r="Q39" s="13" t="s">
        <v>23</v>
      </c>
      <c r="R39" s="23">
        <v>1</v>
      </c>
      <c r="S39" s="13" t="s">
        <v>23</v>
      </c>
      <c r="T39" s="23">
        <v>1</v>
      </c>
      <c r="U39" s="25">
        <v>2651</v>
      </c>
      <c r="V39" s="55">
        <v>0.19159999999999999</v>
      </c>
      <c r="W39" s="55">
        <v>0.19159999999999999</v>
      </c>
      <c r="X39" s="27">
        <f t="shared" si="23"/>
        <v>9.4420703977271848E-3</v>
      </c>
      <c r="Y39" s="27">
        <f t="shared" si="24"/>
        <v>0</v>
      </c>
      <c r="Z39" s="27">
        <f t="shared" si="25"/>
        <v>-0.10408921933085502</v>
      </c>
      <c r="AA39" s="20">
        <f t="shared" si="26"/>
        <v>4.3999999999999873E-3</v>
      </c>
      <c r="AB39" s="21">
        <f t="shared" si="27"/>
        <v>4.3999999999999873E-3</v>
      </c>
    </row>
    <row r="40" spans="1:28" ht="15" customHeight="1">
      <c r="A40" s="233">
        <v>32</v>
      </c>
      <c r="B40" s="232" t="s">
        <v>77</v>
      </c>
      <c r="C40" s="12" t="s">
        <v>53</v>
      </c>
      <c r="D40" s="13" t="s">
        <v>23</v>
      </c>
      <c r="E40" s="198">
        <v>48071785764.389999</v>
      </c>
      <c r="F40" s="24">
        <f>(E40/$O$79)</f>
        <v>7.4679336085340395E-3</v>
      </c>
      <c r="G40" s="13" t="s">
        <v>23</v>
      </c>
      <c r="H40" s="40">
        <v>100</v>
      </c>
      <c r="I40" s="13" t="s">
        <v>23</v>
      </c>
      <c r="J40" s="40">
        <v>100</v>
      </c>
      <c r="K40" s="201">
        <v>19011</v>
      </c>
      <c r="L40" s="196">
        <v>0.17810000000000001</v>
      </c>
      <c r="M40" s="196">
        <v>0.17810000000000001</v>
      </c>
      <c r="N40" s="13" t="s">
        <v>23</v>
      </c>
      <c r="O40" s="53">
        <v>47447420221.25</v>
      </c>
      <c r="P40" s="24">
        <f t="shared" si="22"/>
        <v>7.3709386592205528E-3</v>
      </c>
      <c r="Q40" s="13" t="s">
        <v>23</v>
      </c>
      <c r="R40" s="40">
        <v>100</v>
      </c>
      <c r="S40" s="13" t="s">
        <v>23</v>
      </c>
      <c r="T40" s="40">
        <v>100</v>
      </c>
      <c r="U40" s="25">
        <v>19237</v>
      </c>
      <c r="V40" s="26">
        <v>0.1825</v>
      </c>
      <c r="W40" s="26">
        <v>0.1825</v>
      </c>
      <c r="X40" s="27">
        <f t="shared" si="23"/>
        <v>-1.2988191164774846E-2</v>
      </c>
      <c r="Y40" s="27">
        <f t="shared" si="24"/>
        <v>0</v>
      </c>
      <c r="Z40" s="27">
        <f t="shared" si="25"/>
        <v>1.1887854400084162E-2</v>
      </c>
      <c r="AA40" s="20">
        <f t="shared" si="26"/>
        <v>4.3999999999999873E-3</v>
      </c>
      <c r="AB40" s="21">
        <f t="shared" si="27"/>
        <v>4.3999999999999873E-3</v>
      </c>
    </row>
    <row r="41" spans="1:28" ht="15" customHeight="1">
      <c r="A41" s="233">
        <v>33</v>
      </c>
      <c r="B41" s="232" t="s">
        <v>78</v>
      </c>
      <c r="C41" s="12" t="s">
        <v>79</v>
      </c>
      <c r="D41" s="13" t="s">
        <v>23</v>
      </c>
      <c r="E41" s="198">
        <v>3773812610.8400002</v>
      </c>
      <c r="F41" s="24">
        <f>(E41/$O$79)</f>
        <v>5.8626035169424384E-4</v>
      </c>
      <c r="G41" s="13" t="s">
        <v>23</v>
      </c>
      <c r="H41" s="40">
        <v>1</v>
      </c>
      <c r="I41" s="13" t="s">
        <v>23</v>
      </c>
      <c r="J41" s="40">
        <v>1</v>
      </c>
      <c r="K41" s="201">
        <v>881</v>
      </c>
      <c r="L41" s="196">
        <v>0.15</v>
      </c>
      <c r="M41" s="196">
        <v>0.15</v>
      </c>
      <c r="N41" s="13" t="s">
        <v>23</v>
      </c>
      <c r="O41" s="198">
        <v>3875091498.8800001</v>
      </c>
      <c r="P41" s="24">
        <f t="shared" si="22"/>
        <v>6.0199398837534977E-4</v>
      </c>
      <c r="Q41" s="13" t="s">
        <v>23</v>
      </c>
      <c r="R41" s="40">
        <v>1</v>
      </c>
      <c r="S41" s="13" t="s">
        <v>23</v>
      </c>
      <c r="T41" s="40">
        <v>1</v>
      </c>
      <c r="U41" s="25">
        <v>891</v>
      </c>
      <c r="V41" s="26">
        <v>0.18440000000000001</v>
      </c>
      <c r="W41" s="26">
        <v>0.18440000000000001</v>
      </c>
      <c r="X41" s="27">
        <f t="shared" si="23"/>
        <v>2.6837285918512165E-2</v>
      </c>
      <c r="Y41" s="27">
        <f t="shared" si="24"/>
        <v>0</v>
      </c>
      <c r="Z41" s="27">
        <f t="shared" si="25"/>
        <v>1.1350737797956867E-2</v>
      </c>
      <c r="AA41" s="20">
        <f t="shared" si="26"/>
        <v>3.4400000000000014E-2</v>
      </c>
      <c r="AB41" s="21">
        <f t="shared" si="27"/>
        <v>3.4400000000000014E-2</v>
      </c>
    </row>
    <row r="42" spans="1:28">
      <c r="A42" s="233">
        <v>34</v>
      </c>
      <c r="B42" s="232" t="s">
        <v>80</v>
      </c>
      <c r="C42" s="12" t="s">
        <v>81</v>
      </c>
      <c r="D42" s="13" t="s">
        <v>23</v>
      </c>
      <c r="E42" s="198">
        <v>112790177175.82001</v>
      </c>
      <c r="F42" s="24">
        <f>(E42/$O$79)</f>
        <v>1.752191106384424E-2</v>
      </c>
      <c r="G42" s="13" t="s">
        <v>23</v>
      </c>
      <c r="H42" s="40">
        <v>100</v>
      </c>
      <c r="I42" s="13" t="s">
        <v>23</v>
      </c>
      <c r="J42" s="40">
        <v>100</v>
      </c>
      <c r="K42" s="201">
        <v>6624</v>
      </c>
      <c r="L42" s="196">
        <v>0.182787316843359</v>
      </c>
      <c r="M42" s="196">
        <v>0.182787316843359</v>
      </c>
      <c r="N42" s="13" t="s">
        <v>23</v>
      </c>
      <c r="O42" s="53">
        <v>114075467407.75999</v>
      </c>
      <c r="P42" s="24">
        <f t="shared" ref="P42:P55" si="39">(O42/$O$79)</f>
        <v>1.7721580411824554E-2</v>
      </c>
      <c r="Q42" s="13" t="s">
        <v>23</v>
      </c>
      <c r="R42" s="40">
        <v>100</v>
      </c>
      <c r="S42" s="13" t="s">
        <v>23</v>
      </c>
      <c r="T42" s="40">
        <v>100</v>
      </c>
      <c r="U42" s="25">
        <v>6664</v>
      </c>
      <c r="V42" s="26">
        <v>0.18305684932420335</v>
      </c>
      <c r="W42" s="26">
        <v>0.18305684932420335</v>
      </c>
      <c r="X42" s="27">
        <f t="shared" si="23"/>
        <v>1.1395409282285692E-2</v>
      </c>
      <c r="Y42" s="27">
        <f t="shared" si="24"/>
        <v>0</v>
      </c>
      <c r="Z42" s="27">
        <f t="shared" si="25"/>
        <v>6.038647342995169E-3</v>
      </c>
      <c r="AA42" s="20">
        <f t="shared" si="26"/>
        <v>2.6953248084435333E-4</v>
      </c>
      <c r="AB42" s="21">
        <f t="shared" si="27"/>
        <v>2.6953248084435333E-4</v>
      </c>
    </row>
    <row r="43" spans="1:28">
      <c r="A43" s="233">
        <v>35</v>
      </c>
      <c r="B43" s="232" t="s">
        <v>82</v>
      </c>
      <c r="C43" s="12" t="s">
        <v>83</v>
      </c>
      <c r="D43" s="13" t="s">
        <v>23</v>
      </c>
      <c r="E43" s="198">
        <v>48134791380.07</v>
      </c>
      <c r="F43" s="24">
        <f>(E43/$O$79)</f>
        <v>7.4777215069318477E-3</v>
      </c>
      <c r="G43" s="13" t="s">
        <v>23</v>
      </c>
      <c r="H43" s="40">
        <v>100</v>
      </c>
      <c r="I43" s="13" t="s">
        <v>23</v>
      </c>
      <c r="J43" s="40">
        <v>100</v>
      </c>
      <c r="K43" s="201">
        <v>6132</v>
      </c>
      <c r="L43" s="196">
        <v>0.15840000000000001</v>
      </c>
      <c r="M43" s="196">
        <v>0.15840000000000001</v>
      </c>
      <c r="N43" s="13" t="s">
        <v>23</v>
      </c>
      <c r="O43" s="54">
        <v>47383649319.150002</v>
      </c>
      <c r="P43" s="24">
        <f t="shared" si="39"/>
        <v>7.3610318738688858E-3</v>
      </c>
      <c r="Q43" s="13" t="s">
        <v>23</v>
      </c>
      <c r="R43" s="40">
        <v>100</v>
      </c>
      <c r="S43" s="13" t="s">
        <v>23</v>
      </c>
      <c r="T43" s="40">
        <v>100</v>
      </c>
      <c r="U43" s="25">
        <v>6159</v>
      </c>
      <c r="V43" s="55">
        <v>0.16539999999999999</v>
      </c>
      <c r="W43" s="55">
        <v>0.16539999999999999</v>
      </c>
      <c r="X43" s="27">
        <f t="shared" si="23"/>
        <v>-1.5604971775799682E-2</v>
      </c>
      <c r="Y43" s="27">
        <f t="shared" si="24"/>
        <v>0</v>
      </c>
      <c r="Z43" s="27">
        <f t="shared" si="25"/>
        <v>4.4031311154598823E-3</v>
      </c>
      <c r="AA43" s="20">
        <f t="shared" si="26"/>
        <v>6.9999999999999785E-3</v>
      </c>
      <c r="AB43" s="21">
        <f t="shared" si="27"/>
        <v>6.9999999999999785E-3</v>
      </c>
    </row>
    <row r="44" spans="1:28">
      <c r="A44" s="233">
        <v>36</v>
      </c>
      <c r="B44" s="232" t="s">
        <v>84</v>
      </c>
      <c r="C44" s="12" t="s">
        <v>33</v>
      </c>
      <c r="D44" s="13" t="s">
        <v>23</v>
      </c>
      <c r="E44" s="198">
        <v>103597455062.45</v>
      </c>
      <c r="F44" s="24">
        <f>(E44/$O$79)</f>
        <v>1.6093825184929293E-2</v>
      </c>
      <c r="G44" s="13" t="s">
        <v>23</v>
      </c>
      <c r="H44" s="40">
        <v>1</v>
      </c>
      <c r="I44" s="13" t="s">
        <v>23</v>
      </c>
      <c r="J44" s="40">
        <v>1</v>
      </c>
      <c r="K44" s="201">
        <v>21402</v>
      </c>
      <c r="L44" s="196">
        <v>0.20349999999999999</v>
      </c>
      <c r="M44" s="196">
        <v>0.20349999999999999</v>
      </c>
      <c r="N44" s="13" t="s">
        <v>23</v>
      </c>
      <c r="O44" s="54">
        <v>103597455062.45</v>
      </c>
      <c r="P44" s="24">
        <f t="shared" si="39"/>
        <v>1.6093825184929293E-2</v>
      </c>
      <c r="Q44" s="13" t="s">
        <v>23</v>
      </c>
      <c r="R44" s="40">
        <v>1</v>
      </c>
      <c r="S44" s="13" t="s">
        <v>23</v>
      </c>
      <c r="T44" s="40">
        <v>1</v>
      </c>
      <c r="U44" s="25">
        <v>21692</v>
      </c>
      <c r="V44" s="55">
        <v>0.21110000000000001</v>
      </c>
      <c r="W44" s="55">
        <v>0.21110000000000001</v>
      </c>
      <c r="X44" s="27">
        <f t="shared" si="23"/>
        <v>0</v>
      </c>
      <c r="Y44" s="27">
        <f t="shared" si="24"/>
        <v>0</v>
      </c>
      <c r="Z44" s="27">
        <f t="shared" si="25"/>
        <v>1.3550135501355014E-2</v>
      </c>
      <c r="AA44" s="20">
        <f t="shared" si="26"/>
        <v>7.6000000000000234E-3</v>
      </c>
      <c r="AB44" s="21">
        <f t="shared" si="27"/>
        <v>7.6000000000000234E-3</v>
      </c>
    </row>
    <row r="45" spans="1:28">
      <c r="A45" s="233">
        <v>37</v>
      </c>
      <c r="B45" s="232" t="s">
        <v>85</v>
      </c>
      <c r="C45" s="12" t="s">
        <v>86</v>
      </c>
      <c r="D45" s="13" t="s">
        <v>23</v>
      </c>
      <c r="E45" s="198">
        <v>2659619300.4299998</v>
      </c>
      <c r="F45" s="24">
        <v>0</v>
      </c>
      <c r="G45" s="13" t="s">
        <v>23</v>
      </c>
      <c r="H45" s="40">
        <v>1000</v>
      </c>
      <c r="I45" s="13" t="s">
        <v>23</v>
      </c>
      <c r="J45" s="40">
        <v>1000</v>
      </c>
      <c r="K45" s="201">
        <v>337</v>
      </c>
      <c r="L45" s="196">
        <v>0.20539293</v>
      </c>
      <c r="M45" s="196">
        <v>0.20539293</v>
      </c>
      <c r="N45" s="13" t="s">
        <v>23</v>
      </c>
      <c r="O45" s="53">
        <v>2659599998.2199998</v>
      </c>
      <c r="P45" s="24">
        <f t="shared" si="39"/>
        <v>4.1316784671388502E-4</v>
      </c>
      <c r="Q45" s="13" t="s">
        <v>23</v>
      </c>
      <c r="R45" s="40">
        <v>1000</v>
      </c>
      <c r="S45" s="13" t="s">
        <v>23</v>
      </c>
      <c r="T45" s="40">
        <v>1000</v>
      </c>
      <c r="U45" s="25">
        <v>406</v>
      </c>
      <c r="V45" s="55">
        <v>0.20509561000000001</v>
      </c>
      <c r="W45" s="26">
        <v>0.20509561000000001</v>
      </c>
      <c r="X45" s="27">
        <f t="shared" si="23"/>
        <v>-7.2575086204696365E-6</v>
      </c>
      <c r="Y45" s="27">
        <f t="shared" si="24"/>
        <v>0</v>
      </c>
      <c r="Z45" s="27">
        <f t="shared" si="25"/>
        <v>0.20474777448071216</v>
      </c>
      <c r="AA45" s="20">
        <f t="shared" si="26"/>
        <v>-2.9731999999998981E-4</v>
      </c>
      <c r="AB45" s="21">
        <f t="shared" si="27"/>
        <v>-2.9731999999998981E-4</v>
      </c>
    </row>
    <row r="46" spans="1:28">
      <c r="A46" s="233">
        <v>38</v>
      </c>
      <c r="B46" s="232" t="s">
        <v>87</v>
      </c>
      <c r="C46" s="12" t="s">
        <v>88</v>
      </c>
      <c r="D46" s="13" t="s">
        <v>23</v>
      </c>
      <c r="E46" s="198">
        <v>87921829929.929993</v>
      </c>
      <c r="F46" s="24">
        <f t="shared" ref="F46:F55" si="40">(E46/$O$79)</f>
        <v>1.3658622791249036E-2</v>
      </c>
      <c r="G46" s="13" t="s">
        <v>23</v>
      </c>
      <c r="H46" s="58">
        <v>100</v>
      </c>
      <c r="I46" s="13" t="s">
        <v>23</v>
      </c>
      <c r="J46" s="58">
        <v>100</v>
      </c>
      <c r="K46" s="201">
        <v>5087</v>
      </c>
      <c r="L46" s="196">
        <v>0.15390000000000001</v>
      </c>
      <c r="M46" s="196">
        <v>0.15390000000000001</v>
      </c>
      <c r="N46" s="13" t="s">
        <v>23</v>
      </c>
      <c r="O46" s="54">
        <v>82079853992.050003</v>
      </c>
      <c r="P46" s="24">
        <f t="shared" si="39"/>
        <v>1.275107405443762E-2</v>
      </c>
      <c r="Q46" s="13" t="s">
        <v>23</v>
      </c>
      <c r="R46" s="58">
        <v>100</v>
      </c>
      <c r="S46" s="13" t="s">
        <v>23</v>
      </c>
      <c r="T46" s="58">
        <v>100</v>
      </c>
      <c r="U46" s="25">
        <v>5087</v>
      </c>
      <c r="V46" s="55">
        <v>0.16059999999999999</v>
      </c>
      <c r="W46" s="55">
        <v>0.16059999999999999</v>
      </c>
      <c r="X46" s="27">
        <f t="shared" si="23"/>
        <v>-6.6445113148074816E-2</v>
      </c>
      <c r="Y46" s="27">
        <f t="shared" si="24"/>
        <v>0</v>
      </c>
      <c r="Z46" s="27">
        <f t="shared" si="25"/>
        <v>0</v>
      </c>
      <c r="AA46" s="20">
        <f t="shared" si="26"/>
        <v>6.6999999999999837E-3</v>
      </c>
      <c r="AB46" s="21">
        <f t="shared" si="27"/>
        <v>6.6999999999999837E-3</v>
      </c>
    </row>
    <row r="47" spans="1:28">
      <c r="A47" s="233">
        <v>39</v>
      </c>
      <c r="B47" s="232" t="s">
        <v>89</v>
      </c>
      <c r="C47" s="12" t="s">
        <v>88</v>
      </c>
      <c r="D47" s="13" t="s">
        <v>23</v>
      </c>
      <c r="E47" s="198">
        <v>9345519432.6499996</v>
      </c>
      <c r="F47" s="24">
        <f t="shared" si="40"/>
        <v>1.4518228842664363E-3</v>
      </c>
      <c r="G47" s="13" t="s">
        <v>23</v>
      </c>
      <c r="H47" s="58">
        <v>1000000</v>
      </c>
      <c r="I47" s="13" t="s">
        <v>23</v>
      </c>
      <c r="J47" s="58">
        <v>1000000</v>
      </c>
      <c r="K47" s="201">
        <v>50</v>
      </c>
      <c r="L47" s="196">
        <v>0.15909999999999999</v>
      </c>
      <c r="M47" s="196">
        <v>0.15909999999999999</v>
      </c>
      <c r="N47" s="13" t="s">
        <v>23</v>
      </c>
      <c r="O47" s="54">
        <v>9371074111.5499992</v>
      </c>
      <c r="P47" s="24">
        <f t="shared" si="39"/>
        <v>1.455792793900082E-3</v>
      </c>
      <c r="Q47" s="13" t="s">
        <v>23</v>
      </c>
      <c r="R47" s="58">
        <v>1000000</v>
      </c>
      <c r="S47" s="13" t="s">
        <v>23</v>
      </c>
      <c r="T47" s="58">
        <v>1000000</v>
      </c>
      <c r="U47" s="25">
        <v>50</v>
      </c>
      <c r="V47" s="55">
        <v>0.1598</v>
      </c>
      <c r="W47" s="55">
        <v>0.1598</v>
      </c>
      <c r="X47" s="27">
        <f t="shared" si="23"/>
        <v>2.7344310911944013E-3</v>
      </c>
      <c r="Y47" s="27">
        <f t="shared" si="24"/>
        <v>0</v>
      </c>
      <c r="Z47" s="27">
        <f t="shared" si="25"/>
        <v>0</v>
      </c>
      <c r="AA47" s="20">
        <f t="shared" si="26"/>
        <v>7.0000000000000617E-4</v>
      </c>
      <c r="AB47" s="21">
        <f t="shared" si="27"/>
        <v>7.0000000000000617E-4</v>
      </c>
    </row>
    <row r="48" spans="1:28">
      <c r="A48" s="233">
        <v>40</v>
      </c>
      <c r="B48" s="232" t="s">
        <v>90</v>
      </c>
      <c r="C48" s="12" t="s">
        <v>91</v>
      </c>
      <c r="D48" s="13" t="s">
        <v>23</v>
      </c>
      <c r="E48" s="198">
        <v>9731281954.6000004</v>
      </c>
      <c r="F48" s="24">
        <f t="shared" si="40"/>
        <v>1.5117509451190725E-3</v>
      </c>
      <c r="G48" s="13" t="s">
        <v>23</v>
      </c>
      <c r="H48" s="40">
        <v>1</v>
      </c>
      <c r="I48" s="13" t="s">
        <v>23</v>
      </c>
      <c r="J48" s="40">
        <v>1</v>
      </c>
      <c r="K48" s="201">
        <v>1358</v>
      </c>
      <c r="L48" s="196">
        <v>0.17560000000000001</v>
      </c>
      <c r="M48" s="196">
        <v>0.17560000000000001</v>
      </c>
      <c r="N48" s="13" t="s">
        <v>23</v>
      </c>
      <c r="O48" s="53">
        <v>9819826114.6399994</v>
      </c>
      <c r="P48" s="24">
        <f t="shared" si="39"/>
        <v>1.5255062466558828E-3</v>
      </c>
      <c r="Q48" s="13" t="s">
        <v>23</v>
      </c>
      <c r="R48" s="40">
        <v>1</v>
      </c>
      <c r="S48" s="13" t="s">
        <v>23</v>
      </c>
      <c r="T48" s="40">
        <v>1</v>
      </c>
      <c r="U48" s="25">
        <v>1367</v>
      </c>
      <c r="V48" s="26">
        <v>0.18290000000000001</v>
      </c>
      <c r="W48" s="26">
        <v>0.18290000000000001</v>
      </c>
      <c r="X48" s="27">
        <f t="shared" si="23"/>
        <v>9.0989204149144985E-3</v>
      </c>
      <c r="Y48" s="27">
        <f t="shared" si="24"/>
        <v>0</v>
      </c>
      <c r="Z48" s="27">
        <f t="shared" si="25"/>
        <v>6.6273932253313695E-3</v>
      </c>
      <c r="AA48" s="20">
        <f t="shared" si="26"/>
        <v>7.3000000000000009E-3</v>
      </c>
      <c r="AB48" s="21">
        <f t="shared" si="27"/>
        <v>7.3000000000000009E-3</v>
      </c>
    </row>
    <row r="49" spans="1:28">
      <c r="A49" s="233">
        <v>41</v>
      </c>
      <c r="B49" s="232" t="s">
        <v>92</v>
      </c>
      <c r="C49" s="12" t="s">
        <v>37</v>
      </c>
      <c r="D49" s="13" t="s">
        <v>23</v>
      </c>
      <c r="E49" s="198">
        <v>72122325670.800003</v>
      </c>
      <c r="F49" s="24">
        <f t="shared" si="40"/>
        <v>1.1204175822433984E-2</v>
      </c>
      <c r="G49" s="13" t="s">
        <v>23</v>
      </c>
      <c r="H49" s="40">
        <v>1</v>
      </c>
      <c r="I49" s="13" t="s">
        <v>23</v>
      </c>
      <c r="J49" s="40">
        <v>1</v>
      </c>
      <c r="K49" s="201">
        <v>4460</v>
      </c>
      <c r="L49" s="196">
        <v>0.1638</v>
      </c>
      <c r="M49" s="196">
        <v>0.1638</v>
      </c>
      <c r="N49" s="13" t="s">
        <v>23</v>
      </c>
      <c r="O49" s="54">
        <v>72596915015.710007</v>
      </c>
      <c r="P49" s="24">
        <f t="shared" si="39"/>
        <v>1.1277903096400392E-2</v>
      </c>
      <c r="Q49" s="13" t="s">
        <v>23</v>
      </c>
      <c r="R49" s="40">
        <v>1</v>
      </c>
      <c r="S49" s="13" t="s">
        <v>23</v>
      </c>
      <c r="T49" s="40">
        <v>1</v>
      </c>
      <c r="U49" s="25">
        <v>4469</v>
      </c>
      <c r="V49" s="55">
        <v>0.16500000000000001</v>
      </c>
      <c r="W49" s="55">
        <v>0.16500000000000001</v>
      </c>
      <c r="X49" s="27">
        <f>((O49-E49)/E49)</f>
        <v>6.5803388963945946E-3</v>
      </c>
      <c r="Y49" s="27">
        <f>((T49-J49)/J49)</f>
        <v>0</v>
      </c>
      <c r="Z49" s="27">
        <f>((U49-K49)/K49)</f>
        <v>2.0179372197309418E-3</v>
      </c>
      <c r="AA49" s="20">
        <f>V49-L49</f>
        <v>1.2000000000000066E-3</v>
      </c>
      <c r="AB49" s="21">
        <f>W49-M49</f>
        <v>1.2000000000000066E-3</v>
      </c>
    </row>
    <row r="50" spans="1:28">
      <c r="A50" s="233">
        <v>42</v>
      </c>
      <c r="B50" s="232" t="s">
        <v>93</v>
      </c>
      <c r="C50" s="12" t="s">
        <v>39</v>
      </c>
      <c r="D50" s="13" t="s">
        <v>23</v>
      </c>
      <c r="E50" s="198">
        <v>748189537877.33997</v>
      </c>
      <c r="F50" s="24">
        <f t="shared" si="40"/>
        <v>0.11623095973286525</v>
      </c>
      <c r="G50" s="13" t="s">
        <v>23</v>
      </c>
      <c r="H50" s="40">
        <v>100</v>
      </c>
      <c r="I50" s="13" t="s">
        <v>23</v>
      </c>
      <c r="J50" s="40">
        <v>100</v>
      </c>
      <c r="K50" s="201">
        <v>44578</v>
      </c>
      <c r="L50" s="196">
        <v>0.15690000000000001</v>
      </c>
      <c r="M50" s="196">
        <v>0.15690000000000001</v>
      </c>
      <c r="N50" s="13" t="s">
        <v>23</v>
      </c>
      <c r="O50" s="54">
        <v>755540900014.60999</v>
      </c>
      <c r="P50" s="24">
        <f t="shared" si="39"/>
        <v>0.11737299104084489</v>
      </c>
      <c r="Q50" s="13" t="s">
        <v>23</v>
      </c>
      <c r="R50" s="40">
        <v>100</v>
      </c>
      <c r="S50" s="13" t="s">
        <v>23</v>
      </c>
      <c r="T50" s="40">
        <v>100</v>
      </c>
      <c r="U50" s="25">
        <v>44804</v>
      </c>
      <c r="V50" s="55">
        <v>0.15759999999999999</v>
      </c>
      <c r="W50" s="55">
        <v>0.15759999999999999</v>
      </c>
      <c r="X50" s="27">
        <f t="shared" si="23"/>
        <v>9.825534527155096E-3</v>
      </c>
      <c r="Y50" s="27">
        <f t="shared" si="24"/>
        <v>0</v>
      </c>
      <c r="Z50" s="27">
        <f t="shared" si="25"/>
        <v>5.0697653551079009E-3</v>
      </c>
      <c r="AA50" s="20">
        <f t="shared" si="26"/>
        <v>6.9999999999997842E-4</v>
      </c>
      <c r="AB50" s="21">
        <f t="shared" si="27"/>
        <v>6.9999999999997842E-4</v>
      </c>
    </row>
    <row r="51" spans="1:28">
      <c r="A51" s="233">
        <v>43</v>
      </c>
      <c r="B51" s="232" t="s">
        <v>94</v>
      </c>
      <c r="C51" s="12" t="s">
        <v>95</v>
      </c>
      <c r="D51" s="13" t="s">
        <v>23</v>
      </c>
      <c r="E51" s="255">
        <v>13309342951.25</v>
      </c>
      <c r="F51" s="24">
        <f t="shared" si="40"/>
        <v>2.0676013581083308E-3</v>
      </c>
      <c r="G51" s="13" t="s">
        <v>23</v>
      </c>
      <c r="H51" s="40">
        <v>1</v>
      </c>
      <c r="I51" s="13" t="s">
        <v>23</v>
      </c>
      <c r="J51" s="40">
        <v>1</v>
      </c>
      <c r="K51" s="257">
        <v>2782</v>
      </c>
      <c r="L51" s="258">
        <v>0.18140000000000001</v>
      </c>
      <c r="M51" s="258">
        <v>0.18140000000000001</v>
      </c>
      <c r="N51" s="13" t="s">
        <v>23</v>
      </c>
      <c r="O51" s="59">
        <v>13713198665.93</v>
      </c>
      <c r="P51" s="24">
        <f t="shared" si="39"/>
        <v>2.1303401895600934E-3</v>
      </c>
      <c r="Q51" s="13" t="s">
        <v>23</v>
      </c>
      <c r="R51" s="40">
        <v>1</v>
      </c>
      <c r="S51" s="13" t="s">
        <v>23</v>
      </c>
      <c r="T51" s="40">
        <v>1</v>
      </c>
      <c r="U51" s="60">
        <v>2782</v>
      </c>
      <c r="V51" s="61">
        <v>0.18099999999999999</v>
      </c>
      <c r="W51" s="61">
        <v>0.18099999999999999</v>
      </c>
      <c r="X51" s="27">
        <f t="shared" si="23"/>
        <v>3.0343775508622731E-2</v>
      </c>
      <c r="Y51" s="27">
        <f t="shared" si="24"/>
        <v>0</v>
      </c>
      <c r="Z51" s="27">
        <f t="shared" si="25"/>
        <v>0</v>
      </c>
      <c r="AA51" s="20">
        <f t="shared" si="26"/>
        <v>-4.0000000000001146E-4</v>
      </c>
      <c r="AB51" s="21">
        <f t="shared" si="27"/>
        <v>-4.0000000000001146E-4</v>
      </c>
    </row>
    <row r="52" spans="1:28">
      <c r="A52" s="233">
        <v>44</v>
      </c>
      <c r="B52" s="232" t="s">
        <v>96</v>
      </c>
      <c r="C52" s="12" t="s">
        <v>97</v>
      </c>
      <c r="D52" s="13" t="s">
        <v>23</v>
      </c>
      <c r="E52" s="198">
        <v>7853984670.0799999</v>
      </c>
      <c r="F52" s="24">
        <f t="shared" si="40"/>
        <v>1.2201135270088054E-3</v>
      </c>
      <c r="G52" s="13" t="s">
        <v>23</v>
      </c>
      <c r="H52" s="40">
        <v>1</v>
      </c>
      <c r="I52" s="13" t="s">
        <v>23</v>
      </c>
      <c r="J52" s="40">
        <v>1</v>
      </c>
      <c r="K52" s="257">
        <v>1090</v>
      </c>
      <c r="L52" s="258">
        <v>0.14974999999999999</v>
      </c>
      <c r="M52" s="258">
        <v>0.14974999999999999</v>
      </c>
      <c r="N52" s="13" t="s">
        <v>23</v>
      </c>
      <c r="O52" s="53">
        <v>7870056492.1599998</v>
      </c>
      <c r="P52" s="24">
        <f t="shared" si="39"/>
        <v>1.2226102784473698E-3</v>
      </c>
      <c r="Q52" s="13" t="s">
        <v>23</v>
      </c>
      <c r="R52" s="40">
        <v>1</v>
      </c>
      <c r="S52" s="13" t="s">
        <v>23</v>
      </c>
      <c r="T52" s="40">
        <v>1</v>
      </c>
      <c r="U52" s="60">
        <v>1098</v>
      </c>
      <c r="V52" s="61">
        <v>0.16</v>
      </c>
      <c r="W52" s="61">
        <v>0.16</v>
      </c>
      <c r="X52" s="27">
        <f t="shared" si="23"/>
        <v>2.0463271517738037E-3</v>
      </c>
      <c r="Y52" s="27">
        <f t="shared" si="24"/>
        <v>0</v>
      </c>
      <c r="Z52" s="27">
        <f t="shared" si="25"/>
        <v>7.3394495412844041E-3</v>
      </c>
      <c r="AA52" s="20">
        <f t="shared" si="26"/>
        <v>1.0250000000000009E-2</v>
      </c>
      <c r="AB52" s="21">
        <f t="shared" si="27"/>
        <v>1.0250000000000009E-2</v>
      </c>
    </row>
    <row r="53" spans="1:28">
      <c r="A53" s="233">
        <v>45</v>
      </c>
      <c r="B53" s="232" t="s">
        <v>98</v>
      </c>
      <c r="C53" s="12" t="s">
        <v>99</v>
      </c>
      <c r="D53" s="13" t="s">
        <v>23</v>
      </c>
      <c r="E53" s="198">
        <v>59681142</v>
      </c>
      <c r="F53" s="24">
        <f t="shared" si="40"/>
        <v>9.2714426778721521E-6</v>
      </c>
      <c r="G53" s="13" t="s">
        <v>23</v>
      </c>
      <c r="H53" s="40">
        <v>1</v>
      </c>
      <c r="I53" s="13" t="s">
        <v>23</v>
      </c>
      <c r="J53" s="40">
        <v>1</v>
      </c>
      <c r="K53" s="257">
        <v>37</v>
      </c>
      <c r="L53" s="258">
        <v>0.105</v>
      </c>
      <c r="M53" s="258">
        <v>0.105</v>
      </c>
      <c r="N53" s="13" t="s">
        <v>23</v>
      </c>
      <c r="O53" s="53">
        <v>62731142</v>
      </c>
      <c r="P53" s="24">
        <f t="shared" si="39"/>
        <v>9.7452590161639035E-6</v>
      </c>
      <c r="Q53" s="13" t="s">
        <v>23</v>
      </c>
      <c r="R53" s="40">
        <v>1</v>
      </c>
      <c r="S53" s="13" t="s">
        <v>23</v>
      </c>
      <c r="T53" s="40">
        <v>1</v>
      </c>
      <c r="U53" s="60">
        <v>35</v>
      </c>
      <c r="V53" s="61">
        <v>0.105</v>
      </c>
      <c r="W53" s="61">
        <v>0.105</v>
      </c>
      <c r="X53" s="27">
        <f t="shared" si="23"/>
        <v>5.1104920210809639E-2</v>
      </c>
      <c r="Y53" s="27">
        <f t="shared" si="24"/>
        <v>0</v>
      </c>
      <c r="Z53" s="27">
        <f t="shared" si="25"/>
        <v>-5.4054054054054057E-2</v>
      </c>
      <c r="AA53" s="20">
        <f t="shared" si="26"/>
        <v>0</v>
      </c>
      <c r="AB53" s="21">
        <f t="shared" si="27"/>
        <v>0</v>
      </c>
    </row>
    <row r="54" spans="1:28">
      <c r="A54" s="233">
        <v>46</v>
      </c>
      <c r="B54" s="232" t="s">
        <v>100</v>
      </c>
      <c r="C54" s="12" t="s">
        <v>101</v>
      </c>
      <c r="D54" s="13" t="s">
        <v>23</v>
      </c>
      <c r="E54" s="198">
        <v>2262746003.6500001</v>
      </c>
      <c r="F54" s="24">
        <f t="shared" si="40"/>
        <v>3.5151672981434016E-4</v>
      </c>
      <c r="G54" s="13" t="s">
        <v>23</v>
      </c>
      <c r="H54" s="40">
        <v>10</v>
      </c>
      <c r="I54" s="13" t="s">
        <v>23</v>
      </c>
      <c r="J54" s="40">
        <v>10</v>
      </c>
      <c r="K54" s="201">
        <v>597</v>
      </c>
      <c r="L54" s="196">
        <v>0.1643</v>
      </c>
      <c r="M54" s="196">
        <v>0.1643</v>
      </c>
      <c r="N54" s="13" t="s">
        <v>23</v>
      </c>
      <c r="O54" s="53">
        <v>2221539722.15452</v>
      </c>
      <c r="P54" s="24">
        <f t="shared" si="39"/>
        <v>3.4511534967899339E-4</v>
      </c>
      <c r="Q54" s="13" t="s">
        <v>23</v>
      </c>
      <c r="R54" s="40">
        <v>10</v>
      </c>
      <c r="S54" s="13" t="s">
        <v>23</v>
      </c>
      <c r="T54" s="40">
        <v>10</v>
      </c>
      <c r="U54" s="25">
        <v>594</v>
      </c>
      <c r="V54" s="26">
        <v>0.16439999999999999</v>
      </c>
      <c r="W54" s="26">
        <v>0.16439999999999999</v>
      </c>
      <c r="X54" s="27">
        <f t="shared" si="23"/>
        <v>-1.8210741032802999E-2</v>
      </c>
      <c r="Y54" s="27">
        <f t="shared" si="24"/>
        <v>0</v>
      </c>
      <c r="Z54" s="27">
        <f t="shared" si="25"/>
        <v>-5.0251256281407036E-3</v>
      </c>
      <c r="AA54" s="20">
        <f t="shared" si="26"/>
        <v>9.9999999999988987E-5</v>
      </c>
      <c r="AB54" s="21">
        <f t="shared" si="27"/>
        <v>9.9999999999988987E-5</v>
      </c>
    </row>
    <row r="55" spans="1:28">
      <c r="A55" s="233">
        <v>47</v>
      </c>
      <c r="B55" s="232" t="s">
        <v>102</v>
      </c>
      <c r="C55" s="12" t="s">
        <v>103</v>
      </c>
      <c r="D55" s="13" t="s">
        <v>23</v>
      </c>
      <c r="E55" s="198">
        <v>15704685848.17</v>
      </c>
      <c r="F55" s="24">
        <f t="shared" si="40"/>
        <v>2.4397169647876068E-3</v>
      </c>
      <c r="G55" s="13" t="s">
        <v>23</v>
      </c>
      <c r="H55" s="40">
        <v>100</v>
      </c>
      <c r="I55" s="13" t="s">
        <v>23</v>
      </c>
      <c r="J55" s="40">
        <v>100</v>
      </c>
      <c r="K55" s="201">
        <v>1152</v>
      </c>
      <c r="L55" s="196">
        <v>0.18959999999999999</v>
      </c>
      <c r="M55" s="196">
        <v>0.18959999999999999</v>
      </c>
      <c r="N55" s="13" t="s">
        <v>23</v>
      </c>
      <c r="O55" s="53">
        <v>15687087317.030001</v>
      </c>
      <c r="P55" s="24">
        <f t="shared" si="39"/>
        <v>2.4369830396780761E-3</v>
      </c>
      <c r="Q55" s="13" t="s">
        <v>23</v>
      </c>
      <c r="R55" s="40">
        <v>100</v>
      </c>
      <c r="S55" s="13" t="s">
        <v>23</v>
      </c>
      <c r="T55" s="40">
        <v>100</v>
      </c>
      <c r="U55" s="25">
        <v>1163</v>
      </c>
      <c r="V55" s="26">
        <v>0.19750000000000001</v>
      </c>
      <c r="W55" s="26">
        <v>0.19750000000000001</v>
      </c>
      <c r="X55" s="27">
        <f t="shared" si="23"/>
        <v>-1.1205910968317824E-3</v>
      </c>
      <c r="Y55" s="27">
        <f t="shared" si="24"/>
        <v>0</v>
      </c>
      <c r="Z55" s="27">
        <f t="shared" si="25"/>
        <v>9.5486111111111119E-3</v>
      </c>
      <c r="AA55" s="20">
        <f t="shared" si="26"/>
        <v>7.9000000000000181E-3</v>
      </c>
      <c r="AB55" s="21">
        <f t="shared" si="27"/>
        <v>7.9000000000000181E-3</v>
      </c>
    </row>
    <row r="56" spans="1:28">
      <c r="A56" s="233">
        <v>48</v>
      </c>
      <c r="B56" s="232" t="s">
        <v>104</v>
      </c>
      <c r="C56" s="36" t="s">
        <v>105</v>
      </c>
      <c r="D56" s="13" t="s">
        <v>23</v>
      </c>
      <c r="E56" s="256">
        <v>210756468.34</v>
      </c>
      <c r="F56" s="24">
        <v>0</v>
      </c>
      <c r="G56" s="13" t="s">
        <v>23</v>
      </c>
      <c r="H56" s="23">
        <v>1</v>
      </c>
      <c r="I56" s="13" t="s">
        <v>23</v>
      </c>
      <c r="J56" s="23">
        <v>1</v>
      </c>
      <c r="K56" s="201">
        <v>167</v>
      </c>
      <c r="L56" s="196">
        <v>0.16719999999999999</v>
      </c>
      <c r="M56" s="196">
        <v>0.16719999999999999</v>
      </c>
      <c r="N56" s="13" t="s">
        <v>23</v>
      </c>
      <c r="O56" s="62">
        <v>210819552.93000001</v>
      </c>
      <c r="P56" s="63">
        <f>(O56/$O$207)</f>
        <v>1.3678462903459049E-3</v>
      </c>
      <c r="Q56" s="13" t="s">
        <v>23</v>
      </c>
      <c r="R56" s="23">
        <v>1.1599999999999999</v>
      </c>
      <c r="S56" s="13" t="s">
        <v>23</v>
      </c>
      <c r="T56" s="23">
        <v>1.1599999999999999</v>
      </c>
      <c r="U56" s="25">
        <v>167</v>
      </c>
      <c r="V56" s="26">
        <v>0.1555</v>
      </c>
      <c r="W56" s="55">
        <v>0.1555</v>
      </c>
      <c r="X56" s="20">
        <f t="shared" si="23"/>
        <v>2.9932457350838326E-4</v>
      </c>
      <c r="Y56" s="20">
        <f t="shared" si="24"/>
        <v>0.15999999999999992</v>
      </c>
      <c r="Z56" s="20">
        <f t="shared" si="25"/>
        <v>0</v>
      </c>
      <c r="AA56" s="20">
        <f t="shared" si="26"/>
        <v>-1.1699999999999988E-2</v>
      </c>
      <c r="AB56" s="21">
        <f t="shared" si="27"/>
        <v>-1.1699999999999988E-2</v>
      </c>
    </row>
    <row r="57" spans="1:28">
      <c r="A57" s="233">
        <v>49</v>
      </c>
      <c r="B57" s="232" t="s">
        <v>106</v>
      </c>
      <c r="C57" s="12" t="s">
        <v>45</v>
      </c>
      <c r="D57" s="13" t="s">
        <v>23</v>
      </c>
      <c r="E57" s="198">
        <v>6542088704.0500002</v>
      </c>
      <c r="F57" s="24">
        <f t="shared" ref="F57:F78" si="41">(E57/$O$79)</f>
        <v>1.0163109883714104E-3</v>
      </c>
      <c r="G57" s="13" t="s">
        <v>23</v>
      </c>
      <c r="H57" s="40">
        <v>100</v>
      </c>
      <c r="I57" s="13" t="s">
        <v>23</v>
      </c>
      <c r="J57" s="40">
        <v>100</v>
      </c>
      <c r="K57" s="201">
        <v>26749</v>
      </c>
      <c r="L57" s="196">
        <v>0.15722842000000001</v>
      </c>
      <c r="M57" s="196">
        <v>0.15722842000000001</v>
      </c>
      <c r="N57" s="13" t="s">
        <v>23</v>
      </c>
      <c r="O57" s="53">
        <v>6692072682.1499996</v>
      </c>
      <c r="P57" s="24">
        <f t="shared" ref="P57:P71" si="42">(O57/$O$79)</f>
        <v>1.0396109422421552E-3</v>
      </c>
      <c r="Q57" s="13" t="s">
        <v>23</v>
      </c>
      <c r="R57" s="40">
        <v>100</v>
      </c>
      <c r="S57" s="13" t="s">
        <v>23</v>
      </c>
      <c r="T57" s="40">
        <v>100</v>
      </c>
      <c r="U57" s="25">
        <v>27228</v>
      </c>
      <c r="V57" s="26">
        <v>0.15241278999999999</v>
      </c>
      <c r="W57" s="26">
        <v>0.15241278999999999</v>
      </c>
      <c r="X57" s="27">
        <f t="shared" ref="X57" si="43">((O57-E57)/E57)</f>
        <v>2.2926008020519362E-2</v>
      </c>
      <c r="Y57" s="27">
        <f t="shared" ref="Y57" si="44">((T57-J57)/J57)</f>
        <v>0</v>
      </c>
      <c r="Z57" s="27">
        <f t="shared" ref="Z57" si="45">((U57-K57)/K57)</f>
        <v>1.7907211484541479E-2</v>
      </c>
      <c r="AA57" s="20">
        <f t="shared" ref="AA57" si="46">V57-L57</f>
        <v>-4.8156300000000152E-3</v>
      </c>
      <c r="AB57" s="21">
        <f t="shared" ref="AB57" si="47">W57-M57</f>
        <v>-4.8156300000000152E-3</v>
      </c>
    </row>
    <row r="58" spans="1:28">
      <c r="A58" s="233">
        <v>50</v>
      </c>
      <c r="B58" s="232" t="s">
        <v>107</v>
      </c>
      <c r="C58" s="12" t="s">
        <v>45</v>
      </c>
      <c r="D58" s="13" t="s">
        <v>23</v>
      </c>
      <c r="E58" s="198">
        <v>608704014147.89001</v>
      </c>
      <c r="F58" s="24">
        <f t="shared" si="41"/>
        <v>9.4561936749850431E-2</v>
      </c>
      <c r="G58" s="13" t="s">
        <v>23</v>
      </c>
      <c r="H58" s="40">
        <v>100</v>
      </c>
      <c r="I58" s="13" t="s">
        <v>23</v>
      </c>
      <c r="J58" s="40">
        <v>100</v>
      </c>
      <c r="K58" s="201">
        <v>63393</v>
      </c>
      <c r="L58" s="196">
        <v>0.17553938999999999</v>
      </c>
      <c r="M58" s="196">
        <v>0.17553938999999999</v>
      </c>
      <c r="N58" s="13" t="s">
        <v>23</v>
      </c>
      <c r="O58" s="53">
        <v>615235739430.46997</v>
      </c>
      <c r="P58" s="24">
        <f t="shared" si="42"/>
        <v>9.5576637784643773E-2</v>
      </c>
      <c r="Q58" s="13" t="s">
        <v>23</v>
      </c>
      <c r="R58" s="40">
        <v>100</v>
      </c>
      <c r="S58" s="13" t="s">
        <v>23</v>
      </c>
      <c r="T58" s="40">
        <v>100</v>
      </c>
      <c r="U58" s="25">
        <v>64243</v>
      </c>
      <c r="V58" s="26">
        <v>0.17770821000000001</v>
      </c>
      <c r="W58" s="55">
        <v>0.17770821000000001</v>
      </c>
      <c r="X58" s="27">
        <f t="shared" si="23"/>
        <v>1.0730544124509446E-2</v>
      </c>
      <c r="Y58" s="27">
        <f t="shared" si="24"/>
        <v>0</v>
      </c>
      <c r="Z58" s="27">
        <f t="shared" si="25"/>
        <v>1.3408420488066506E-2</v>
      </c>
      <c r="AA58" s="20">
        <f t="shared" si="26"/>
        <v>2.1688200000000157E-3</v>
      </c>
      <c r="AB58" s="21">
        <f t="shared" si="27"/>
        <v>2.1688200000000157E-3</v>
      </c>
    </row>
    <row r="59" spans="1:28">
      <c r="A59" s="233">
        <v>51</v>
      </c>
      <c r="B59" s="232" t="s">
        <v>108</v>
      </c>
      <c r="C59" s="12" t="s">
        <v>109</v>
      </c>
      <c r="D59" s="13" t="s">
        <v>23</v>
      </c>
      <c r="E59" s="198">
        <v>7191204589.5930004</v>
      </c>
      <c r="F59" s="24">
        <f t="shared" si="41"/>
        <v>1.1171508939500964E-3</v>
      </c>
      <c r="G59" s="13" t="s">
        <v>23</v>
      </c>
      <c r="H59" s="40">
        <v>100</v>
      </c>
      <c r="I59" s="13" t="s">
        <v>23</v>
      </c>
      <c r="J59" s="40">
        <v>100</v>
      </c>
      <c r="K59" s="201">
        <v>1204</v>
      </c>
      <c r="L59" s="196">
        <v>0.16639999999999999</v>
      </c>
      <c r="M59" s="196">
        <v>0.16639999999999999</v>
      </c>
      <c r="N59" s="13" t="s">
        <v>23</v>
      </c>
      <c r="O59" s="53">
        <v>7200885613.4890003</v>
      </c>
      <c r="P59" s="24">
        <f t="shared" si="42"/>
        <v>1.1186548373249546E-3</v>
      </c>
      <c r="Q59" s="13" t="s">
        <v>23</v>
      </c>
      <c r="R59" s="40">
        <v>100</v>
      </c>
      <c r="S59" s="13" t="s">
        <v>23</v>
      </c>
      <c r="T59" s="40">
        <v>100</v>
      </c>
      <c r="U59" s="25">
        <v>1200</v>
      </c>
      <c r="V59" s="26">
        <v>0.16800000000000001</v>
      </c>
      <c r="W59" s="26">
        <v>0.16800000000000001</v>
      </c>
      <c r="X59" s="27">
        <f t="shared" si="23"/>
        <v>1.3462311877498433E-3</v>
      </c>
      <c r="Y59" s="27">
        <f t="shared" si="24"/>
        <v>0</v>
      </c>
      <c r="Z59" s="27">
        <f t="shared" si="25"/>
        <v>-3.3222591362126247E-3</v>
      </c>
      <c r="AA59" s="20">
        <f t="shared" si="26"/>
        <v>1.6000000000000181E-3</v>
      </c>
      <c r="AB59" s="21">
        <f t="shared" si="27"/>
        <v>1.6000000000000181E-3</v>
      </c>
    </row>
    <row r="60" spans="1:28">
      <c r="A60" s="233">
        <v>52</v>
      </c>
      <c r="B60" s="232" t="s">
        <v>110</v>
      </c>
      <c r="C60" s="12" t="s">
        <v>49</v>
      </c>
      <c r="D60" s="13" t="s">
        <v>23</v>
      </c>
      <c r="E60" s="255">
        <v>134011572378.22</v>
      </c>
      <c r="F60" s="24">
        <f t="shared" si="41"/>
        <v>2.0818646725563359E-2</v>
      </c>
      <c r="G60" s="13" t="s">
        <v>23</v>
      </c>
      <c r="H60" s="40">
        <v>10</v>
      </c>
      <c r="I60" s="13" t="s">
        <v>23</v>
      </c>
      <c r="J60" s="40">
        <v>10</v>
      </c>
      <c r="K60" s="201">
        <v>12697</v>
      </c>
      <c r="L60" s="196">
        <v>0.1731</v>
      </c>
      <c r="M60" s="196">
        <v>0.1731</v>
      </c>
      <c r="N60" s="13" t="s">
        <v>23</v>
      </c>
      <c r="O60" s="59">
        <v>134771158179.47</v>
      </c>
      <c r="P60" s="24">
        <f t="shared" si="42"/>
        <v>2.0936648090470467E-2</v>
      </c>
      <c r="Q60" s="13" t="s">
        <v>23</v>
      </c>
      <c r="R60" s="40">
        <v>10</v>
      </c>
      <c r="S60" s="13" t="s">
        <v>23</v>
      </c>
      <c r="T60" s="40">
        <v>10</v>
      </c>
      <c r="U60" s="25">
        <v>12697</v>
      </c>
      <c r="V60" s="26">
        <v>0.1739</v>
      </c>
      <c r="W60" s="26">
        <v>0.1739</v>
      </c>
      <c r="X60" s="27">
        <f t="shared" si="23"/>
        <v>5.6680612559803856E-3</v>
      </c>
      <c r="Y60" s="27">
        <f t="shared" si="24"/>
        <v>0</v>
      </c>
      <c r="Z60" s="27">
        <f t="shared" si="25"/>
        <v>0</v>
      </c>
      <c r="AA60" s="20">
        <f t="shared" si="26"/>
        <v>7.9999999999999516E-4</v>
      </c>
      <c r="AB60" s="21">
        <f t="shared" si="27"/>
        <v>7.9999999999999516E-4</v>
      </c>
    </row>
    <row r="61" spans="1:28">
      <c r="A61" s="233">
        <v>53</v>
      </c>
      <c r="B61" s="232" t="s">
        <v>111</v>
      </c>
      <c r="C61" s="12" t="s">
        <v>112</v>
      </c>
      <c r="D61" s="13" t="s">
        <v>23</v>
      </c>
      <c r="E61" s="255">
        <v>806798224.40999997</v>
      </c>
      <c r="F61" s="24">
        <f t="shared" si="41"/>
        <v>1.2533579686237149E-4</v>
      </c>
      <c r="G61" s="13" t="s">
        <v>23</v>
      </c>
      <c r="H61" s="40">
        <v>1</v>
      </c>
      <c r="I61" s="13" t="s">
        <v>23</v>
      </c>
      <c r="J61" s="40">
        <v>1</v>
      </c>
      <c r="K61" s="201">
        <v>384</v>
      </c>
      <c r="L61" s="196">
        <v>0.19</v>
      </c>
      <c r="M61" s="196">
        <v>0.19</v>
      </c>
      <c r="N61" s="13" t="s">
        <v>23</v>
      </c>
      <c r="O61" s="59">
        <v>833773081.23000002</v>
      </c>
      <c r="P61" s="24">
        <f t="shared" si="42"/>
        <v>1.2952633059496057E-4</v>
      </c>
      <c r="Q61" s="13" t="s">
        <v>23</v>
      </c>
      <c r="R61" s="40">
        <v>1</v>
      </c>
      <c r="S61" s="13" t="s">
        <v>23</v>
      </c>
      <c r="T61" s="40">
        <v>1</v>
      </c>
      <c r="U61" s="25">
        <v>391</v>
      </c>
      <c r="V61" s="26">
        <v>0.20294144</v>
      </c>
      <c r="W61" s="26">
        <v>0.20294144</v>
      </c>
      <c r="X61" s="27">
        <f t="shared" ref="X61" si="48">((O61-E61)/E61)</f>
        <v>3.3434452387059208E-2</v>
      </c>
      <c r="Y61" s="27">
        <f t="shared" ref="Y61" si="49">((T61-J61)/J61)</f>
        <v>0</v>
      </c>
      <c r="Z61" s="27">
        <f t="shared" ref="Z61" si="50">((U61-K61)/K61)</f>
        <v>1.8229166666666668E-2</v>
      </c>
      <c r="AA61" s="20">
        <f t="shared" ref="AA61" si="51">V61-L61</f>
        <v>1.2941439999999999E-2</v>
      </c>
      <c r="AB61" s="21">
        <f t="shared" ref="AB61" si="52">W61-M61</f>
        <v>1.2941439999999999E-2</v>
      </c>
    </row>
    <row r="62" spans="1:28">
      <c r="A62" s="233">
        <v>54</v>
      </c>
      <c r="B62" s="232" t="s">
        <v>113</v>
      </c>
      <c r="C62" s="12" t="s">
        <v>114</v>
      </c>
      <c r="D62" s="13" t="s">
        <v>23</v>
      </c>
      <c r="E62" s="198">
        <v>49526423913</v>
      </c>
      <c r="F62" s="24">
        <f t="shared" si="41"/>
        <v>7.6939110908664596E-3</v>
      </c>
      <c r="G62" s="13" t="s">
        <v>23</v>
      </c>
      <c r="H62" s="40">
        <v>100</v>
      </c>
      <c r="I62" s="13" t="s">
        <v>23</v>
      </c>
      <c r="J62" s="40">
        <v>100</v>
      </c>
      <c r="K62" s="201">
        <v>7218</v>
      </c>
      <c r="L62" s="196">
        <v>0.17280000000000001</v>
      </c>
      <c r="M62" s="196">
        <v>0.17280000000000001</v>
      </c>
      <c r="N62" s="13" t="s">
        <v>23</v>
      </c>
      <c r="O62" s="54">
        <v>49625077292</v>
      </c>
      <c r="P62" s="24">
        <f t="shared" si="42"/>
        <v>7.7092368557182267E-3</v>
      </c>
      <c r="Q62" s="13" t="s">
        <v>23</v>
      </c>
      <c r="R62" s="40">
        <v>100</v>
      </c>
      <c r="S62" s="13" t="s">
        <v>23</v>
      </c>
      <c r="T62" s="40">
        <v>100</v>
      </c>
      <c r="U62" s="25">
        <v>7326</v>
      </c>
      <c r="V62" s="55">
        <v>0.17369999999999999</v>
      </c>
      <c r="W62" s="26">
        <v>0.17369999999999999</v>
      </c>
      <c r="X62" s="27">
        <f t="shared" si="23"/>
        <v>1.9919342283484525E-3</v>
      </c>
      <c r="Y62" s="27">
        <f t="shared" si="24"/>
        <v>0</v>
      </c>
      <c r="Z62" s="27">
        <f t="shared" si="25"/>
        <v>1.4962593516209476E-2</v>
      </c>
      <c r="AA62" s="20">
        <f t="shared" si="26"/>
        <v>8.9999999999998415E-4</v>
      </c>
      <c r="AB62" s="21">
        <f t="shared" si="27"/>
        <v>8.9999999999998415E-4</v>
      </c>
    </row>
    <row r="63" spans="1:28">
      <c r="A63" s="233">
        <v>55</v>
      </c>
      <c r="B63" s="232" t="s">
        <v>115</v>
      </c>
      <c r="C63" s="12" t="s">
        <v>116</v>
      </c>
      <c r="D63" s="13" t="s">
        <v>23</v>
      </c>
      <c r="E63" s="198">
        <v>217097875.68000001</v>
      </c>
      <c r="F63" s="24">
        <f t="shared" si="41"/>
        <v>3.3726072296923116E-5</v>
      </c>
      <c r="G63" s="13" t="s">
        <v>23</v>
      </c>
      <c r="H63" s="40">
        <v>1.01</v>
      </c>
      <c r="I63" s="13" t="s">
        <v>23</v>
      </c>
      <c r="J63" s="40">
        <v>1.01</v>
      </c>
      <c r="K63" s="201">
        <v>151</v>
      </c>
      <c r="L63" s="196">
        <v>0.1169</v>
      </c>
      <c r="M63" s="196">
        <v>0.1169</v>
      </c>
      <c r="N63" s="13" t="s">
        <v>23</v>
      </c>
      <c r="O63" s="194">
        <v>218770183.05000001</v>
      </c>
      <c r="P63" s="24">
        <f t="shared" si="42"/>
        <v>3.3985864609890892E-5</v>
      </c>
      <c r="Q63" s="13" t="s">
        <v>23</v>
      </c>
      <c r="R63" s="40">
        <v>1</v>
      </c>
      <c r="S63" s="13" t="s">
        <v>23</v>
      </c>
      <c r="T63" s="40">
        <v>1</v>
      </c>
      <c r="U63" s="25">
        <v>154</v>
      </c>
      <c r="V63" s="55">
        <v>0.15989999999999999</v>
      </c>
      <c r="W63" s="55">
        <v>0.15989999999999999</v>
      </c>
      <c r="X63" s="27">
        <f t="shared" si="23"/>
        <v>7.7030112098607929E-3</v>
      </c>
      <c r="Y63" s="27">
        <f t="shared" si="24"/>
        <v>-9.9009900990099098E-3</v>
      </c>
      <c r="Z63" s="27">
        <f t="shared" si="25"/>
        <v>1.9867549668874173E-2</v>
      </c>
      <c r="AA63" s="20">
        <f t="shared" si="26"/>
        <v>4.2999999999999983E-2</v>
      </c>
      <c r="AB63" s="21">
        <f t="shared" si="27"/>
        <v>4.2999999999999983E-2</v>
      </c>
    </row>
    <row r="64" spans="1:28">
      <c r="A64" s="233">
        <v>56</v>
      </c>
      <c r="B64" s="232" t="s">
        <v>117</v>
      </c>
      <c r="C64" s="12" t="s">
        <v>51</v>
      </c>
      <c r="D64" s="13" t="s">
        <v>23</v>
      </c>
      <c r="E64" s="255">
        <v>3223734835.2199998</v>
      </c>
      <c r="F64" s="24">
        <f t="shared" si="41"/>
        <v>5.0080597876967327E-4</v>
      </c>
      <c r="G64" s="13" t="s">
        <v>23</v>
      </c>
      <c r="H64" s="40">
        <v>10</v>
      </c>
      <c r="I64" s="13" t="s">
        <v>23</v>
      </c>
      <c r="J64" s="40">
        <v>10</v>
      </c>
      <c r="K64" s="201">
        <v>1078</v>
      </c>
      <c r="L64" s="196">
        <v>0.1</v>
      </c>
      <c r="M64" s="196">
        <v>0.1</v>
      </c>
      <c r="N64" s="13" t="s">
        <v>23</v>
      </c>
      <c r="O64" s="59">
        <v>3288872760.8000002</v>
      </c>
      <c r="P64" s="24">
        <f t="shared" si="42"/>
        <v>5.1092513069827541E-4</v>
      </c>
      <c r="Q64" s="13" t="s">
        <v>23</v>
      </c>
      <c r="R64" s="40">
        <v>10</v>
      </c>
      <c r="S64" s="13" t="s">
        <v>23</v>
      </c>
      <c r="T64" s="40">
        <v>10</v>
      </c>
      <c r="U64" s="25">
        <v>1080</v>
      </c>
      <c r="V64" s="26">
        <v>-4.0000000000000002E-4</v>
      </c>
      <c r="W64" s="26">
        <v>-5.9999999999999995E-4</v>
      </c>
      <c r="X64" s="27">
        <f t="shared" si="23"/>
        <v>2.020573307343845E-2</v>
      </c>
      <c r="Y64" s="27">
        <f t="shared" si="24"/>
        <v>0</v>
      </c>
      <c r="Z64" s="27">
        <f t="shared" si="25"/>
        <v>1.8552875695732839E-3</v>
      </c>
      <c r="AA64" s="20">
        <f t="shared" si="26"/>
        <v>-0.1004</v>
      </c>
      <c r="AB64" s="21">
        <f t="shared" si="27"/>
        <v>-0.10060000000000001</v>
      </c>
    </row>
    <row r="65" spans="1:28" ht="15.6" customHeight="1">
      <c r="A65" s="233">
        <v>57</v>
      </c>
      <c r="B65" s="232" t="s">
        <v>118</v>
      </c>
      <c r="C65" s="12" t="s">
        <v>119</v>
      </c>
      <c r="D65" s="13" t="s">
        <v>23</v>
      </c>
      <c r="E65" s="255">
        <v>2338588204</v>
      </c>
      <c r="F65" s="24">
        <f t="shared" si="41"/>
        <v>3.6329878675133239E-4</v>
      </c>
      <c r="G65" s="13" t="s">
        <v>23</v>
      </c>
      <c r="H65" s="40">
        <v>1</v>
      </c>
      <c r="I65" s="13" t="s">
        <v>23</v>
      </c>
      <c r="J65" s="40">
        <v>1</v>
      </c>
      <c r="K65" s="201">
        <v>319</v>
      </c>
      <c r="L65" s="196">
        <v>0.18709999999999999</v>
      </c>
      <c r="M65" s="196">
        <v>0.18709999999999999</v>
      </c>
      <c r="N65" s="13" t="s">
        <v>23</v>
      </c>
      <c r="O65" s="59">
        <v>2338588204</v>
      </c>
      <c r="P65" s="24">
        <f t="shared" si="42"/>
        <v>3.6329878675133239E-4</v>
      </c>
      <c r="Q65" s="13" t="s">
        <v>23</v>
      </c>
      <c r="R65" s="40">
        <v>1</v>
      </c>
      <c r="S65" s="13" t="s">
        <v>23</v>
      </c>
      <c r="T65" s="40">
        <v>1</v>
      </c>
      <c r="U65" s="25">
        <v>319</v>
      </c>
      <c r="V65" s="26">
        <v>0.18709999999999999</v>
      </c>
      <c r="W65" s="26">
        <v>0.18709999999999999</v>
      </c>
      <c r="X65" s="27">
        <f t="shared" si="23"/>
        <v>0</v>
      </c>
      <c r="Y65" s="27">
        <f t="shared" si="24"/>
        <v>0</v>
      </c>
      <c r="Z65" s="27">
        <f t="shared" si="25"/>
        <v>0</v>
      </c>
      <c r="AA65" s="20">
        <f t="shared" si="26"/>
        <v>0</v>
      </c>
      <c r="AB65" s="21">
        <f t="shared" si="27"/>
        <v>0</v>
      </c>
    </row>
    <row r="66" spans="1:28">
      <c r="A66" s="233">
        <v>58</v>
      </c>
      <c r="B66" s="232" t="s">
        <v>120</v>
      </c>
      <c r="C66" s="12" t="s">
        <v>121</v>
      </c>
      <c r="D66" s="13" t="s">
        <v>23</v>
      </c>
      <c r="E66" s="255">
        <v>2764529297.6982369</v>
      </c>
      <c r="F66" s="24">
        <f t="shared" si="41"/>
        <v>4.2946857342152339E-4</v>
      </c>
      <c r="G66" s="13" t="s">
        <v>23</v>
      </c>
      <c r="H66" s="40">
        <v>1</v>
      </c>
      <c r="I66" s="13" t="s">
        <v>23</v>
      </c>
      <c r="J66" s="40">
        <v>1</v>
      </c>
      <c r="K66" s="201">
        <v>3929</v>
      </c>
      <c r="L66" s="196">
        <v>0.17020364051568662</v>
      </c>
      <c r="M66" s="196">
        <v>0.17020364051568662</v>
      </c>
      <c r="N66" s="13" t="s">
        <v>23</v>
      </c>
      <c r="O66" s="59">
        <v>2805685854.52</v>
      </c>
      <c r="P66" s="24">
        <f t="shared" si="42"/>
        <v>4.3586222884774769E-4</v>
      </c>
      <c r="Q66" s="13" t="s">
        <v>23</v>
      </c>
      <c r="R66" s="40">
        <v>1</v>
      </c>
      <c r="S66" s="13" t="s">
        <v>23</v>
      </c>
      <c r="T66" s="40">
        <v>1</v>
      </c>
      <c r="U66" s="25">
        <v>3972</v>
      </c>
      <c r="V66" s="55">
        <v>0.17399999999999999</v>
      </c>
      <c r="W66" s="26">
        <v>0.17399999999999999</v>
      </c>
      <c r="X66" s="27">
        <f t="shared" si="23"/>
        <v>1.4887365041141081E-2</v>
      </c>
      <c r="Y66" s="27">
        <f t="shared" si="24"/>
        <v>0</v>
      </c>
      <c r="Z66" s="27">
        <f t="shared" si="25"/>
        <v>1.0944260626113514E-2</v>
      </c>
      <c r="AA66" s="20">
        <f t="shared" si="26"/>
        <v>3.7963594843133663E-3</v>
      </c>
      <c r="AB66" s="21">
        <f t="shared" si="27"/>
        <v>3.7963594843133663E-3</v>
      </c>
    </row>
    <row r="67" spans="1:28">
      <c r="A67" s="233">
        <v>59</v>
      </c>
      <c r="B67" s="232" t="s">
        <v>122</v>
      </c>
      <c r="C67" s="12" t="s">
        <v>123</v>
      </c>
      <c r="D67" s="13" t="s">
        <v>23</v>
      </c>
      <c r="E67" s="255">
        <v>299786266.42000002</v>
      </c>
      <c r="F67" s="24">
        <f t="shared" si="41"/>
        <v>4.6571682303370458E-5</v>
      </c>
      <c r="G67" s="13" t="s">
        <v>23</v>
      </c>
      <c r="H67" s="40">
        <v>1</v>
      </c>
      <c r="I67" s="13" t="s">
        <v>23</v>
      </c>
      <c r="J67" s="40">
        <v>1</v>
      </c>
      <c r="K67" s="201">
        <v>53</v>
      </c>
      <c r="L67" s="196">
        <v>0.1754</v>
      </c>
      <c r="M67" s="196">
        <v>0.17180000000000001</v>
      </c>
      <c r="N67" s="13" t="s">
        <v>23</v>
      </c>
      <c r="O67" s="59">
        <v>305839602.89999998</v>
      </c>
      <c r="P67" s="24">
        <f t="shared" si="42"/>
        <v>4.7512065819895529E-5</v>
      </c>
      <c r="Q67" s="13" t="s">
        <v>23</v>
      </c>
      <c r="R67" s="40">
        <v>1</v>
      </c>
      <c r="S67" s="13" t="s">
        <v>23</v>
      </c>
      <c r="T67" s="40">
        <v>1</v>
      </c>
      <c r="U67" s="25">
        <v>53</v>
      </c>
      <c r="V67" s="55">
        <v>0.17580000000000001</v>
      </c>
      <c r="W67" s="26">
        <v>0.17580000000000001</v>
      </c>
      <c r="X67" s="27">
        <f t="shared" si="23"/>
        <v>2.0192174085517468E-2</v>
      </c>
      <c r="Y67" s="27">
        <f t="shared" si="24"/>
        <v>0</v>
      </c>
      <c r="Z67" s="27">
        <f t="shared" si="25"/>
        <v>0</v>
      </c>
      <c r="AA67" s="20">
        <f t="shared" si="26"/>
        <v>4.0000000000001146E-4</v>
      </c>
      <c r="AB67" s="21">
        <f t="shared" si="27"/>
        <v>4.0000000000000036E-3</v>
      </c>
    </row>
    <row r="68" spans="1:28">
      <c r="A68" s="233">
        <v>60</v>
      </c>
      <c r="B68" s="232" t="s">
        <v>124</v>
      </c>
      <c r="C68" s="12" t="s">
        <v>125</v>
      </c>
      <c r="D68" s="13" t="s">
        <v>23</v>
      </c>
      <c r="E68" s="255">
        <v>33433674900.874203</v>
      </c>
      <c r="F68" s="24">
        <f t="shared" si="41"/>
        <v>5.1939086613669036E-3</v>
      </c>
      <c r="G68" s="13" t="s">
        <v>23</v>
      </c>
      <c r="H68" s="40">
        <v>100</v>
      </c>
      <c r="I68" s="13" t="s">
        <v>23</v>
      </c>
      <c r="J68" s="40">
        <v>100</v>
      </c>
      <c r="K68" s="201">
        <v>169</v>
      </c>
      <c r="L68" s="196">
        <v>0.1701</v>
      </c>
      <c r="M68" s="196">
        <v>0.1701</v>
      </c>
      <c r="N68" s="13" t="s">
        <v>23</v>
      </c>
      <c r="O68" s="59">
        <v>33874364142.854301</v>
      </c>
      <c r="P68" s="24">
        <f t="shared" si="42"/>
        <v>5.2623695672552899E-3</v>
      </c>
      <c r="Q68" s="13" t="s">
        <v>23</v>
      </c>
      <c r="R68" s="40">
        <v>100</v>
      </c>
      <c r="S68" s="13" t="s">
        <v>23</v>
      </c>
      <c r="T68" s="40">
        <v>100</v>
      </c>
      <c r="U68" s="25">
        <v>172</v>
      </c>
      <c r="V68" s="26">
        <v>0.1719</v>
      </c>
      <c r="W68" s="26">
        <v>0.1719</v>
      </c>
      <c r="X68" s="27">
        <f t="shared" si="23"/>
        <v>1.3180999195771204E-2</v>
      </c>
      <c r="Y68" s="27">
        <f t="shared" si="24"/>
        <v>0</v>
      </c>
      <c r="Z68" s="27">
        <f t="shared" si="25"/>
        <v>1.7751479289940829E-2</v>
      </c>
      <c r="AA68" s="20">
        <f t="shared" si="26"/>
        <v>1.799999999999996E-3</v>
      </c>
      <c r="AB68" s="21">
        <f t="shared" si="27"/>
        <v>1.799999999999996E-3</v>
      </c>
    </row>
    <row r="69" spans="1:28">
      <c r="A69" s="233">
        <v>61</v>
      </c>
      <c r="B69" s="232" t="s">
        <v>126</v>
      </c>
      <c r="C69" s="12" t="s">
        <v>86</v>
      </c>
      <c r="D69" s="13" t="s">
        <v>23</v>
      </c>
      <c r="E69" s="255">
        <v>512668500</v>
      </c>
      <c r="F69" s="24">
        <f t="shared" si="41"/>
        <v>7.964285620574585E-5</v>
      </c>
      <c r="G69" s="13" t="s">
        <v>23</v>
      </c>
      <c r="H69" s="40">
        <v>1000</v>
      </c>
      <c r="I69" s="13" t="s">
        <v>23</v>
      </c>
      <c r="J69" s="40">
        <v>1000</v>
      </c>
      <c r="K69" s="201">
        <v>67</v>
      </c>
      <c r="L69" s="196">
        <v>0.19576181000000001</v>
      </c>
      <c r="M69" s="196">
        <v>0.19576181000000001</v>
      </c>
      <c r="N69" s="13" t="s">
        <v>23</v>
      </c>
      <c r="O69" s="59">
        <v>513973500</v>
      </c>
      <c r="P69" s="24">
        <f t="shared" si="42"/>
        <v>7.9845587458687075E-5</v>
      </c>
      <c r="Q69" s="13" t="s">
        <v>23</v>
      </c>
      <c r="R69" s="40">
        <v>1000</v>
      </c>
      <c r="S69" s="13" t="s">
        <v>23</v>
      </c>
      <c r="T69" s="40">
        <v>1000</v>
      </c>
      <c r="U69" s="25">
        <v>71</v>
      </c>
      <c r="V69" s="55">
        <v>0.19923556000000001</v>
      </c>
      <c r="W69" s="55">
        <v>0.19923556000000001</v>
      </c>
      <c r="X69" s="27">
        <f t="shared" si="23"/>
        <v>2.5455045511865856E-3</v>
      </c>
      <c r="Y69" s="27">
        <f t="shared" si="24"/>
        <v>0</v>
      </c>
      <c r="Z69" s="27">
        <f t="shared" si="25"/>
        <v>5.9701492537313432E-2</v>
      </c>
      <c r="AA69" s="20">
        <f t="shared" si="26"/>
        <v>3.4737499999999977E-3</v>
      </c>
      <c r="AB69" s="21">
        <f t="shared" si="27"/>
        <v>3.4737499999999977E-3</v>
      </c>
    </row>
    <row r="70" spans="1:28">
      <c r="A70" s="233">
        <v>62</v>
      </c>
      <c r="B70" s="232" t="s">
        <v>127</v>
      </c>
      <c r="C70" s="12" t="s">
        <v>41</v>
      </c>
      <c r="D70" s="13" t="s">
        <v>23</v>
      </c>
      <c r="E70" s="197">
        <v>3127464101.5100002</v>
      </c>
      <c r="F70" s="24">
        <f t="shared" si="41"/>
        <v>4.8585035695618728E-4</v>
      </c>
      <c r="G70" s="13" t="s">
        <v>23</v>
      </c>
      <c r="H70" s="23">
        <v>1</v>
      </c>
      <c r="I70" s="13" t="s">
        <v>23</v>
      </c>
      <c r="J70" s="23">
        <v>1</v>
      </c>
      <c r="K70" s="201">
        <v>3112</v>
      </c>
      <c r="L70" s="196">
        <v>0.16800999999999999</v>
      </c>
      <c r="M70" s="196">
        <v>0.16800999999999999</v>
      </c>
      <c r="N70" s="13" t="s">
        <v>23</v>
      </c>
      <c r="O70" s="80">
        <v>3260653828.8099999</v>
      </c>
      <c r="P70" s="24">
        <f t="shared" si="42"/>
        <v>5.0654133036188E-4</v>
      </c>
      <c r="Q70" s="13" t="s">
        <v>23</v>
      </c>
      <c r="R70" s="23">
        <v>1</v>
      </c>
      <c r="S70" s="13" t="s">
        <v>23</v>
      </c>
      <c r="T70" s="23">
        <v>1</v>
      </c>
      <c r="U70" s="25">
        <v>3112</v>
      </c>
      <c r="V70" s="55">
        <v>0.16800999999999999</v>
      </c>
      <c r="W70" s="26">
        <v>0.16800999999999999</v>
      </c>
      <c r="X70" s="27">
        <f t="shared" si="23"/>
        <v>4.258713225059662E-2</v>
      </c>
      <c r="Y70" s="27">
        <f t="shared" si="24"/>
        <v>0</v>
      </c>
      <c r="Z70" s="27">
        <f t="shared" si="25"/>
        <v>0</v>
      </c>
      <c r="AA70" s="20">
        <f t="shared" si="26"/>
        <v>0</v>
      </c>
      <c r="AB70" s="21">
        <f t="shared" si="27"/>
        <v>0</v>
      </c>
    </row>
    <row r="71" spans="1:28">
      <c r="A71" s="233">
        <v>63</v>
      </c>
      <c r="B71" s="232" t="s">
        <v>128</v>
      </c>
      <c r="C71" s="12" t="s">
        <v>55</v>
      </c>
      <c r="D71" s="13" t="s">
        <v>23</v>
      </c>
      <c r="E71" s="198">
        <v>3032409249886.0801</v>
      </c>
      <c r="F71" s="24">
        <f t="shared" si="41"/>
        <v>0.47108362196165887</v>
      </c>
      <c r="G71" s="13" t="s">
        <v>23</v>
      </c>
      <c r="H71" s="40">
        <v>100</v>
      </c>
      <c r="I71" s="13" t="s">
        <v>23</v>
      </c>
      <c r="J71" s="40">
        <v>100</v>
      </c>
      <c r="K71" s="201">
        <v>368009</v>
      </c>
      <c r="L71" s="196">
        <v>0.1537</v>
      </c>
      <c r="M71" s="196">
        <v>0.1537</v>
      </c>
      <c r="N71" s="13" t="s">
        <v>23</v>
      </c>
      <c r="O71" s="54">
        <v>3047824650671.9702</v>
      </c>
      <c r="P71" s="24">
        <f t="shared" si="42"/>
        <v>0.47347839860220653</v>
      </c>
      <c r="Q71" s="13" t="s">
        <v>23</v>
      </c>
      <c r="R71" s="40">
        <v>100</v>
      </c>
      <c r="S71" s="13" t="s">
        <v>23</v>
      </c>
      <c r="T71" s="40">
        <v>100</v>
      </c>
      <c r="U71" s="25">
        <v>370929</v>
      </c>
      <c r="V71" s="55">
        <v>0.15379999999999999</v>
      </c>
      <c r="W71" s="26">
        <v>0.15379999999999999</v>
      </c>
      <c r="X71" s="27">
        <f t="shared" si="23"/>
        <v>5.0835489261448642E-3</v>
      </c>
      <c r="Y71" s="27">
        <f t="shared" si="24"/>
        <v>0</v>
      </c>
      <c r="Z71" s="27">
        <f t="shared" si="25"/>
        <v>7.9345885562581344E-3</v>
      </c>
      <c r="AA71" s="20">
        <f t="shared" si="26"/>
        <v>9.9999999999988987E-5</v>
      </c>
      <c r="AB71" s="21">
        <f t="shared" si="27"/>
        <v>9.9999999999988987E-5</v>
      </c>
    </row>
    <row r="72" spans="1:28">
      <c r="A72" s="233">
        <v>64</v>
      </c>
      <c r="B72" s="232" t="s">
        <v>129</v>
      </c>
      <c r="C72" s="36" t="s">
        <v>130</v>
      </c>
      <c r="D72" s="13" t="s">
        <v>23</v>
      </c>
      <c r="E72" s="198">
        <v>19233580648.889999</v>
      </c>
      <c r="F72" s="24">
        <f t="shared" si="41"/>
        <v>2.9879294279659512E-3</v>
      </c>
      <c r="G72" s="13" t="s">
        <v>23</v>
      </c>
      <c r="H72" s="40">
        <v>100</v>
      </c>
      <c r="I72" s="13" t="s">
        <v>23</v>
      </c>
      <c r="J72" s="40">
        <v>100</v>
      </c>
      <c r="K72" s="201">
        <v>2089</v>
      </c>
      <c r="L72" s="196">
        <v>0.188307</v>
      </c>
      <c r="M72" s="196">
        <v>0.188307</v>
      </c>
      <c r="N72" s="13" t="s">
        <v>23</v>
      </c>
      <c r="O72" s="53">
        <v>19305411901.27</v>
      </c>
      <c r="P72" s="24">
        <f t="shared" ref="P72:P78" si="53">(O72/$O$79)</f>
        <v>2.9990883856635259E-3</v>
      </c>
      <c r="Q72" s="13" t="s">
        <v>23</v>
      </c>
      <c r="R72" s="40">
        <v>100</v>
      </c>
      <c r="S72" s="13" t="s">
        <v>23</v>
      </c>
      <c r="T72" s="40">
        <v>100</v>
      </c>
      <c r="U72" s="25">
        <v>2105</v>
      </c>
      <c r="V72" s="26">
        <v>0.19056999999999999</v>
      </c>
      <c r="W72" s="55">
        <v>0.19056999999999999</v>
      </c>
      <c r="X72" s="27">
        <f t="shared" si="23"/>
        <v>3.7346791370407965E-3</v>
      </c>
      <c r="Y72" s="27">
        <f t="shared" si="24"/>
        <v>0</v>
      </c>
      <c r="Z72" s="27">
        <f t="shared" si="25"/>
        <v>7.659167065581618E-3</v>
      </c>
      <c r="AA72" s="20">
        <f t="shared" si="26"/>
        <v>2.2629999999999872E-3</v>
      </c>
      <c r="AB72" s="21">
        <f t="shared" si="27"/>
        <v>2.2629999999999872E-3</v>
      </c>
    </row>
    <row r="73" spans="1:28">
      <c r="A73" s="233">
        <v>65</v>
      </c>
      <c r="B73" s="235" t="s">
        <v>131</v>
      </c>
      <c r="C73" s="12" t="s">
        <v>132</v>
      </c>
      <c r="D73" s="13" t="s">
        <v>23</v>
      </c>
      <c r="E73" s="198">
        <v>20274803239.139999</v>
      </c>
      <c r="F73" s="24">
        <f t="shared" si="41"/>
        <v>3.1496829607721502E-3</v>
      </c>
      <c r="G73" s="13" t="s">
        <v>23</v>
      </c>
      <c r="H73" s="40">
        <v>1</v>
      </c>
      <c r="I73" s="13" t="s">
        <v>23</v>
      </c>
      <c r="J73" s="40">
        <v>1</v>
      </c>
      <c r="K73" s="201">
        <v>1091</v>
      </c>
      <c r="L73" s="196">
        <v>0.186782</v>
      </c>
      <c r="M73" s="196">
        <v>0.186782</v>
      </c>
      <c r="N73" s="13" t="s">
        <v>23</v>
      </c>
      <c r="O73" s="54">
        <v>20679885039.75</v>
      </c>
      <c r="P73" s="24">
        <f t="shared" si="53"/>
        <v>3.2126122642061371E-3</v>
      </c>
      <c r="Q73" s="13" t="s">
        <v>23</v>
      </c>
      <c r="R73" s="40">
        <v>1</v>
      </c>
      <c r="S73" s="13" t="s">
        <v>23</v>
      </c>
      <c r="T73" s="40">
        <v>1</v>
      </c>
      <c r="U73" s="25">
        <v>1100</v>
      </c>
      <c r="V73" s="26">
        <v>0.189029</v>
      </c>
      <c r="W73" s="26">
        <v>0.189029</v>
      </c>
      <c r="X73" s="27">
        <f t="shared" si="23"/>
        <v>1.9979567536714749E-2</v>
      </c>
      <c r="Y73" s="27">
        <f t="shared" si="24"/>
        <v>0</v>
      </c>
      <c r="Z73" s="27">
        <f t="shared" si="25"/>
        <v>8.2493125572868919E-3</v>
      </c>
      <c r="AA73" s="20">
        <f t="shared" si="26"/>
        <v>2.246999999999999E-3</v>
      </c>
      <c r="AB73" s="21">
        <f t="shared" si="27"/>
        <v>2.246999999999999E-3</v>
      </c>
    </row>
    <row r="74" spans="1:28">
      <c r="A74" s="233">
        <v>66</v>
      </c>
      <c r="B74" s="232" t="s">
        <v>133</v>
      </c>
      <c r="C74" s="12" t="s">
        <v>58</v>
      </c>
      <c r="D74" s="13" t="s">
        <v>23</v>
      </c>
      <c r="E74" s="198">
        <v>267001088084.01999</v>
      </c>
      <c r="F74" s="24">
        <f t="shared" si="41"/>
        <v>4.1478517336355339E-2</v>
      </c>
      <c r="G74" s="13" t="s">
        <v>23</v>
      </c>
      <c r="H74" s="40">
        <v>1</v>
      </c>
      <c r="I74" s="13" t="s">
        <v>23</v>
      </c>
      <c r="J74" s="40">
        <v>1</v>
      </c>
      <c r="K74" s="201">
        <v>100000</v>
      </c>
      <c r="L74" s="196">
        <v>0.15229999999999999</v>
      </c>
      <c r="M74" s="196">
        <v>0.15229999999999999</v>
      </c>
      <c r="N74" s="13" t="s">
        <v>23</v>
      </c>
      <c r="O74" s="54">
        <v>266675082597.10001</v>
      </c>
      <c r="P74" s="24">
        <f t="shared" si="53"/>
        <v>4.142787250813388E-2</v>
      </c>
      <c r="Q74" s="13" t="s">
        <v>23</v>
      </c>
      <c r="R74" s="40">
        <v>1</v>
      </c>
      <c r="S74" s="13" t="s">
        <v>23</v>
      </c>
      <c r="T74" s="40">
        <v>1</v>
      </c>
      <c r="U74" s="25">
        <v>100000</v>
      </c>
      <c r="V74" s="55">
        <v>0.16020000000000001</v>
      </c>
      <c r="W74" s="55">
        <v>0.16020000000000001</v>
      </c>
      <c r="X74" s="27">
        <f t="shared" si="23"/>
        <v>-1.220989357232115E-3</v>
      </c>
      <c r="Y74" s="27">
        <f t="shared" si="24"/>
        <v>0</v>
      </c>
      <c r="Z74" s="27">
        <f t="shared" si="25"/>
        <v>0</v>
      </c>
      <c r="AA74" s="20">
        <f t="shared" si="26"/>
        <v>7.9000000000000181E-3</v>
      </c>
      <c r="AB74" s="21">
        <f t="shared" si="27"/>
        <v>7.9000000000000181E-3</v>
      </c>
    </row>
    <row r="75" spans="1:28">
      <c r="A75" s="233">
        <v>67</v>
      </c>
      <c r="B75" s="232" t="s">
        <v>134</v>
      </c>
      <c r="C75" s="12" t="s">
        <v>135</v>
      </c>
      <c r="D75" s="13" t="s">
        <v>23</v>
      </c>
      <c r="E75" s="255">
        <v>3732624643.79</v>
      </c>
      <c r="F75" s="24">
        <f t="shared" si="41"/>
        <v>5.7986181670102667E-4</v>
      </c>
      <c r="G75" s="13" t="s">
        <v>23</v>
      </c>
      <c r="H75" s="40">
        <v>1</v>
      </c>
      <c r="I75" s="13" t="s">
        <v>23</v>
      </c>
      <c r="J75" s="40">
        <v>1</v>
      </c>
      <c r="K75" s="201">
        <v>174</v>
      </c>
      <c r="L75" s="196">
        <v>0.15840000000000001</v>
      </c>
      <c r="M75" s="196">
        <v>0.15840000000000001</v>
      </c>
      <c r="N75" s="13" t="s">
        <v>23</v>
      </c>
      <c r="O75" s="59">
        <v>3593297894.2899995</v>
      </c>
      <c r="P75" s="24">
        <f t="shared" si="53"/>
        <v>5.582174592340816E-4</v>
      </c>
      <c r="Q75" s="13" t="s">
        <v>23</v>
      </c>
      <c r="R75" s="40">
        <v>1</v>
      </c>
      <c r="S75" s="13" t="s">
        <v>23</v>
      </c>
      <c r="T75" s="40">
        <v>1</v>
      </c>
      <c r="U75" s="25">
        <v>174</v>
      </c>
      <c r="V75" s="55">
        <v>0.15941881376032563</v>
      </c>
      <c r="W75" s="26">
        <v>0.15941881376032563</v>
      </c>
      <c r="X75" s="27">
        <f t="shared" si="23"/>
        <v>-3.7326750690509315E-2</v>
      </c>
      <c r="Y75" s="27">
        <f t="shared" si="24"/>
        <v>0</v>
      </c>
      <c r="Z75" s="27">
        <f t="shared" si="25"/>
        <v>0</v>
      </c>
      <c r="AA75" s="20">
        <f t="shared" si="26"/>
        <v>1.0188137603256153E-3</v>
      </c>
      <c r="AB75" s="21">
        <f t="shared" si="27"/>
        <v>1.0188137603256153E-3</v>
      </c>
    </row>
    <row r="76" spans="1:28">
      <c r="A76" s="233">
        <v>68</v>
      </c>
      <c r="B76" s="232" t="s">
        <v>136</v>
      </c>
      <c r="C76" s="12" t="s">
        <v>137</v>
      </c>
      <c r="D76" s="13" t="s">
        <v>23</v>
      </c>
      <c r="E76" s="198">
        <v>13043234655.940001</v>
      </c>
      <c r="F76" s="24">
        <f t="shared" si="41"/>
        <v>2.0262615357893657E-3</v>
      </c>
      <c r="G76" s="13" t="s">
        <v>23</v>
      </c>
      <c r="H76" s="40">
        <v>1</v>
      </c>
      <c r="I76" s="13" t="s">
        <v>23</v>
      </c>
      <c r="J76" s="40">
        <v>1</v>
      </c>
      <c r="K76" s="201">
        <v>732</v>
      </c>
      <c r="L76" s="196">
        <v>0.1641</v>
      </c>
      <c r="M76" s="196">
        <v>0.1636</v>
      </c>
      <c r="N76" s="13" t="s">
        <v>23</v>
      </c>
      <c r="O76" s="54">
        <v>13320564513.709999</v>
      </c>
      <c r="P76" s="24">
        <f>(O76/$O$79)</f>
        <v>2.069344623562334E-3</v>
      </c>
      <c r="Q76" s="13" t="s">
        <v>23</v>
      </c>
      <c r="R76" s="40">
        <v>1</v>
      </c>
      <c r="S76" s="13" t="s">
        <v>23</v>
      </c>
      <c r="T76" s="40">
        <v>1</v>
      </c>
      <c r="U76" s="25">
        <v>780</v>
      </c>
      <c r="V76" s="55">
        <v>0.1741</v>
      </c>
      <c r="W76" s="55">
        <v>0.1741</v>
      </c>
      <c r="X76" s="27">
        <f t="shared" si="23"/>
        <v>2.1262352866104433E-2</v>
      </c>
      <c r="Y76" s="27">
        <f t="shared" si="24"/>
        <v>0</v>
      </c>
      <c r="Z76" s="27">
        <f t="shared" si="25"/>
        <v>6.5573770491803282E-2</v>
      </c>
      <c r="AA76" s="20">
        <f t="shared" si="26"/>
        <v>1.0000000000000009E-2</v>
      </c>
      <c r="AB76" s="21">
        <f t="shared" si="27"/>
        <v>1.0500000000000009E-2</v>
      </c>
    </row>
    <row r="77" spans="1:28">
      <c r="A77" s="233">
        <v>69</v>
      </c>
      <c r="B77" s="232" t="s">
        <v>138</v>
      </c>
      <c r="C77" s="12" t="s">
        <v>60</v>
      </c>
      <c r="D77" s="13" t="s">
        <v>23</v>
      </c>
      <c r="E77" s="198">
        <v>23072891757.93</v>
      </c>
      <c r="F77" s="24">
        <f t="shared" si="41"/>
        <v>3.5843649464079763E-3</v>
      </c>
      <c r="G77" s="13" t="s">
        <v>23</v>
      </c>
      <c r="H77" s="40">
        <v>1</v>
      </c>
      <c r="I77" s="13" t="s">
        <v>23</v>
      </c>
      <c r="J77" s="40">
        <v>1</v>
      </c>
      <c r="K77" s="201">
        <v>10089</v>
      </c>
      <c r="L77" s="196">
        <v>0.19309999999999999</v>
      </c>
      <c r="M77" s="196">
        <v>0.19309999999999999</v>
      </c>
      <c r="N77" s="13" t="s">
        <v>23</v>
      </c>
      <c r="O77" s="53">
        <v>21381384561.709999</v>
      </c>
      <c r="P77" s="24">
        <f t="shared" si="53"/>
        <v>3.3215899477499079E-3</v>
      </c>
      <c r="Q77" s="13" t="s">
        <v>23</v>
      </c>
      <c r="R77" s="40">
        <v>1</v>
      </c>
      <c r="S77" s="13" t="s">
        <v>23</v>
      </c>
      <c r="T77" s="40">
        <v>1</v>
      </c>
      <c r="U77" s="25">
        <v>10274</v>
      </c>
      <c r="V77" s="26">
        <v>0.1724</v>
      </c>
      <c r="W77" s="55">
        <v>0.1724</v>
      </c>
      <c r="X77" s="27">
        <f t="shared" si="23"/>
        <v>-7.3311451982980905E-2</v>
      </c>
      <c r="Y77" s="27">
        <f t="shared" si="24"/>
        <v>0</v>
      </c>
      <c r="Z77" s="27">
        <f t="shared" si="25"/>
        <v>1.8336802458122709E-2</v>
      </c>
      <c r="AA77" s="20">
        <f t="shared" si="26"/>
        <v>-2.0699999999999996E-2</v>
      </c>
      <c r="AB77" s="21">
        <f t="shared" si="27"/>
        <v>-2.0699999999999996E-2</v>
      </c>
    </row>
    <row r="78" spans="1:28">
      <c r="A78" s="233">
        <v>70</v>
      </c>
      <c r="B78" s="232" t="s">
        <v>139</v>
      </c>
      <c r="C78" s="12" t="s">
        <v>140</v>
      </c>
      <c r="D78" s="13" t="s">
        <v>23</v>
      </c>
      <c r="E78" s="198">
        <v>166773308670.17999</v>
      </c>
      <c r="F78" s="24">
        <f t="shared" si="41"/>
        <v>2.5908169979968757E-2</v>
      </c>
      <c r="G78" s="13" t="s">
        <v>23</v>
      </c>
      <c r="H78" s="40">
        <v>1</v>
      </c>
      <c r="I78" s="13" t="s">
        <v>23</v>
      </c>
      <c r="J78" s="40">
        <v>1</v>
      </c>
      <c r="K78" s="201">
        <v>9374</v>
      </c>
      <c r="L78" s="196">
        <v>0.1628</v>
      </c>
      <c r="M78" s="196">
        <v>0.1628</v>
      </c>
      <c r="N78" s="13" t="s">
        <v>23</v>
      </c>
      <c r="O78" s="54">
        <v>167820310205.41</v>
      </c>
      <c r="P78" s="24">
        <f t="shared" si="53"/>
        <v>2.607082126967647E-2</v>
      </c>
      <c r="Q78" s="13" t="s">
        <v>23</v>
      </c>
      <c r="R78" s="40">
        <v>1</v>
      </c>
      <c r="S78" s="13" t="s">
        <v>23</v>
      </c>
      <c r="T78" s="40">
        <v>1</v>
      </c>
      <c r="U78" s="25">
        <v>9420</v>
      </c>
      <c r="V78" s="55">
        <v>0.16339999999999999</v>
      </c>
      <c r="W78" s="55">
        <v>0.16339999999999999</v>
      </c>
      <c r="X78" s="27">
        <f t="shared" si="23"/>
        <v>6.2779922253663406E-3</v>
      </c>
      <c r="Y78" s="27">
        <f t="shared" si="24"/>
        <v>0</v>
      </c>
      <c r="Z78" s="27">
        <f t="shared" si="25"/>
        <v>4.9071901002773633E-3</v>
      </c>
      <c r="AA78" s="20">
        <f t="shared" si="26"/>
        <v>5.9999999999998943E-4</v>
      </c>
      <c r="AB78" s="21">
        <f t="shared" si="27"/>
        <v>5.9999999999998943E-4</v>
      </c>
    </row>
    <row r="79" spans="1:28">
      <c r="B79" s="43"/>
      <c r="C79" s="44" t="s">
        <v>63</v>
      </c>
      <c r="D79" s="45" t="s">
        <v>23</v>
      </c>
      <c r="E79" s="64">
        <f>SUM(E31:E78)</f>
        <v>6414159990640.0811</v>
      </c>
      <c r="F79" s="47">
        <f>(E79/$E$243)</f>
        <v>0.67618765657147228</v>
      </c>
      <c r="G79" s="13" t="s">
        <v>23</v>
      </c>
      <c r="H79" s="48"/>
      <c r="I79" s="13"/>
      <c r="J79" s="58"/>
      <c r="K79" s="50">
        <f>SUM(K31:K78)</f>
        <v>872477</v>
      </c>
      <c r="L79" s="65"/>
      <c r="M79" s="65"/>
      <c r="N79" s="13"/>
      <c r="O79" s="64">
        <f>SUM(O31:O78)</f>
        <v>6437093349284.1436</v>
      </c>
      <c r="P79" s="47">
        <f>(O79/$O$243)</f>
        <v>0.677830205228792</v>
      </c>
      <c r="Q79" s="13"/>
      <c r="R79" s="48"/>
      <c r="S79" s="48"/>
      <c r="T79" s="58"/>
      <c r="U79" s="50">
        <f>SUM(U31:U78)</f>
        <v>878413</v>
      </c>
      <c r="V79" s="65"/>
      <c r="W79" s="65"/>
      <c r="X79" s="27">
        <f t="shared" si="23"/>
        <v>3.5754266618743848E-3</v>
      </c>
      <c r="Y79" s="27" t="e">
        <f t="shared" si="24"/>
        <v>#DIV/0!</v>
      </c>
      <c r="Z79" s="27">
        <f t="shared" si="25"/>
        <v>6.8036177457973107E-3</v>
      </c>
      <c r="AA79" s="20">
        <f t="shared" si="26"/>
        <v>0</v>
      </c>
      <c r="AB79" s="21">
        <f t="shared" si="27"/>
        <v>0</v>
      </c>
    </row>
    <row r="80" spans="1:28" ht="3" customHeight="1">
      <c r="B80" s="239"/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</row>
    <row r="81" spans="1:28" ht="15" customHeight="1">
      <c r="A81" s="11"/>
      <c r="B81" s="243"/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</row>
    <row r="82" spans="1:28" ht="17.399999999999999" customHeight="1">
      <c r="A82" s="233">
        <v>71</v>
      </c>
      <c r="B82" s="232" t="s">
        <v>141</v>
      </c>
      <c r="C82" s="12" t="s">
        <v>25</v>
      </c>
      <c r="D82" s="13" t="s">
        <v>23</v>
      </c>
      <c r="E82" s="80">
        <v>1305901823.8599999</v>
      </c>
      <c r="F82" s="24">
        <f>(E82/$E$120)</f>
        <v>5.6169670315563171E-3</v>
      </c>
      <c r="G82" s="13" t="s">
        <v>23</v>
      </c>
      <c r="H82" s="259">
        <v>1.8246</v>
      </c>
      <c r="I82" s="13" t="s">
        <v>23</v>
      </c>
      <c r="J82" s="259">
        <v>1.8246</v>
      </c>
      <c r="K82" s="201">
        <v>582</v>
      </c>
      <c r="L82" s="196">
        <v>-3.1960000000000001E-3</v>
      </c>
      <c r="M82" s="196">
        <v>9.2999999999999999E-2</v>
      </c>
      <c r="N82" s="13" t="s">
        <v>23</v>
      </c>
      <c r="O82" s="80">
        <v>1319743690.05</v>
      </c>
      <c r="P82" s="24">
        <f t="shared" ref="P82:P119" si="54">(O82/$O$120)</f>
        <v>5.6552918888650838E-3</v>
      </c>
      <c r="Q82" s="13" t="s">
        <v>23</v>
      </c>
      <c r="R82" s="66">
        <v>1.8439000000000001</v>
      </c>
      <c r="S82" s="13" t="s">
        <v>23</v>
      </c>
      <c r="T82" s="66">
        <v>1.8439000000000001</v>
      </c>
      <c r="U82" s="25">
        <v>583</v>
      </c>
      <c r="V82" s="55">
        <v>-1.63E-4</v>
      </c>
      <c r="W82" s="55">
        <v>0.1046</v>
      </c>
      <c r="X82" s="27">
        <f>((O82-E82)/E82)</f>
        <v>1.0599469222798164E-2</v>
      </c>
      <c r="Y82" s="27">
        <f>((T82-J82)/J82)</f>
        <v>1.0577660857174227E-2</v>
      </c>
      <c r="Z82" s="27">
        <f>((U82-K82)/K82)</f>
        <v>1.718213058419244E-3</v>
      </c>
      <c r="AA82" s="20">
        <f>V82-L82</f>
        <v>3.0330000000000001E-3</v>
      </c>
      <c r="AB82" s="21">
        <f>W82-M82</f>
        <v>1.1599999999999999E-2</v>
      </c>
    </row>
    <row r="83" spans="1:28" ht="15" customHeight="1">
      <c r="A83" s="233">
        <v>72</v>
      </c>
      <c r="B83" s="232" t="s">
        <v>142</v>
      </c>
      <c r="C83" s="12" t="s">
        <v>27</v>
      </c>
      <c r="D83" s="13" t="s">
        <v>23</v>
      </c>
      <c r="E83" s="80">
        <v>1274819677.6900001</v>
      </c>
      <c r="F83" s="24">
        <f>(E83/$E$120)</f>
        <v>5.4832759782803085E-3</v>
      </c>
      <c r="G83" s="13" t="s">
        <v>23</v>
      </c>
      <c r="H83" s="259">
        <v>1.4302999999999999</v>
      </c>
      <c r="I83" s="13" t="s">
        <v>23</v>
      </c>
      <c r="J83" s="259">
        <v>1.4302999999999999</v>
      </c>
      <c r="K83" s="201">
        <v>1644</v>
      </c>
      <c r="L83" s="196">
        <v>0.1192</v>
      </c>
      <c r="M83" s="196">
        <v>0.14990000000000001</v>
      </c>
      <c r="N83" s="13" t="s">
        <v>23</v>
      </c>
      <c r="O83" s="80">
        <v>1315767949.49</v>
      </c>
      <c r="P83" s="24">
        <f t="shared" si="54"/>
        <v>5.6382552676554403E-3</v>
      </c>
      <c r="Q83" s="13" t="s">
        <v>23</v>
      </c>
      <c r="R83" s="66">
        <v>1.4346000000000001</v>
      </c>
      <c r="S83" s="13" t="s">
        <v>23</v>
      </c>
      <c r="T83" s="66">
        <v>1.4346000000000001</v>
      </c>
      <c r="U83" s="25">
        <v>1651</v>
      </c>
      <c r="V83" s="55">
        <v>0.15679999999999999</v>
      </c>
      <c r="W83" s="55">
        <v>0.1206</v>
      </c>
      <c r="X83" s="27">
        <f t="shared" ref="X83:X120" si="55">((O83-E83)/E83)</f>
        <v>3.2120834433775822E-2</v>
      </c>
      <c r="Y83" s="27">
        <f t="shared" ref="Y83:Y120" si="56">((T83-J83)/J83)</f>
        <v>3.0063623016151806E-3</v>
      </c>
      <c r="Z83" s="27">
        <f t="shared" ref="Z83:Z120" si="57">((U83-K83)/K83)</f>
        <v>4.2579075425790754E-3</v>
      </c>
      <c r="AA83" s="20">
        <f t="shared" ref="AA83:AA120" si="58">V83-L83</f>
        <v>3.7599999999999995E-2</v>
      </c>
      <c r="AB83" s="21">
        <f t="shared" ref="AB83:AB120" si="59">W83-M83</f>
        <v>-2.9300000000000007E-2</v>
      </c>
    </row>
    <row r="84" spans="1:28" ht="15.6" customHeight="1">
      <c r="A84" s="233">
        <v>73</v>
      </c>
      <c r="B84" s="232" t="s">
        <v>143</v>
      </c>
      <c r="C84" s="12" t="s">
        <v>27</v>
      </c>
      <c r="D84" s="13" t="s">
        <v>23</v>
      </c>
      <c r="E84" s="80">
        <v>748445268.00999999</v>
      </c>
      <c r="F84" s="24">
        <f>(E84/$E$120)</f>
        <v>3.219225456711816E-3</v>
      </c>
      <c r="G84" s="13" t="s">
        <v>23</v>
      </c>
      <c r="H84" s="259">
        <v>1.2819</v>
      </c>
      <c r="I84" s="13" t="s">
        <v>23</v>
      </c>
      <c r="J84" s="259">
        <v>1.2819</v>
      </c>
      <c r="K84" s="201">
        <v>967</v>
      </c>
      <c r="L84" s="196">
        <v>0.1323</v>
      </c>
      <c r="M84" s="196">
        <v>0.1101</v>
      </c>
      <c r="N84" s="13" t="s">
        <v>23</v>
      </c>
      <c r="O84" s="80">
        <v>744277835.03999996</v>
      </c>
      <c r="P84" s="24">
        <f t="shared" si="54"/>
        <v>3.1893377746737396E-3</v>
      </c>
      <c r="Q84" s="13" t="s">
        <v>23</v>
      </c>
      <c r="R84" s="66">
        <v>1.2849999999999999</v>
      </c>
      <c r="S84" s="13" t="s">
        <v>23</v>
      </c>
      <c r="T84" s="66">
        <v>1.2849999999999999</v>
      </c>
      <c r="U84" s="25">
        <v>970</v>
      </c>
      <c r="V84" s="55">
        <v>0.12609999999999999</v>
      </c>
      <c r="W84" s="55">
        <v>0.13239999999999999</v>
      </c>
      <c r="X84" s="27">
        <f t="shared" si="55"/>
        <v>-5.5681198721191563E-3</v>
      </c>
      <c r="Y84" s="27">
        <f t="shared" si="56"/>
        <v>2.418285357672112E-3</v>
      </c>
      <c r="Z84" s="27">
        <f t="shared" si="57"/>
        <v>3.1023784901758012E-3</v>
      </c>
      <c r="AA84" s="20">
        <f t="shared" si="58"/>
        <v>-6.2000000000000111E-3</v>
      </c>
      <c r="AB84" s="21">
        <f t="shared" si="59"/>
        <v>2.2299999999999986E-2</v>
      </c>
    </row>
    <row r="85" spans="1:28" ht="16.2" customHeight="1">
      <c r="A85" s="233">
        <v>74</v>
      </c>
      <c r="B85" s="232" t="s">
        <v>144</v>
      </c>
      <c r="C85" s="12" t="s">
        <v>74</v>
      </c>
      <c r="D85" s="13" t="s">
        <v>23</v>
      </c>
      <c r="E85" s="80">
        <v>356567580.02999997</v>
      </c>
      <c r="F85" s="24">
        <f>(E85/$E$120)</f>
        <v>1.5336745113276164E-3</v>
      </c>
      <c r="G85" s="13" t="s">
        <v>23</v>
      </c>
      <c r="H85" s="199">
        <v>1359.64</v>
      </c>
      <c r="I85" s="13" t="s">
        <v>23</v>
      </c>
      <c r="J85" s="199">
        <v>1359.64</v>
      </c>
      <c r="K85" s="201">
        <v>98</v>
      </c>
      <c r="L85" s="196">
        <v>1.9E-3</v>
      </c>
      <c r="M85" s="196">
        <v>0.1754</v>
      </c>
      <c r="N85" s="13" t="s">
        <v>23</v>
      </c>
      <c r="O85" s="80">
        <v>358152736.94</v>
      </c>
      <c r="P85" s="24">
        <f>(O85/$O$120)</f>
        <v>1.5347360881224409E-3</v>
      </c>
      <c r="Q85" s="13" t="s">
        <v>23</v>
      </c>
      <c r="R85" s="199">
        <v>1365.68</v>
      </c>
      <c r="S85" s="13" t="s">
        <v>23</v>
      </c>
      <c r="T85" s="199">
        <v>1365.68</v>
      </c>
      <c r="U85" s="25">
        <v>98</v>
      </c>
      <c r="V85" s="55">
        <v>3.7000000000000002E-3</v>
      </c>
      <c r="W85" s="55">
        <v>0.17799999999999999</v>
      </c>
      <c r="X85" s="27">
        <f t="shared" si="55"/>
        <v>4.4456002137565577E-3</v>
      </c>
      <c r="Y85" s="27">
        <f t="shared" si="56"/>
        <v>4.4423523873966366E-3</v>
      </c>
      <c r="Z85" s="27">
        <f t="shared" si="57"/>
        <v>0</v>
      </c>
      <c r="AA85" s="20">
        <f t="shared" si="58"/>
        <v>1.8000000000000002E-3</v>
      </c>
      <c r="AB85" s="21">
        <f t="shared" si="59"/>
        <v>2.5999999999999912E-3</v>
      </c>
    </row>
    <row r="86" spans="1:28" ht="15" customHeight="1">
      <c r="A86" s="233">
        <v>75</v>
      </c>
      <c r="B86" s="232" t="s">
        <v>145</v>
      </c>
      <c r="C86" s="12" t="s">
        <v>31</v>
      </c>
      <c r="D86" s="13" t="s">
        <v>23</v>
      </c>
      <c r="E86" s="80">
        <v>1888467327.6300001</v>
      </c>
      <c r="F86" s="24">
        <f>(E86/$O$120)</f>
        <v>8.0923546298054608E-3</v>
      </c>
      <c r="G86" s="13" t="s">
        <v>23</v>
      </c>
      <c r="H86" s="199">
        <v>1.1201000000000001</v>
      </c>
      <c r="I86" s="13" t="s">
        <v>23</v>
      </c>
      <c r="J86" s="199">
        <v>1.1201000000000001</v>
      </c>
      <c r="K86" s="201">
        <v>1198</v>
      </c>
      <c r="L86" s="196">
        <v>9.4999999999999998E-3</v>
      </c>
      <c r="M86" s="196">
        <v>0.1062</v>
      </c>
      <c r="N86" s="13" t="s">
        <v>23</v>
      </c>
      <c r="O86" s="80">
        <v>1886385221.21</v>
      </c>
      <c r="P86" s="24">
        <f t="shared" si="54"/>
        <v>8.0834325037611732E-3</v>
      </c>
      <c r="Q86" s="13" t="s">
        <v>23</v>
      </c>
      <c r="R86" s="34">
        <v>1.1233</v>
      </c>
      <c r="S86" s="13" t="s">
        <v>23</v>
      </c>
      <c r="T86" s="34">
        <v>1.1233</v>
      </c>
      <c r="U86" s="25">
        <v>1204</v>
      </c>
      <c r="V86" s="55">
        <v>2.8999999999999998E-3</v>
      </c>
      <c r="W86" s="55">
        <v>0.109</v>
      </c>
      <c r="X86" s="27">
        <f t="shared" si="55"/>
        <v>-1.1025376979188148E-3</v>
      </c>
      <c r="Y86" s="27">
        <f t="shared" si="56"/>
        <v>2.8568877778768586E-3</v>
      </c>
      <c r="Z86" s="27">
        <f t="shared" si="57"/>
        <v>5.008347245409015E-3</v>
      </c>
      <c r="AA86" s="20">
        <f t="shared" si="58"/>
        <v>-6.6E-3</v>
      </c>
      <c r="AB86" s="21">
        <f t="shared" si="59"/>
        <v>2.7999999999999969E-3</v>
      </c>
    </row>
    <row r="87" spans="1:28" ht="15.6" customHeight="1">
      <c r="A87" s="233">
        <v>76</v>
      </c>
      <c r="B87" s="232" t="s">
        <v>146</v>
      </c>
      <c r="C87" s="12" t="s">
        <v>147</v>
      </c>
      <c r="D87" s="13" t="s">
        <v>23</v>
      </c>
      <c r="E87" s="80">
        <v>521688286.94999999</v>
      </c>
      <c r="F87" s="24">
        <f t="shared" ref="F87:F105" si="60">(E87/$E$120)</f>
        <v>2.2438944911538673E-3</v>
      </c>
      <c r="G87" s="13" t="s">
        <v>23</v>
      </c>
      <c r="H87" s="199">
        <v>2.9765999999999999</v>
      </c>
      <c r="I87" s="13" t="s">
        <v>23</v>
      </c>
      <c r="J87" s="199">
        <v>2.9765999999999999</v>
      </c>
      <c r="K87" s="201">
        <v>1384</v>
      </c>
      <c r="L87" s="196">
        <v>0.13880000000000001</v>
      </c>
      <c r="M87" s="196">
        <v>0.1353</v>
      </c>
      <c r="N87" s="13" t="s">
        <v>23</v>
      </c>
      <c r="O87" s="35">
        <v>523235001.3990258</v>
      </c>
      <c r="P87" s="24">
        <f t="shared" si="54"/>
        <v>2.2421373799257297E-3</v>
      </c>
      <c r="Q87" s="13" t="s">
        <v>23</v>
      </c>
      <c r="R87" s="34">
        <v>2.9853999999999998</v>
      </c>
      <c r="S87" s="13" t="s">
        <v>23</v>
      </c>
      <c r="T87" s="34">
        <v>2.9853999999999998</v>
      </c>
      <c r="U87" s="25">
        <v>1384</v>
      </c>
      <c r="V87" s="196">
        <v>0.1542</v>
      </c>
      <c r="W87" s="26">
        <v>0.13619999999999999</v>
      </c>
      <c r="X87" s="27">
        <f t="shared" si="55"/>
        <v>2.9648249495278604E-3</v>
      </c>
      <c r="Y87" s="27">
        <f t="shared" si="56"/>
        <v>2.956393200295612E-3</v>
      </c>
      <c r="Z87" s="27">
        <f t="shared" si="57"/>
        <v>0</v>
      </c>
      <c r="AA87" s="20">
        <f t="shared" si="58"/>
        <v>1.5399999999999997E-2</v>
      </c>
      <c r="AB87" s="21">
        <f t="shared" si="59"/>
        <v>8.9999999999998415E-4</v>
      </c>
    </row>
    <row r="88" spans="1:28" ht="15" customHeight="1">
      <c r="A88" s="233">
        <v>77</v>
      </c>
      <c r="B88" s="192" t="s">
        <v>148</v>
      </c>
      <c r="C88" s="12" t="s">
        <v>149</v>
      </c>
      <c r="D88" s="13" t="s">
        <v>23</v>
      </c>
      <c r="E88" s="80">
        <v>6027378061.8800001</v>
      </c>
      <c r="F88" s="24">
        <f t="shared" si="60"/>
        <v>2.592506055335388E-2</v>
      </c>
      <c r="G88" s="13" t="s">
        <v>23</v>
      </c>
      <c r="H88" s="199">
        <v>1261.8</v>
      </c>
      <c r="I88" s="13" t="s">
        <v>23</v>
      </c>
      <c r="J88" s="199">
        <v>1261.8</v>
      </c>
      <c r="K88" s="201">
        <v>479</v>
      </c>
      <c r="L88" s="196">
        <v>2.029E-3</v>
      </c>
      <c r="M88" s="196">
        <v>0.127605</v>
      </c>
      <c r="N88" s="13" t="s">
        <v>23</v>
      </c>
      <c r="O88" s="35">
        <v>6368139807.3699999</v>
      </c>
      <c r="P88" s="24">
        <f t="shared" si="54"/>
        <v>2.7288396732864092E-2</v>
      </c>
      <c r="Q88" s="13" t="s">
        <v>23</v>
      </c>
      <c r="R88" s="34">
        <v>1265.5</v>
      </c>
      <c r="S88" s="13" t="s">
        <v>23</v>
      </c>
      <c r="T88" s="34">
        <v>1265.5</v>
      </c>
      <c r="U88" s="25">
        <v>483</v>
      </c>
      <c r="V88" s="26">
        <v>2.0699999999999998E-3</v>
      </c>
      <c r="W88" s="26">
        <v>0.130913</v>
      </c>
      <c r="X88" s="27">
        <f t="shared" ref="X88" si="61">((O88-E88)/E88)</f>
        <v>5.65356514875247E-2</v>
      </c>
      <c r="Y88" s="27">
        <f t="shared" si="56"/>
        <v>2.9323189094944092E-3</v>
      </c>
      <c r="Z88" s="27">
        <f t="shared" ref="Z88" si="62">((U88-K88)/K88)</f>
        <v>8.350730688935281E-3</v>
      </c>
      <c r="AA88" s="20">
        <f t="shared" si="58"/>
        <v>4.0999999999999804E-5</v>
      </c>
      <c r="AB88" s="21">
        <f t="shared" si="59"/>
        <v>3.3080000000000054E-3</v>
      </c>
    </row>
    <row r="89" spans="1:28" ht="16.2" customHeight="1">
      <c r="A89" s="233">
        <v>78</v>
      </c>
      <c r="B89" s="232" t="s">
        <v>150</v>
      </c>
      <c r="C89" s="12" t="s">
        <v>79</v>
      </c>
      <c r="D89" s="13" t="s">
        <v>23</v>
      </c>
      <c r="E89" s="80">
        <v>205532229.66999999</v>
      </c>
      <c r="F89" s="24">
        <f t="shared" si="60"/>
        <v>8.8403870557915421E-4</v>
      </c>
      <c r="G89" s="13" t="s">
        <v>23</v>
      </c>
      <c r="H89" s="199">
        <v>11.976800000000001</v>
      </c>
      <c r="I89" s="13" t="s">
        <v>23</v>
      </c>
      <c r="J89" s="199">
        <v>12.015000000000001</v>
      </c>
      <c r="K89" s="201">
        <v>47</v>
      </c>
      <c r="L89" s="196">
        <v>4.3309999999999998E-3</v>
      </c>
      <c r="M89" s="196">
        <v>0.13123699999999999</v>
      </c>
      <c r="N89" s="13" t="s">
        <v>23</v>
      </c>
      <c r="O89" s="80">
        <v>204156166.25</v>
      </c>
      <c r="P89" s="24">
        <f t="shared" si="54"/>
        <v>8.7483859158415424E-4</v>
      </c>
      <c r="Q89" s="13" t="s">
        <v>23</v>
      </c>
      <c r="R89" s="34">
        <v>11.899699999999999</v>
      </c>
      <c r="S89" s="13" t="s">
        <v>23</v>
      </c>
      <c r="T89" s="34">
        <v>11.9552</v>
      </c>
      <c r="U89" s="25">
        <v>47</v>
      </c>
      <c r="V89" s="26">
        <v>-7.2519999999999998E-3</v>
      </c>
      <c r="W89" s="26">
        <v>0.11749</v>
      </c>
      <c r="X89" s="27">
        <f t="shared" si="55"/>
        <v>-6.6951223280620137E-3</v>
      </c>
      <c r="Y89" s="27">
        <f t="shared" si="56"/>
        <v>-4.977111943404158E-3</v>
      </c>
      <c r="Z89" s="27">
        <f t="shared" si="57"/>
        <v>0</v>
      </c>
      <c r="AA89" s="20">
        <f t="shared" si="58"/>
        <v>-1.1583E-2</v>
      </c>
      <c r="AB89" s="21">
        <f t="shared" si="59"/>
        <v>-1.3746999999999995E-2</v>
      </c>
    </row>
    <row r="90" spans="1:28" ht="16.2" customHeight="1">
      <c r="A90" s="233">
        <v>79</v>
      </c>
      <c r="B90" s="232" t="s">
        <v>151</v>
      </c>
      <c r="C90" s="12" t="s">
        <v>81</v>
      </c>
      <c r="D90" s="13" t="s">
        <v>23</v>
      </c>
      <c r="E90" s="80">
        <v>2203211881.6886601</v>
      </c>
      <c r="F90" s="24">
        <f t="shared" si="60"/>
        <v>9.4764922422721654E-3</v>
      </c>
      <c r="G90" s="13" t="s">
        <v>23</v>
      </c>
      <c r="H90" s="197">
        <v>5050.9683578907197</v>
      </c>
      <c r="I90" s="13" t="s">
        <v>23</v>
      </c>
      <c r="J90" s="197">
        <v>5050.9683578907197</v>
      </c>
      <c r="K90" s="201">
        <v>1208</v>
      </c>
      <c r="L90" s="196">
        <v>0.12962496039553814</v>
      </c>
      <c r="M90" s="196">
        <v>9.8324927168268642E-2</v>
      </c>
      <c r="N90" s="13" t="s">
        <v>23</v>
      </c>
      <c r="O90" s="35">
        <v>2206801349.0431299</v>
      </c>
      <c r="P90" s="24">
        <f t="shared" si="54"/>
        <v>9.4564617839599709E-3</v>
      </c>
      <c r="Q90" s="13" t="s">
        <v>23</v>
      </c>
      <c r="R90" s="35">
        <v>5058.5374268094401</v>
      </c>
      <c r="S90" s="13" t="s">
        <v>23</v>
      </c>
      <c r="T90" s="35">
        <v>5058.5374268094401</v>
      </c>
      <c r="U90" s="25">
        <v>1209</v>
      </c>
      <c r="V90" s="26">
        <v>7.8138062123614904E-2</v>
      </c>
      <c r="W90" s="26">
        <v>9.787918973831429E-2</v>
      </c>
      <c r="X90" s="27">
        <f t="shared" si="55"/>
        <v>1.629197529435351E-3</v>
      </c>
      <c r="Y90" s="27">
        <f t="shared" si="56"/>
        <v>1.4985381777131625E-3</v>
      </c>
      <c r="Z90" s="27">
        <f t="shared" si="57"/>
        <v>8.2781456953642384E-4</v>
      </c>
      <c r="AA90" s="20">
        <f t="shared" si="58"/>
        <v>-5.1486898271923237E-2</v>
      </c>
      <c r="AB90" s="21">
        <f t="shared" si="59"/>
        <v>-4.4573742995435151E-4</v>
      </c>
    </row>
    <row r="91" spans="1:28" ht="15.6" customHeight="1">
      <c r="A91" s="233">
        <v>80</v>
      </c>
      <c r="B91" s="232" t="s">
        <v>152</v>
      </c>
      <c r="C91" s="12" t="s">
        <v>83</v>
      </c>
      <c r="D91" s="13" t="s">
        <v>23</v>
      </c>
      <c r="E91" s="80">
        <v>377350356.50999999</v>
      </c>
      <c r="F91" s="24">
        <f t="shared" si="60"/>
        <v>1.6230657413416109E-3</v>
      </c>
      <c r="G91" s="13" t="s">
        <v>23</v>
      </c>
      <c r="H91" s="259">
        <v>116.1</v>
      </c>
      <c r="I91" s="13" t="s">
        <v>23</v>
      </c>
      <c r="J91" s="259">
        <v>116.1</v>
      </c>
      <c r="K91" s="201">
        <v>101</v>
      </c>
      <c r="L91" s="196">
        <v>2.2000000000000001E-3</v>
      </c>
      <c r="M91" s="196">
        <v>0.12570000000000001</v>
      </c>
      <c r="N91" s="13" t="s">
        <v>23</v>
      </c>
      <c r="O91" s="80">
        <v>378329663.88999999</v>
      </c>
      <c r="P91" s="24">
        <f t="shared" si="54"/>
        <v>1.6211971276279492E-3</v>
      </c>
      <c r="Q91" s="13" t="s">
        <v>23</v>
      </c>
      <c r="R91" s="66">
        <v>116.34</v>
      </c>
      <c r="S91" s="13" t="s">
        <v>23</v>
      </c>
      <c r="T91" s="66">
        <v>116.34</v>
      </c>
      <c r="U91" s="25">
        <v>101</v>
      </c>
      <c r="V91" s="55">
        <v>2.0999999999999999E-3</v>
      </c>
      <c r="W91" s="55">
        <v>0.12570000000000001</v>
      </c>
      <c r="X91" s="27">
        <f t="shared" si="55"/>
        <v>2.5952204976227261E-3</v>
      </c>
      <c r="Y91" s="27">
        <f t="shared" si="56"/>
        <v>2.0671834625323781E-3</v>
      </c>
      <c r="Z91" s="27">
        <f t="shared" si="57"/>
        <v>0</v>
      </c>
      <c r="AA91" s="20">
        <f t="shared" si="58"/>
        <v>-1.0000000000000026E-4</v>
      </c>
      <c r="AB91" s="21">
        <f t="shared" si="59"/>
        <v>0</v>
      </c>
    </row>
    <row r="92" spans="1:28" ht="13.5" customHeight="1">
      <c r="A92" s="233">
        <v>81</v>
      </c>
      <c r="B92" s="232" t="s">
        <v>153</v>
      </c>
      <c r="C92" s="12" t="s">
        <v>33</v>
      </c>
      <c r="D92" s="13" t="s">
        <v>23</v>
      </c>
      <c r="E92" s="80">
        <v>1084420172.45</v>
      </c>
      <c r="F92" s="24">
        <f t="shared" si="60"/>
        <v>4.6643264031916015E-3</v>
      </c>
      <c r="G92" s="13" t="s">
        <v>23</v>
      </c>
      <c r="H92" s="259">
        <v>1.5789</v>
      </c>
      <c r="I92" s="13" t="s">
        <v>23</v>
      </c>
      <c r="J92" s="259">
        <v>1.5789</v>
      </c>
      <c r="K92" s="201">
        <v>3271</v>
      </c>
      <c r="L92" s="196">
        <v>7.8535689404015674E-3</v>
      </c>
      <c r="M92" s="196">
        <v>8.5570806829594837E-2</v>
      </c>
      <c r="N92" s="13" t="s">
        <v>23</v>
      </c>
      <c r="O92" s="80">
        <v>1084420172.45</v>
      </c>
      <c r="P92" s="24">
        <f t="shared" si="54"/>
        <v>4.6468967054851505E-3</v>
      </c>
      <c r="Q92" s="13" t="s">
        <v>23</v>
      </c>
      <c r="R92" s="66">
        <v>1.5972</v>
      </c>
      <c r="S92" s="13" t="s">
        <v>23</v>
      </c>
      <c r="T92" s="66">
        <v>1.5972</v>
      </c>
      <c r="U92" s="25">
        <v>3303</v>
      </c>
      <c r="V92" s="55">
        <v>3.7000000000000002E-3</v>
      </c>
      <c r="W92" s="55">
        <v>8.9499999999999996E-2</v>
      </c>
      <c r="X92" s="27">
        <f t="shared" si="55"/>
        <v>0</v>
      </c>
      <c r="Y92" s="27">
        <f t="shared" si="56"/>
        <v>1.1590347710431303E-2</v>
      </c>
      <c r="Z92" s="27">
        <f t="shared" si="57"/>
        <v>9.7829409966371135E-3</v>
      </c>
      <c r="AA92" s="20">
        <f t="shared" si="58"/>
        <v>-4.1535689404015672E-3</v>
      </c>
      <c r="AB92" s="21">
        <f t="shared" si="59"/>
        <v>3.9291931704051597E-3</v>
      </c>
    </row>
    <row r="93" spans="1:28" ht="15" customHeight="1">
      <c r="A93" s="233">
        <v>82</v>
      </c>
      <c r="B93" s="232" t="s">
        <v>154</v>
      </c>
      <c r="C93" s="12" t="s">
        <v>33</v>
      </c>
      <c r="D93" s="13" t="s">
        <v>23</v>
      </c>
      <c r="E93" s="80">
        <v>227263954.93000001</v>
      </c>
      <c r="F93" s="24">
        <f t="shared" si="60"/>
        <v>9.7751157014982657E-4</v>
      </c>
      <c r="G93" s="13" t="s">
        <v>23</v>
      </c>
      <c r="H93" s="259">
        <v>1.0734999999999999</v>
      </c>
      <c r="I93" s="13" t="s">
        <v>23</v>
      </c>
      <c r="J93" s="259">
        <v>1.0734999999999999</v>
      </c>
      <c r="K93" s="201">
        <v>325</v>
      </c>
      <c r="L93" s="196">
        <v>6.1861467803916437E-3</v>
      </c>
      <c r="M93" s="196">
        <v>9.6993014073099015E-2</v>
      </c>
      <c r="N93" s="13" t="s">
        <v>23</v>
      </c>
      <c r="O93" s="80">
        <v>237929152.13999999</v>
      </c>
      <c r="P93" s="24">
        <f t="shared" si="54"/>
        <v>1.0195607028595911E-3</v>
      </c>
      <c r="Q93" s="13" t="s">
        <v>23</v>
      </c>
      <c r="R93" s="66">
        <v>1.0765</v>
      </c>
      <c r="S93" s="13" t="s">
        <v>23</v>
      </c>
      <c r="T93" s="66">
        <v>1.0765</v>
      </c>
      <c r="U93" s="25">
        <v>331</v>
      </c>
      <c r="V93" s="55">
        <v>2.8E-3</v>
      </c>
      <c r="W93" s="55">
        <v>0.1</v>
      </c>
      <c r="X93" s="27">
        <f t="shared" ref="X93" si="63">((O93-E93)/E93)</f>
        <v>4.6928679091609513E-2</v>
      </c>
      <c r="Y93" s="27">
        <f t="shared" ref="Y93" si="64">((T93-J93)/J93)</f>
        <v>2.794597112249757E-3</v>
      </c>
      <c r="Z93" s="27">
        <f t="shared" ref="Z93" si="65">((U93-K93)/K93)</f>
        <v>1.8461538461538463E-2</v>
      </c>
      <c r="AA93" s="20">
        <f t="shared" ref="AA93" si="66">V93-L93</f>
        <v>-3.3861467803916437E-3</v>
      </c>
      <c r="AB93" s="21">
        <f t="shared" ref="AB93" si="67">W93-M93</f>
        <v>3.0069859269009902E-3</v>
      </c>
    </row>
    <row r="94" spans="1:28" ht="15.6" customHeight="1">
      <c r="A94" s="233">
        <v>83</v>
      </c>
      <c r="B94" s="232" t="s">
        <v>155</v>
      </c>
      <c r="C94" s="12" t="s">
        <v>35</v>
      </c>
      <c r="D94" s="13" t="s">
        <v>23</v>
      </c>
      <c r="E94" s="80">
        <v>360081746.56999999</v>
      </c>
      <c r="F94" s="24">
        <f t="shared" si="60"/>
        <v>1.5487897039385232E-3</v>
      </c>
      <c r="G94" s="13" t="s">
        <v>23</v>
      </c>
      <c r="H94" s="259">
        <v>162.6764</v>
      </c>
      <c r="I94" s="13" t="s">
        <v>23</v>
      </c>
      <c r="J94" s="259">
        <v>162.6764</v>
      </c>
      <c r="K94" s="201">
        <v>574</v>
      </c>
      <c r="L94" s="196">
        <v>6.3899999999999998E-3</v>
      </c>
      <c r="M94" s="196">
        <v>0.16289999999999999</v>
      </c>
      <c r="N94" s="13" t="s">
        <v>23</v>
      </c>
      <c r="O94" s="80">
        <v>290777832.86000001</v>
      </c>
      <c r="P94" s="24">
        <f t="shared" si="54"/>
        <v>1.2460249153171735E-3</v>
      </c>
      <c r="Q94" s="13" t="s">
        <v>23</v>
      </c>
      <c r="R94" s="66">
        <v>158.0701</v>
      </c>
      <c r="S94" s="13" t="s">
        <v>23</v>
      </c>
      <c r="T94" s="66">
        <v>158.0701</v>
      </c>
      <c r="U94" s="25">
        <v>543</v>
      </c>
      <c r="V94" s="55">
        <v>6.9300000000000004E-4</v>
      </c>
      <c r="W94" s="55">
        <v>0.1618</v>
      </c>
      <c r="X94" s="27">
        <f t="shared" si="55"/>
        <v>-0.19246716716457404</v>
      </c>
      <c r="Y94" s="27">
        <f t="shared" si="56"/>
        <v>-2.8315723731284957E-2</v>
      </c>
      <c r="Z94" s="27">
        <f t="shared" si="57"/>
        <v>-5.4006968641114983E-2</v>
      </c>
      <c r="AA94" s="20">
        <f t="shared" si="58"/>
        <v>-5.6969999999999998E-3</v>
      </c>
      <c r="AB94" s="21">
        <f t="shared" si="59"/>
        <v>-1.0999999999999899E-3</v>
      </c>
    </row>
    <row r="95" spans="1:28" ht="15" customHeight="1">
      <c r="A95" s="233">
        <v>84</v>
      </c>
      <c r="B95" s="232" t="s">
        <v>156</v>
      </c>
      <c r="C95" s="12" t="s">
        <v>86</v>
      </c>
      <c r="D95" s="13" t="s">
        <v>23</v>
      </c>
      <c r="E95" s="80">
        <v>3460958088.7600002</v>
      </c>
      <c r="F95" s="24">
        <f t="shared" si="60"/>
        <v>1.4886331519701722E-2</v>
      </c>
      <c r="G95" s="13" t="s">
        <v>23</v>
      </c>
      <c r="H95" s="199">
        <v>1433.4729609999999</v>
      </c>
      <c r="I95" s="13" t="s">
        <v>23</v>
      </c>
      <c r="J95" s="199">
        <v>1433.4729609999999</v>
      </c>
      <c r="K95" s="201">
        <v>329</v>
      </c>
      <c r="L95" s="196">
        <v>3.2000000000000002E-3</v>
      </c>
      <c r="M95" s="196">
        <v>0.16700000000000001</v>
      </c>
      <c r="N95" s="13" t="s">
        <v>23</v>
      </c>
      <c r="O95" s="35">
        <v>3422148869.8800001</v>
      </c>
      <c r="P95" s="24">
        <f t="shared" si="54"/>
        <v>1.4664401044105737E-2</v>
      </c>
      <c r="Q95" s="13" t="s">
        <v>23</v>
      </c>
      <c r="R95" s="34">
        <v>1437.9288550000001</v>
      </c>
      <c r="S95" s="13" t="s">
        <v>23</v>
      </c>
      <c r="T95" s="34">
        <v>1437.9288550000001</v>
      </c>
      <c r="U95" s="25">
        <v>315</v>
      </c>
      <c r="V95" s="26">
        <v>3.0999999999999999E-3</v>
      </c>
      <c r="W95" s="26">
        <v>0.169126</v>
      </c>
      <c r="X95" s="27">
        <f t="shared" si="55"/>
        <v>-1.1213432201343059E-2</v>
      </c>
      <c r="Y95" s="27">
        <f t="shared" si="56"/>
        <v>3.1084604462240507E-3</v>
      </c>
      <c r="Z95" s="27">
        <f t="shared" si="57"/>
        <v>-4.2553191489361701E-2</v>
      </c>
      <c r="AA95" s="20">
        <f t="shared" si="58"/>
        <v>-1.0000000000000026E-4</v>
      </c>
      <c r="AB95" s="21">
        <f t="shared" si="59"/>
        <v>2.125999999999989E-3</v>
      </c>
    </row>
    <row r="96" spans="1:28" ht="14.4" customHeight="1">
      <c r="A96" s="233">
        <v>85</v>
      </c>
      <c r="B96" s="232" t="s">
        <v>157</v>
      </c>
      <c r="C96" s="12" t="s">
        <v>88</v>
      </c>
      <c r="D96" s="13" t="s">
        <v>23</v>
      </c>
      <c r="E96" s="80">
        <v>151953111.74000001</v>
      </c>
      <c r="F96" s="24">
        <f t="shared" si="60"/>
        <v>6.5358329653230881E-4</v>
      </c>
      <c r="G96" s="13" t="s">
        <v>23</v>
      </c>
      <c r="H96" s="199">
        <v>1033.9100000000001</v>
      </c>
      <c r="I96" s="13" t="s">
        <v>23</v>
      </c>
      <c r="J96" s="199">
        <v>1054.21</v>
      </c>
      <c r="K96" s="201">
        <v>70</v>
      </c>
      <c r="L96" s="196">
        <v>4.7000000000000002E-3</v>
      </c>
      <c r="M96" s="196">
        <v>6.6199999999999995E-2</v>
      </c>
      <c r="N96" s="13" t="s">
        <v>23</v>
      </c>
      <c r="O96" s="80">
        <v>154610458.38999999</v>
      </c>
      <c r="P96" s="24">
        <f t="shared" si="54"/>
        <v>6.6252809379490425E-4</v>
      </c>
      <c r="Q96" s="13" t="s">
        <v>23</v>
      </c>
      <c r="R96" s="34">
        <v>1049.49</v>
      </c>
      <c r="S96" s="13" t="s">
        <v>23</v>
      </c>
      <c r="T96" s="34">
        <v>1056.5</v>
      </c>
      <c r="U96" s="25">
        <v>70</v>
      </c>
      <c r="V96" s="55">
        <v>8.8000000000000005E-3</v>
      </c>
      <c r="W96" s="55">
        <v>7.4999999999999997E-2</v>
      </c>
      <c r="X96" s="27">
        <f t="shared" si="55"/>
        <v>1.7487938348685086E-2</v>
      </c>
      <c r="Y96" s="27">
        <f t="shared" si="56"/>
        <v>2.172242722038269E-3</v>
      </c>
      <c r="Z96" s="27">
        <f t="shared" si="57"/>
        <v>0</v>
      </c>
      <c r="AA96" s="20">
        <f t="shared" si="58"/>
        <v>4.1000000000000003E-3</v>
      </c>
      <c r="AB96" s="21">
        <f t="shared" si="59"/>
        <v>8.8000000000000023E-3</v>
      </c>
    </row>
    <row r="97" spans="1:28" ht="15" customHeight="1">
      <c r="A97" s="233">
        <v>86</v>
      </c>
      <c r="B97" s="232" t="s">
        <v>158</v>
      </c>
      <c r="C97" s="12" t="s">
        <v>91</v>
      </c>
      <c r="D97" s="13" t="s">
        <v>23</v>
      </c>
      <c r="E97" s="80">
        <v>800695848.52999997</v>
      </c>
      <c r="F97" s="24">
        <f t="shared" si="60"/>
        <v>3.4439665381608164E-3</v>
      </c>
      <c r="G97" s="13" t="s">
        <v>23</v>
      </c>
      <c r="H97" s="260">
        <v>1.2251000000000001</v>
      </c>
      <c r="I97" s="13" t="s">
        <v>23</v>
      </c>
      <c r="J97" s="260">
        <v>1.2251000000000001</v>
      </c>
      <c r="K97" s="201">
        <v>71</v>
      </c>
      <c r="L97" s="196">
        <v>1.4E-3</v>
      </c>
      <c r="M97" s="196">
        <v>0.13650000000000001</v>
      </c>
      <c r="N97" s="13" t="s">
        <v>23</v>
      </c>
      <c r="O97" s="35">
        <v>803454298.62</v>
      </c>
      <c r="P97" s="24">
        <f t="shared" si="54"/>
        <v>3.4429174485292105E-3</v>
      </c>
      <c r="Q97" s="13" t="s">
        <v>23</v>
      </c>
      <c r="R97" s="67">
        <v>1.2251000000000001</v>
      </c>
      <c r="S97" s="13" t="s">
        <v>23</v>
      </c>
      <c r="T97" s="67">
        <v>1.2251000000000001</v>
      </c>
      <c r="U97" s="25">
        <v>72</v>
      </c>
      <c r="V97" s="26">
        <v>1.7129999999999999E-3</v>
      </c>
      <c r="W97" s="26">
        <v>0.13619999999999999</v>
      </c>
      <c r="X97" s="27">
        <f t="shared" si="55"/>
        <v>3.4450660573103766E-3</v>
      </c>
      <c r="Y97" s="27">
        <f t="shared" si="56"/>
        <v>0</v>
      </c>
      <c r="Z97" s="27">
        <f t="shared" si="57"/>
        <v>1.4084507042253521E-2</v>
      </c>
      <c r="AA97" s="20">
        <f t="shared" si="58"/>
        <v>3.1299999999999991E-4</v>
      </c>
      <c r="AB97" s="21">
        <f t="shared" si="59"/>
        <v>-3.0000000000002247E-4</v>
      </c>
    </row>
    <row r="98" spans="1:28" ht="15" customHeight="1">
      <c r="A98" s="233">
        <v>87</v>
      </c>
      <c r="B98" s="232" t="s">
        <v>159</v>
      </c>
      <c r="C98" s="12" t="s">
        <v>37</v>
      </c>
      <c r="D98" s="13" t="s">
        <v>23</v>
      </c>
      <c r="E98" s="80">
        <v>1091958324.47</v>
      </c>
      <c r="F98" s="24">
        <f t="shared" si="60"/>
        <v>4.6967496302685388E-3</v>
      </c>
      <c r="G98" s="13" t="s">
        <v>23</v>
      </c>
      <c r="H98" s="259">
        <v>3.98</v>
      </c>
      <c r="I98" s="13" t="s">
        <v>23</v>
      </c>
      <c r="J98" s="259">
        <v>3.99</v>
      </c>
      <c r="K98" s="257">
        <v>841</v>
      </c>
      <c r="L98" s="258">
        <v>1.52E-2</v>
      </c>
      <c r="M98" s="258">
        <v>0.15759999999999999</v>
      </c>
      <c r="N98" s="13" t="s">
        <v>23</v>
      </c>
      <c r="O98" s="80">
        <v>1099718406.26</v>
      </c>
      <c r="P98" s="24">
        <f t="shared" si="54"/>
        <v>4.712451841858924E-3</v>
      </c>
      <c r="Q98" s="13" t="s">
        <v>23</v>
      </c>
      <c r="R98" s="66">
        <v>4</v>
      </c>
      <c r="S98" s="13" t="s">
        <v>23</v>
      </c>
      <c r="T98" s="66">
        <v>4.0199999999999996</v>
      </c>
      <c r="U98" s="60">
        <v>844</v>
      </c>
      <c r="V98" s="61">
        <v>1.9900000000000001E-2</v>
      </c>
      <c r="W98" s="61">
        <v>0.1608</v>
      </c>
      <c r="X98" s="27">
        <f>((O98-E98)/E98)</f>
        <v>7.1065732236314473E-3</v>
      </c>
      <c r="Y98" s="27">
        <f>((T98-J98)/J98)</f>
        <v>7.5187969924810421E-3</v>
      </c>
      <c r="Z98" s="27">
        <f>((U98-K98)/K98)</f>
        <v>3.5671819262782403E-3</v>
      </c>
      <c r="AA98" s="20">
        <f>V98-L98</f>
        <v>4.7000000000000011E-3</v>
      </c>
      <c r="AB98" s="21">
        <f>W98-M98</f>
        <v>3.2000000000000084E-3</v>
      </c>
    </row>
    <row r="99" spans="1:28" ht="14.4" customHeight="1">
      <c r="A99" s="233">
        <v>88</v>
      </c>
      <c r="B99" s="232" t="s">
        <v>160</v>
      </c>
      <c r="C99" s="12" t="s">
        <v>39</v>
      </c>
      <c r="D99" s="13" t="s">
        <v>23</v>
      </c>
      <c r="E99" s="67">
        <v>11782428254.959999</v>
      </c>
      <c r="F99" s="24">
        <f t="shared" si="60"/>
        <v>5.0678779867362356E-2</v>
      </c>
      <c r="G99" s="13" t="s">
        <v>23</v>
      </c>
      <c r="H99" s="260">
        <v>1774.14</v>
      </c>
      <c r="I99" s="13" t="s">
        <v>23</v>
      </c>
      <c r="J99" s="260">
        <v>1774.14</v>
      </c>
      <c r="K99" s="201">
        <v>2307</v>
      </c>
      <c r="L99" s="196">
        <v>-2.0999999999999999E-3</v>
      </c>
      <c r="M99" s="196">
        <v>6.4799999999999996E-2</v>
      </c>
      <c r="N99" s="13" t="s">
        <v>23</v>
      </c>
      <c r="O99" s="67">
        <v>11807935509.280001</v>
      </c>
      <c r="P99" s="24">
        <f t="shared" si="54"/>
        <v>5.0598705198085285E-2</v>
      </c>
      <c r="Q99" s="13" t="s">
        <v>23</v>
      </c>
      <c r="R99" s="67">
        <v>1776.46</v>
      </c>
      <c r="S99" s="13" t="s">
        <v>23</v>
      </c>
      <c r="T99" s="67">
        <v>1776.46</v>
      </c>
      <c r="U99" s="25">
        <v>2308</v>
      </c>
      <c r="V99" s="55">
        <v>-1.2999999999999999E-3</v>
      </c>
      <c r="W99" s="55">
        <v>6.6100000000000006E-2</v>
      </c>
      <c r="X99" s="27">
        <f t="shared" si="55"/>
        <v>2.1648554752933822E-3</v>
      </c>
      <c r="Y99" s="27">
        <f t="shared" si="56"/>
        <v>1.3076758316705199E-3</v>
      </c>
      <c r="Z99" s="27">
        <f t="shared" si="57"/>
        <v>4.3346337234503684E-4</v>
      </c>
      <c r="AA99" s="20">
        <f t="shared" si="58"/>
        <v>7.9999999999999993E-4</v>
      </c>
      <c r="AB99" s="21">
        <f t="shared" si="59"/>
        <v>1.3000000000000095E-3</v>
      </c>
    </row>
    <row r="100" spans="1:28" ht="13.95" customHeight="1">
      <c r="A100" s="233">
        <v>89</v>
      </c>
      <c r="B100" s="232" t="s">
        <v>161</v>
      </c>
      <c r="C100" s="12" t="s">
        <v>101</v>
      </c>
      <c r="D100" s="13" t="s">
        <v>23</v>
      </c>
      <c r="E100" s="80">
        <v>24450157.620000001</v>
      </c>
      <c r="F100" s="24">
        <f t="shared" si="60"/>
        <v>1.051654318560923E-4</v>
      </c>
      <c r="G100" s="13" t="s">
        <v>23</v>
      </c>
      <c r="H100" s="259">
        <v>0.74680000000000002</v>
      </c>
      <c r="I100" s="13" t="s">
        <v>23</v>
      </c>
      <c r="J100" s="259">
        <v>0.74680000000000002</v>
      </c>
      <c r="K100" s="201">
        <v>744</v>
      </c>
      <c r="L100" s="196">
        <v>2.1470746108427884E-3</v>
      </c>
      <c r="M100" s="196">
        <v>2.3855223471346269E-2</v>
      </c>
      <c r="N100" s="13" t="s">
        <v>23</v>
      </c>
      <c r="O100" s="35">
        <v>23740407.34</v>
      </c>
      <c r="P100" s="24">
        <f t="shared" si="54"/>
        <v>1.0173106647940749E-4</v>
      </c>
      <c r="Q100" s="13" t="s">
        <v>23</v>
      </c>
      <c r="R100" s="66">
        <v>0.72519999999999996</v>
      </c>
      <c r="S100" s="13" t="s">
        <v>23</v>
      </c>
      <c r="T100" s="66">
        <v>0.72519999999999996</v>
      </c>
      <c r="U100" s="25">
        <v>744</v>
      </c>
      <c r="V100" s="55">
        <v>-2.8899999999999999E-2</v>
      </c>
      <c r="W100" s="55">
        <v>-5.7999999999999996E-3</v>
      </c>
      <c r="X100" s="27">
        <f t="shared" si="55"/>
        <v>-2.9028454173212859E-2</v>
      </c>
      <c r="Y100" s="27">
        <f t="shared" si="56"/>
        <v>-2.8923406534547488E-2</v>
      </c>
      <c r="Z100" s="27">
        <f t="shared" si="57"/>
        <v>0</v>
      </c>
      <c r="AA100" s="20">
        <f t="shared" si="58"/>
        <v>-3.1047074610842787E-2</v>
      </c>
      <c r="AB100" s="21">
        <f t="shared" si="59"/>
        <v>-2.9655223471346269E-2</v>
      </c>
    </row>
    <row r="101" spans="1:28" ht="15.6" customHeight="1">
      <c r="A101" s="233">
        <v>90</v>
      </c>
      <c r="B101" s="232" t="s">
        <v>162</v>
      </c>
      <c r="C101" s="12" t="s">
        <v>45</v>
      </c>
      <c r="D101" s="13" t="s">
        <v>23</v>
      </c>
      <c r="E101" s="80">
        <v>13535140443.33</v>
      </c>
      <c r="F101" s="24">
        <f t="shared" si="60"/>
        <v>5.8217575202513562E-2</v>
      </c>
      <c r="G101" s="13" t="s">
        <v>23</v>
      </c>
      <c r="H101" s="259">
        <v>1</v>
      </c>
      <c r="I101" s="13" t="s">
        <v>23</v>
      </c>
      <c r="J101" s="259">
        <v>1</v>
      </c>
      <c r="K101" s="201">
        <v>7555</v>
      </c>
      <c r="L101" s="196">
        <v>0.06</v>
      </c>
      <c r="M101" s="196">
        <v>0.06</v>
      </c>
      <c r="N101" s="13" t="s">
        <v>23</v>
      </c>
      <c r="O101" s="35">
        <v>13890174793.27</v>
      </c>
      <c r="P101" s="24">
        <f t="shared" si="54"/>
        <v>5.9521400583716383E-2</v>
      </c>
      <c r="Q101" s="13" t="s">
        <v>23</v>
      </c>
      <c r="R101" s="66">
        <v>1</v>
      </c>
      <c r="S101" s="13" t="s">
        <v>23</v>
      </c>
      <c r="T101" s="66">
        <v>1</v>
      </c>
      <c r="U101" s="25">
        <v>7625</v>
      </c>
      <c r="V101" s="26">
        <v>0.06</v>
      </c>
      <c r="W101" s="26">
        <v>0.06</v>
      </c>
      <c r="X101" s="27">
        <f t="shared" si="55"/>
        <v>2.6230562691719861E-2</v>
      </c>
      <c r="Y101" s="27">
        <f t="shared" si="56"/>
        <v>0</v>
      </c>
      <c r="Z101" s="27">
        <f t="shared" si="57"/>
        <v>9.2653871608206484E-3</v>
      </c>
      <c r="AA101" s="20">
        <f t="shared" si="58"/>
        <v>0</v>
      </c>
      <c r="AB101" s="21">
        <f t="shared" si="59"/>
        <v>0</v>
      </c>
    </row>
    <row r="102" spans="1:28" ht="14.4" customHeight="1">
      <c r="A102" s="233">
        <v>91</v>
      </c>
      <c r="B102" s="232" t="s">
        <v>163</v>
      </c>
      <c r="C102" s="12" t="s">
        <v>164</v>
      </c>
      <c r="D102" s="13" t="s">
        <v>23</v>
      </c>
      <c r="E102" s="80">
        <v>2096424435.73</v>
      </c>
      <c r="F102" s="24">
        <f t="shared" si="60"/>
        <v>9.017176271978981E-3</v>
      </c>
      <c r="G102" s="13" t="s">
        <v>23</v>
      </c>
      <c r="H102" s="197">
        <v>291.87</v>
      </c>
      <c r="I102" s="13" t="s">
        <v>23</v>
      </c>
      <c r="J102" s="197">
        <v>291.87</v>
      </c>
      <c r="K102" s="201">
        <v>543</v>
      </c>
      <c r="L102" s="196">
        <v>3.0000000000000001E-3</v>
      </c>
      <c r="M102" s="196">
        <v>0.14430000000000001</v>
      </c>
      <c r="N102" s="13" t="s">
        <v>23</v>
      </c>
      <c r="O102" s="80">
        <v>2142258228.0599999</v>
      </c>
      <c r="P102" s="24">
        <f t="shared" si="54"/>
        <v>9.1798852097888881E-3</v>
      </c>
      <c r="Q102" s="13" t="s">
        <v>23</v>
      </c>
      <c r="R102" s="80">
        <v>292.75</v>
      </c>
      <c r="S102" s="13" t="s">
        <v>23</v>
      </c>
      <c r="T102" s="80">
        <v>292.75</v>
      </c>
      <c r="U102" s="25">
        <v>543</v>
      </c>
      <c r="V102" s="196">
        <v>3.0000000000000001E-3</v>
      </c>
      <c r="W102" s="196">
        <v>0.1457</v>
      </c>
      <c r="X102" s="27">
        <f t="shared" si="55"/>
        <v>2.1862840152423645E-2</v>
      </c>
      <c r="Y102" s="27">
        <f t="shared" si="56"/>
        <v>3.0150409428855154E-3</v>
      </c>
      <c r="Z102" s="27">
        <f t="shared" si="57"/>
        <v>0</v>
      </c>
      <c r="AA102" s="20">
        <f t="shared" si="58"/>
        <v>0</v>
      </c>
      <c r="AB102" s="21">
        <f t="shared" si="59"/>
        <v>1.3999999999999846E-3</v>
      </c>
    </row>
    <row r="103" spans="1:28" ht="13.95" customHeight="1">
      <c r="A103" s="233">
        <v>92</v>
      </c>
      <c r="B103" s="232" t="s">
        <v>165</v>
      </c>
      <c r="C103" s="12" t="s">
        <v>49</v>
      </c>
      <c r="D103" s="13" t="s">
        <v>23</v>
      </c>
      <c r="E103" s="80">
        <v>745733213.70000005</v>
      </c>
      <c r="F103" s="24">
        <f t="shared" si="60"/>
        <v>3.207560322803026E-3</v>
      </c>
      <c r="G103" s="13" t="s">
        <v>23</v>
      </c>
      <c r="H103" s="259">
        <v>111.79</v>
      </c>
      <c r="I103" s="13" t="s">
        <v>23</v>
      </c>
      <c r="J103" s="259">
        <v>111.79</v>
      </c>
      <c r="K103" s="257">
        <v>209</v>
      </c>
      <c r="L103" s="258">
        <v>0.14749999999999999</v>
      </c>
      <c r="M103" s="258">
        <v>0.16889999999999999</v>
      </c>
      <c r="N103" s="13" t="s">
        <v>23</v>
      </c>
      <c r="O103" s="35">
        <v>744958330.75</v>
      </c>
      <c r="P103" s="24">
        <f t="shared" si="54"/>
        <v>3.1922537968515196E-3</v>
      </c>
      <c r="Q103" s="13" t="s">
        <v>23</v>
      </c>
      <c r="R103" s="66">
        <v>112.14</v>
      </c>
      <c r="S103" s="13" t="s">
        <v>23</v>
      </c>
      <c r="T103" s="66">
        <v>112.14</v>
      </c>
      <c r="U103" s="60">
        <v>211</v>
      </c>
      <c r="V103" s="61">
        <v>0.14349999999999999</v>
      </c>
      <c r="W103" s="61">
        <v>0.16669999999999999</v>
      </c>
      <c r="X103" s="27">
        <f t="shared" si="55"/>
        <v>-1.0390886925304285E-3</v>
      </c>
      <c r="Y103" s="27">
        <f t="shared" si="56"/>
        <v>3.1308703819661354E-3</v>
      </c>
      <c r="Z103" s="27">
        <f t="shared" si="57"/>
        <v>9.5693779904306216E-3</v>
      </c>
      <c r="AA103" s="20">
        <f t="shared" si="58"/>
        <v>-4.0000000000000036E-3</v>
      </c>
      <c r="AB103" s="21">
        <f t="shared" si="59"/>
        <v>-2.2000000000000075E-3</v>
      </c>
    </row>
    <row r="104" spans="1:28" ht="15.6" customHeight="1">
      <c r="A104" s="233">
        <v>93</v>
      </c>
      <c r="B104" s="192" t="s">
        <v>166</v>
      </c>
      <c r="C104" s="68" t="s">
        <v>53</v>
      </c>
      <c r="D104" s="13" t="s">
        <v>23</v>
      </c>
      <c r="E104" s="80">
        <v>1495215900.53</v>
      </c>
      <c r="F104" s="24">
        <f t="shared" si="60"/>
        <v>6.4312479429052202E-3</v>
      </c>
      <c r="G104" s="13" t="s">
        <v>23</v>
      </c>
      <c r="H104" s="259">
        <v>112.02</v>
      </c>
      <c r="I104" s="13" t="s">
        <v>23</v>
      </c>
      <c r="J104" s="259">
        <v>112.5416</v>
      </c>
      <c r="K104" s="201">
        <v>4602</v>
      </c>
      <c r="L104" s="196">
        <v>1.8E-3</v>
      </c>
      <c r="M104" s="196">
        <v>0.14499999999999999</v>
      </c>
      <c r="N104" s="13" t="s">
        <v>23</v>
      </c>
      <c r="O104" s="35">
        <v>1514457506.9200001</v>
      </c>
      <c r="P104" s="24">
        <f t="shared" si="54"/>
        <v>6.4896686526995477E-3</v>
      </c>
      <c r="Q104" s="13" t="s">
        <v>23</v>
      </c>
      <c r="R104" s="66">
        <v>113.2881</v>
      </c>
      <c r="S104" s="13" t="s">
        <v>23</v>
      </c>
      <c r="T104" s="66">
        <v>113.8537</v>
      </c>
      <c r="U104" s="25">
        <v>4655</v>
      </c>
      <c r="V104" s="26">
        <v>4.7999999999999996E-3</v>
      </c>
      <c r="W104" s="26">
        <v>9.6500000000000002E-2</v>
      </c>
      <c r="X104" s="27">
        <f t="shared" si="55"/>
        <v>1.2868781279800229E-2</v>
      </c>
      <c r="Y104" s="27">
        <f t="shared" si="56"/>
        <v>1.165879994597554E-2</v>
      </c>
      <c r="Z104" s="27">
        <f t="shared" si="57"/>
        <v>1.1516731855714906E-2</v>
      </c>
      <c r="AA104" s="20">
        <f t="shared" si="58"/>
        <v>2.9999999999999996E-3</v>
      </c>
      <c r="AB104" s="21">
        <f t="shared" si="59"/>
        <v>-4.8499999999999988E-2</v>
      </c>
    </row>
    <row r="105" spans="1:28" ht="13.2" customHeight="1">
      <c r="A105" s="233">
        <v>94</v>
      </c>
      <c r="B105" s="232" t="s">
        <v>167</v>
      </c>
      <c r="C105" s="12" t="s">
        <v>22</v>
      </c>
      <c r="D105" s="13" t="s">
        <v>23</v>
      </c>
      <c r="E105" s="39">
        <v>1828324235</v>
      </c>
      <c r="F105" s="15">
        <f t="shared" si="60"/>
        <v>7.8640191501037279E-3</v>
      </c>
      <c r="G105" s="13" t="s">
        <v>23</v>
      </c>
      <c r="H105" s="69">
        <v>419.87920000000003</v>
      </c>
      <c r="I105" s="13" t="s">
        <v>23</v>
      </c>
      <c r="J105" s="69">
        <v>419.87920000000003</v>
      </c>
      <c r="K105" s="18">
        <v>97</v>
      </c>
      <c r="L105" s="19">
        <v>3.2000000000000002E-3</v>
      </c>
      <c r="M105" s="19">
        <v>9.1300000000000006E-2</v>
      </c>
      <c r="N105" s="13" t="s">
        <v>23</v>
      </c>
      <c r="O105" s="39">
        <v>1838469245.3099999</v>
      </c>
      <c r="P105" s="15">
        <f t="shared" si="54"/>
        <v>7.8781056422672878E-3</v>
      </c>
      <c r="Q105" s="13" t="s">
        <v>23</v>
      </c>
      <c r="R105" s="69" t="s">
        <v>349</v>
      </c>
      <c r="S105" s="13" t="s">
        <v>23</v>
      </c>
      <c r="T105" s="69">
        <v>421.06659999999999</v>
      </c>
      <c r="U105" s="16">
        <v>97</v>
      </c>
      <c r="V105" s="19">
        <v>0.14729999999999999</v>
      </c>
      <c r="W105" s="19">
        <v>9.4299999999999995E-2</v>
      </c>
      <c r="X105" s="20">
        <f t="shared" si="55"/>
        <v>5.5488026225282427E-3</v>
      </c>
      <c r="Y105" s="20">
        <f t="shared" si="56"/>
        <v>2.8279562312207135E-3</v>
      </c>
      <c r="Z105" s="20">
        <f t="shared" si="57"/>
        <v>0</v>
      </c>
      <c r="AA105" s="20">
        <f t="shared" si="58"/>
        <v>0.14409999999999998</v>
      </c>
      <c r="AB105" s="21">
        <f t="shared" si="59"/>
        <v>2.9999999999999888E-3</v>
      </c>
    </row>
    <row r="106" spans="1:28" ht="14.4" customHeight="1">
      <c r="A106" s="233">
        <v>95</v>
      </c>
      <c r="B106" s="232" t="s">
        <v>168</v>
      </c>
      <c r="C106" s="12" t="s">
        <v>114</v>
      </c>
      <c r="D106" s="13" t="s">
        <v>23</v>
      </c>
      <c r="E106" s="54">
        <v>3987239088</v>
      </c>
      <c r="F106" s="24">
        <f>(E106/$O$79)</f>
        <v>6.1941607362947645E-4</v>
      </c>
      <c r="G106" s="13" t="s">
        <v>23</v>
      </c>
      <c r="H106" s="259">
        <v>107.28</v>
      </c>
      <c r="I106" s="70" t="s">
        <v>23</v>
      </c>
      <c r="J106" s="259">
        <v>107.28</v>
      </c>
      <c r="K106" s="201">
        <v>515</v>
      </c>
      <c r="L106" s="196">
        <v>5.5999999999999999E-3</v>
      </c>
      <c r="M106" s="196">
        <v>0.12859999999999999</v>
      </c>
      <c r="N106" s="13" t="s">
        <v>23</v>
      </c>
      <c r="O106" s="54">
        <v>4002917234</v>
      </c>
      <c r="P106" s="24">
        <f t="shared" si="54"/>
        <v>1.715307717393277E-2</v>
      </c>
      <c r="Q106" s="13" t="s">
        <v>23</v>
      </c>
      <c r="R106" s="66">
        <v>107.71</v>
      </c>
      <c r="S106" s="70" t="s">
        <v>23</v>
      </c>
      <c r="T106" s="70">
        <v>107.71</v>
      </c>
      <c r="U106" s="25">
        <v>518</v>
      </c>
      <c r="V106" s="55">
        <v>4.0000000000000001E-3</v>
      </c>
      <c r="W106" s="55">
        <v>0.1313</v>
      </c>
      <c r="X106" s="27">
        <f t="shared" si="55"/>
        <v>3.9320807340560461E-3</v>
      </c>
      <c r="Y106" s="27">
        <f t="shared" si="56"/>
        <v>4.0082028337061204E-3</v>
      </c>
      <c r="Z106" s="27">
        <f t="shared" si="57"/>
        <v>5.8252427184466021E-3</v>
      </c>
      <c r="AA106" s="20">
        <f t="shared" si="58"/>
        <v>-1.5999999999999999E-3</v>
      </c>
      <c r="AB106" s="21">
        <f t="shared" si="59"/>
        <v>2.7000000000000079E-3</v>
      </c>
    </row>
    <row r="107" spans="1:28" ht="14.4" customHeight="1">
      <c r="A107" s="233">
        <v>96</v>
      </c>
      <c r="B107" s="232" t="s">
        <v>169</v>
      </c>
      <c r="C107" s="12" t="s">
        <v>51</v>
      </c>
      <c r="D107" s="13" t="s">
        <v>23</v>
      </c>
      <c r="E107" s="80">
        <v>62468844.18</v>
      </c>
      <c r="F107" s="24">
        <f t="shared" ref="F107:F119" si="68">(E107/$E$120)</f>
        <v>2.6869205008178747E-4</v>
      </c>
      <c r="G107" s="13" t="s">
        <v>23</v>
      </c>
      <c r="H107" s="197">
        <v>13</v>
      </c>
      <c r="I107" s="13" t="s">
        <v>23</v>
      </c>
      <c r="J107" s="197">
        <v>13.19</v>
      </c>
      <c r="K107" s="201">
        <v>52</v>
      </c>
      <c r="L107" s="196">
        <v>0</v>
      </c>
      <c r="M107" s="196">
        <v>0</v>
      </c>
      <c r="N107" s="13" t="s">
        <v>23</v>
      </c>
      <c r="O107" s="35">
        <v>62572820.909999996</v>
      </c>
      <c r="P107" s="24">
        <f t="shared" si="54"/>
        <v>2.6813355443459165E-4</v>
      </c>
      <c r="Q107" s="13" t="s">
        <v>23</v>
      </c>
      <c r="R107" s="35">
        <v>13.02</v>
      </c>
      <c r="S107" s="13" t="s">
        <v>23</v>
      </c>
      <c r="T107" s="35">
        <v>13.22</v>
      </c>
      <c r="U107" s="25">
        <v>52</v>
      </c>
      <c r="V107" s="26">
        <v>1E-4</v>
      </c>
      <c r="W107" s="26">
        <v>0</v>
      </c>
      <c r="X107" s="27">
        <f t="shared" si="55"/>
        <v>1.6644574005626612E-3</v>
      </c>
      <c r="Y107" s="27">
        <f t="shared" si="56"/>
        <v>2.2744503411676375E-3</v>
      </c>
      <c r="Z107" s="27">
        <f t="shared" si="57"/>
        <v>0</v>
      </c>
      <c r="AA107" s="20">
        <f t="shared" si="58"/>
        <v>1E-4</v>
      </c>
      <c r="AB107" s="21">
        <f t="shared" si="59"/>
        <v>0</v>
      </c>
    </row>
    <row r="108" spans="1:28" ht="13.95" customHeight="1">
      <c r="A108" s="233">
        <v>97</v>
      </c>
      <c r="B108" s="232" t="s">
        <v>170</v>
      </c>
      <c r="C108" s="12" t="s">
        <v>123</v>
      </c>
      <c r="D108" s="13" t="s">
        <v>23</v>
      </c>
      <c r="E108" s="80">
        <v>1251635513.3399999</v>
      </c>
      <c r="F108" s="24">
        <f t="shared" si="68"/>
        <v>5.3835558581083231E-3</v>
      </c>
      <c r="G108" s="13" t="s">
        <v>23</v>
      </c>
      <c r="H108" s="197">
        <v>173.15</v>
      </c>
      <c r="I108" s="13" t="s">
        <v>23</v>
      </c>
      <c r="J108" s="197">
        <v>173.15</v>
      </c>
      <c r="K108" s="201">
        <v>193</v>
      </c>
      <c r="L108" s="196">
        <v>0.32940000000000003</v>
      </c>
      <c r="M108" s="196">
        <v>0.17949999999999999</v>
      </c>
      <c r="N108" s="13" t="s">
        <v>23</v>
      </c>
      <c r="O108" s="80">
        <v>1224991706.6600001</v>
      </c>
      <c r="P108" s="24">
        <f t="shared" si="54"/>
        <v>5.2492659861391958E-3</v>
      </c>
      <c r="Q108" s="13" t="s">
        <v>23</v>
      </c>
      <c r="R108" s="80">
        <v>173.57</v>
      </c>
      <c r="S108" s="13" t="s">
        <v>23</v>
      </c>
      <c r="T108" s="80">
        <v>173.57</v>
      </c>
      <c r="U108" s="25">
        <v>193</v>
      </c>
      <c r="V108" s="55">
        <v>0.11890000000000001</v>
      </c>
      <c r="W108" s="26">
        <v>0.1782</v>
      </c>
      <c r="X108" s="27">
        <f t="shared" si="55"/>
        <v>-2.12871929535625E-2</v>
      </c>
      <c r="Y108" s="27">
        <f t="shared" si="56"/>
        <v>2.4256425064971845E-3</v>
      </c>
      <c r="Z108" s="27">
        <f t="shared" si="57"/>
        <v>0</v>
      </c>
      <c r="AA108" s="20">
        <f t="shared" si="58"/>
        <v>-0.21050000000000002</v>
      </c>
      <c r="AB108" s="21">
        <f t="shared" si="59"/>
        <v>-1.2999999999999956E-3</v>
      </c>
    </row>
    <row r="109" spans="1:28" ht="14.4" customHeight="1">
      <c r="A109" s="233">
        <v>98</v>
      </c>
      <c r="B109" s="232" t="s">
        <v>171</v>
      </c>
      <c r="C109" s="12" t="s">
        <v>172</v>
      </c>
      <c r="D109" s="13" t="s">
        <v>23</v>
      </c>
      <c r="E109" s="80">
        <v>12732092983.55139</v>
      </c>
      <c r="F109" s="24">
        <f t="shared" si="68"/>
        <v>5.4763493874241308E-2</v>
      </c>
      <c r="G109" s="13" t="s">
        <v>23</v>
      </c>
      <c r="H109" s="197">
        <v>1.0945064458499527</v>
      </c>
      <c r="I109" s="13" t="s">
        <v>23</v>
      </c>
      <c r="J109" s="197">
        <v>1.0945064458499527</v>
      </c>
      <c r="K109" s="201">
        <v>5577</v>
      </c>
      <c r="L109" s="196">
        <v>0.1603</v>
      </c>
      <c r="M109" s="196">
        <v>0.1603</v>
      </c>
      <c r="N109" s="13" t="s">
        <v>23</v>
      </c>
      <c r="O109" s="35">
        <v>12722626688.977125</v>
      </c>
      <c r="P109" s="24">
        <f t="shared" si="54"/>
        <v>5.4518288711427644E-2</v>
      </c>
      <c r="Q109" s="13" t="s">
        <v>23</v>
      </c>
      <c r="R109" s="35">
        <v>1.0969148738618513</v>
      </c>
      <c r="S109" s="13" t="s">
        <v>23</v>
      </c>
      <c r="T109" s="80">
        <v>1.0969148738618513</v>
      </c>
      <c r="U109" s="25">
        <v>5599</v>
      </c>
      <c r="V109" s="55">
        <v>0.1605</v>
      </c>
      <c r="W109" s="26">
        <v>0.1605</v>
      </c>
      <c r="X109" s="27">
        <f t="shared" si="55"/>
        <v>-7.4349869942781969E-4</v>
      </c>
      <c r="Y109" s="27">
        <f t="shared" si="56"/>
        <v>2.2004694636843921E-3</v>
      </c>
      <c r="Z109" s="27">
        <f t="shared" si="57"/>
        <v>3.9447731755424065E-3</v>
      </c>
      <c r="AA109" s="20">
        <f t="shared" si="58"/>
        <v>2.0000000000000573E-4</v>
      </c>
      <c r="AB109" s="21">
        <f t="shared" si="59"/>
        <v>2.0000000000000573E-4</v>
      </c>
    </row>
    <row r="110" spans="1:28" ht="13.5" customHeight="1">
      <c r="A110" s="233">
        <v>99</v>
      </c>
      <c r="B110" s="232" t="s">
        <v>173</v>
      </c>
      <c r="C110" s="12" t="s">
        <v>55</v>
      </c>
      <c r="D110" s="13" t="s">
        <v>23</v>
      </c>
      <c r="E110" s="80">
        <v>14958747049.34</v>
      </c>
      <c r="F110" s="24">
        <f t="shared" si="68"/>
        <v>6.4340816035601794E-2</v>
      </c>
      <c r="G110" s="13" t="s">
        <v>23</v>
      </c>
      <c r="H110" s="259">
        <v>260.43</v>
      </c>
      <c r="I110" s="13" t="s">
        <v>23</v>
      </c>
      <c r="J110" s="259">
        <v>260.43</v>
      </c>
      <c r="K110" s="201">
        <v>5923</v>
      </c>
      <c r="L110" s="196">
        <v>2.11636139756815E-3</v>
      </c>
      <c r="M110" s="196">
        <v>4.5903409967597503E-3</v>
      </c>
      <c r="N110" s="13" t="s">
        <v>23</v>
      </c>
      <c r="O110" s="80">
        <v>14979721655.959999</v>
      </c>
      <c r="P110" s="24">
        <f t="shared" si="54"/>
        <v>6.41902658956435E-2</v>
      </c>
      <c r="Q110" s="13" t="s">
        <v>23</v>
      </c>
      <c r="R110" s="66">
        <v>260.94</v>
      </c>
      <c r="S110" s="13" t="s">
        <v>23</v>
      </c>
      <c r="T110" s="66">
        <v>260.94</v>
      </c>
      <c r="U110" s="25">
        <v>5923</v>
      </c>
      <c r="V110" s="55">
        <v>1.9582997350535299E-3</v>
      </c>
      <c r="W110" s="55">
        <v>6.5576299953710396E-3</v>
      </c>
      <c r="X110" s="27">
        <f t="shared" si="55"/>
        <v>1.4021633329861247E-3</v>
      </c>
      <c r="Y110" s="27">
        <f t="shared" si="56"/>
        <v>1.9582997350535303E-3</v>
      </c>
      <c r="Z110" s="27">
        <f t="shared" si="57"/>
        <v>0</v>
      </c>
      <c r="AA110" s="20">
        <f t="shared" si="58"/>
        <v>-1.5806166251462013E-4</v>
      </c>
      <c r="AB110" s="21">
        <f t="shared" si="59"/>
        <v>1.9672889986112893E-3</v>
      </c>
    </row>
    <row r="111" spans="1:28" ht="13.5" customHeight="1">
      <c r="A111" s="233">
        <v>100</v>
      </c>
      <c r="B111" s="232" t="s">
        <v>174</v>
      </c>
      <c r="C111" s="12" t="s">
        <v>55</v>
      </c>
      <c r="D111" s="13" t="s">
        <v>23</v>
      </c>
      <c r="E111" s="80">
        <v>1329607940.4000001</v>
      </c>
      <c r="F111" s="24">
        <f t="shared" si="68"/>
        <v>5.7189321813237229E-3</v>
      </c>
      <c r="G111" s="13" t="s">
        <v>23</v>
      </c>
      <c r="H111" s="199">
        <v>11020.87</v>
      </c>
      <c r="I111" s="13" t="s">
        <v>23</v>
      </c>
      <c r="J111" s="199">
        <v>11074.38</v>
      </c>
      <c r="K111" s="201">
        <v>32</v>
      </c>
      <c r="L111" s="196">
        <v>6.1243012382154001E-3</v>
      </c>
      <c r="M111" s="196">
        <v>0.175151398747213</v>
      </c>
      <c r="N111" s="13" t="s">
        <v>23</v>
      </c>
      <c r="O111" s="80">
        <v>1331599429.6600001</v>
      </c>
      <c r="P111" s="24">
        <f t="shared" si="54"/>
        <v>5.7060954415233955E-3</v>
      </c>
      <c r="Q111" s="13" t="s">
        <v>23</v>
      </c>
      <c r="R111" s="34">
        <v>11037.27</v>
      </c>
      <c r="S111" s="13" t="s">
        <v>23</v>
      </c>
      <c r="T111" s="34">
        <v>11091.12</v>
      </c>
      <c r="U111" s="25">
        <v>32</v>
      </c>
      <c r="V111" s="55">
        <v>1.51159703748666E-3</v>
      </c>
      <c r="W111" s="55">
        <v>0.17692775412015699</v>
      </c>
      <c r="X111" s="27">
        <f t="shared" si="55"/>
        <v>1.4978018703775712E-3</v>
      </c>
      <c r="Y111" s="27">
        <f t="shared" si="56"/>
        <v>1.5115970374866676E-3</v>
      </c>
      <c r="Z111" s="27">
        <f t="shared" si="57"/>
        <v>0</v>
      </c>
      <c r="AA111" s="20">
        <f t="shared" si="58"/>
        <v>-4.6127042007287396E-3</v>
      </c>
      <c r="AB111" s="21">
        <f t="shared" si="59"/>
        <v>1.7763553729439885E-3</v>
      </c>
    </row>
    <row r="112" spans="1:28" ht="15" customHeight="1">
      <c r="A112" s="233">
        <v>101</v>
      </c>
      <c r="B112" s="232" t="s">
        <v>175</v>
      </c>
      <c r="C112" s="12" t="s">
        <v>55</v>
      </c>
      <c r="D112" s="13" t="s">
        <v>23</v>
      </c>
      <c r="E112" s="80">
        <v>6119884739.71</v>
      </c>
      <c r="F112" s="24">
        <f t="shared" si="68"/>
        <v>2.6322951842022161E-2</v>
      </c>
      <c r="G112" s="13" t="s">
        <v>23</v>
      </c>
      <c r="H112" s="259">
        <v>179.49</v>
      </c>
      <c r="I112" s="13" t="s">
        <v>23</v>
      </c>
      <c r="J112" s="259">
        <v>179.49</v>
      </c>
      <c r="K112" s="201">
        <v>7190</v>
      </c>
      <c r="L112" s="196">
        <v>3.1297155312133302E-3</v>
      </c>
      <c r="M112" s="196">
        <v>0.17530000000000001</v>
      </c>
      <c r="N112" s="13" t="s">
        <v>23</v>
      </c>
      <c r="O112" s="80">
        <v>6096278280.79</v>
      </c>
      <c r="P112" s="24">
        <f t="shared" si="54"/>
        <v>2.612343091582419E-2</v>
      </c>
      <c r="Q112" s="13" t="s">
        <v>23</v>
      </c>
      <c r="R112" s="66">
        <v>179.47</v>
      </c>
      <c r="S112" s="13" t="s">
        <v>23</v>
      </c>
      <c r="T112" s="66">
        <v>179.47</v>
      </c>
      <c r="U112" s="25">
        <v>7207</v>
      </c>
      <c r="V112" s="55">
        <v>-1.11426820435735E-4</v>
      </c>
      <c r="W112" s="55">
        <v>0.17</v>
      </c>
      <c r="X112" s="27">
        <f t="shared" si="55"/>
        <v>-3.8573371761113761E-3</v>
      </c>
      <c r="Y112" s="27">
        <f t="shared" si="56"/>
        <v>-1.1142682043573587E-4</v>
      </c>
      <c r="Z112" s="27">
        <f t="shared" si="57"/>
        <v>2.3643949930458969E-3</v>
      </c>
      <c r="AA112" s="20">
        <f t="shared" si="58"/>
        <v>-3.2411423516490651E-3</v>
      </c>
      <c r="AB112" s="21">
        <f t="shared" si="59"/>
        <v>-5.2999999999999992E-3</v>
      </c>
    </row>
    <row r="113" spans="1:34" ht="15" customHeight="1">
      <c r="A113" s="233">
        <v>102</v>
      </c>
      <c r="B113" s="232" t="s">
        <v>176</v>
      </c>
      <c r="C113" s="12" t="s">
        <v>55</v>
      </c>
      <c r="D113" s="13" t="s">
        <v>23</v>
      </c>
      <c r="E113" s="80">
        <v>5984894099.5</v>
      </c>
      <c r="F113" s="24">
        <f t="shared" si="68"/>
        <v>2.5742327815181428E-2</v>
      </c>
      <c r="G113" s="13" t="s">
        <v>23</v>
      </c>
      <c r="H113" s="259">
        <v>399.69</v>
      </c>
      <c r="I113" s="13" t="s">
        <v>23</v>
      </c>
      <c r="J113" s="259">
        <v>399.69</v>
      </c>
      <c r="K113" s="201">
        <v>14198</v>
      </c>
      <c r="L113" s="196">
        <v>2.2065645294751701E-3</v>
      </c>
      <c r="M113" s="196">
        <v>3.7536017444124201E-2</v>
      </c>
      <c r="N113" s="13" t="s">
        <v>23</v>
      </c>
      <c r="O113" s="80">
        <v>5984587532.6700001</v>
      </c>
      <c r="P113" s="24">
        <f t="shared" si="54"/>
        <v>2.5644819965329416E-2</v>
      </c>
      <c r="Q113" s="13" t="s">
        <v>23</v>
      </c>
      <c r="R113" s="66">
        <v>400.55</v>
      </c>
      <c r="S113" s="13" t="s">
        <v>23</v>
      </c>
      <c r="T113" s="66">
        <v>400.55</v>
      </c>
      <c r="U113" s="25">
        <v>14346</v>
      </c>
      <c r="V113" s="55">
        <v>2.15166754234535E-3</v>
      </c>
      <c r="W113" s="55">
        <v>3.9768450016873E-2</v>
      </c>
      <c r="X113" s="27">
        <f t="shared" si="55"/>
        <v>-5.1223434350414896E-5</v>
      </c>
      <c r="Y113" s="27">
        <f t="shared" si="56"/>
        <v>2.1516675423453517E-3</v>
      </c>
      <c r="Z113" s="27">
        <f t="shared" si="57"/>
        <v>1.0424003380757853E-2</v>
      </c>
      <c r="AA113" s="20">
        <f t="shared" si="58"/>
        <v>-5.4896987129820184E-5</v>
      </c>
      <c r="AB113" s="21">
        <f t="shared" si="59"/>
        <v>2.2324325727487992E-3</v>
      </c>
    </row>
    <row r="114" spans="1:34" ht="15" customHeight="1">
      <c r="A114" s="233">
        <v>103</v>
      </c>
      <c r="B114" s="232" t="s">
        <v>177</v>
      </c>
      <c r="C114" s="12" t="s">
        <v>132</v>
      </c>
      <c r="D114" s="13" t="s">
        <v>23</v>
      </c>
      <c r="E114" s="80">
        <v>118935040.17</v>
      </c>
      <c r="F114" s="24">
        <f t="shared" si="68"/>
        <v>5.1156540815378742E-4</v>
      </c>
      <c r="G114" s="13" t="s">
        <v>23</v>
      </c>
      <c r="H114" s="259">
        <v>122.41330000000001</v>
      </c>
      <c r="I114" s="13" t="s">
        <v>23</v>
      </c>
      <c r="J114" s="259">
        <v>122.41330000000001</v>
      </c>
      <c r="K114" s="201">
        <v>18</v>
      </c>
      <c r="L114" s="196">
        <v>6.0821917808233166E-4</v>
      </c>
      <c r="M114" s="196">
        <v>0.12723799999999999</v>
      </c>
      <c r="N114" s="13" t="s">
        <v>23</v>
      </c>
      <c r="O114" s="35">
        <v>119369288.68000001</v>
      </c>
      <c r="P114" s="24">
        <f t="shared" si="54"/>
        <v>5.115146032833262E-4</v>
      </c>
      <c r="Q114" s="13" t="s">
        <v>23</v>
      </c>
      <c r="R114" s="66">
        <v>122.824</v>
      </c>
      <c r="S114" s="13" t="s">
        <v>23</v>
      </c>
      <c r="T114" s="66">
        <v>122.824</v>
      </c>
      <c r="U114" s="25">
        <v>18</v>
      </c>
      <c r="V114" s="26">
        <v>1.5561643835615212E-3</v>
      </c>
      <c r="W114" s="26">
        <v>0.12904299999999999</v>
      </c>
      <c r="X114" s="27">
        <f t="shared" ref="X114" si="69">((O114-E114)/E114)</f>
        <v>3.6511402306613049E-3</v>
      </c>
      <c r="Y114" s="27">
        <f t="shared" ref="Y114" si="70">((T114-J114)/J114)</f>
        <v>3.3550275991251878E-3</v>
      </c>
      <c r="Z114" s="27">
        <f t="shared" ref="Z114" si="71">((U114-K114)/K114)</f>
        <v>0</v>
      </c>
      <c r="AA114" s="20">
        <f>V114-L114</f>
        <v>9.479452054791895E-4</v>
      </c>
      <c r="AB114" s="21">
        <f>W114-M114</f>
        <v>1.805000000000001E-3</v>
      </c>
    </row>
    <row r="115" spans="1:34" ht="13.95" customHeight="1">
      <c r="A115" s="233">
        <v>104</v>
      </c>
      <c r="B115" s="232" t="s">
        <v>178</v>
      </c>
      <c r="C115" s="12" t="s">
        <v>58</v>
      </c>
      <c r="D115" s="13" t="s">
        <v>23</v>
      </c>
      <c r="E115" s="80">
        <v>76448266049.669998</v>
      </c>
      <c r="F115" s="24">
        <f t="shared" si="68"/>
        <v>0.32882057607622833</v>
      </c>
      <c r="G115" s="13" t="s">
        <v>23</v>
      </c>
      <c r="H115" s="197">
        <v>1.9028400000000001</v>
      </c>
      <c r="I115" s="13" t="s">
        <v>23</v>
      </c>
      <c r="J115" s="197">
        <v>1.9028400000000001</v>
      </c>
      <c r="K115" s="201">
        <v>7279</v>
      </c>
      <c r="L115" s="196">
        <v>1.6999999999999999E-3</v>
      </c>
      <c r="M115" s="196">
        <v>0.1023</v>
      </c>
      <c r="N115" s="13" t="s">
        <v>23</v>
      </c>
      <c r="O115" s="80">
        <v>76583477137.979996</v>
      </c>
      <c r="P115" s="24">
        <f t="shared" si="54"/>
        <v>0.32817123532759174</v>
      </c>
      <c r="Q115" s="13" t="s">
        <v>23</v>
      </c>
      <c r="R115" s="80">
        <v>1.9057999999999999</v>
      </c>
      <c r="S115" s="13" t="s">
        <v>23</v>
      </c>
      <c r="T115" s="80">
        <v>1.9057999999999999</v>
      </c>
      <c r="U115" s="25">
        <v>7300</v>
      </c>
      <c r="V115" s="55">
        <v>1.6000000000000001E-3</v>
      </c>
      <c r="W115" s="55">
        <v>0.1023</v>
      </c>
      <c r="X115" s="27">
        <f t="shared" si="55"/>
        <v>1.7686612829406511E-3</v>
      </c>
      <c r="Y115" s="27">
        <f t="shared" si="56"/>
        <v>1.5555695696957451E-3</v>
      </c>
      <c r="Z115" s="27">
        <f t="shared" si="57"/>
        <v>2.8850116774282179E-3</v>
      </c>
      <c r="AA115" s="20">
        <f t="shared" si="58"/>
        <v>-9.9999999999999829E-5</v>
      </c>
      <c r="AB115" s="21">
        <f t="shared" si="59"/>
        <v>0</v>
      </c>
    </row>
    <row r="116" spans="1:34" ht="12.6" customHeight="1">
      <c r="A116" s="233">
        <v>105</v>
      </c>
      <c r="B116" s="232" t="s">
        <v>179</v>
      </c>
      <c r="C116" s="12" t="s">
        <v>58</v>
      </c>
      <c r="D116" s="13" t="s">
        <v>23</v>
      </c>
      <c r="E116" s="80">
        <v>53137941282.239998</v>
      </c>
      <c r="F116" s="24">
        <f t="shared" si="68"/>
        <v>0.22855781258110533</v>
      </c>
      <c r="G116" s="13" t="s">
        <v>23</v>
      </c>
      <c r="H116" s="197">
        <v>129.72728000000001</v>
      </c>
      <c r="I116" s="13" t="s">
        <v>23</v>
      </c>
      <c r="J116" s="197">
        <v>129.72728000000001</v>
      </c>
      <c r="K116" s="201">
        <v>1968</v>
      </c>
      <c r="L116" s="196">
        <v>3.0000000000000001E-3</v>
      </c>
      <c r="M116" s="196">
        <v>0.1757</v>
      </c>
      <c r="N116" s="13" t="s">
        <v>23</v>
      </c>
      <c r="O116" s="80">
        <v>53164491309.25</v>
      </c>
      <c r="P116" s="24">
        <f t="shared" si="54"/>
        <v>0.22781750634128731</v>
      </c>
      <c r="Q116" s="13" t="s">
        <v>23</v>
      </c>
      <c r="R116" s="80">
        <v>130.11806000000001</v>
      </c>
      <c r="S116" s="13" t="s">
        <v>23</v>
      </c>
      <c r="T116" s="80">
        <v>130.11806000000001</v>
      </c>
      <c r="U116" s="25">
        <v>1980</v>
      </c>
      <c r="V116" s="55">
        <v>3.0000000000000001E-3</v>
      </c>
      <c r="W116" s="55">
        <v>0.1762</v>
      </c>
      <c r="X116" s="27">
        <f t="shared" ref="X116:X118" si="72">((O116-E116)/E116)</f>
        <v>4.9964350084589755E-4</v>
      </c>
      <c r="Y116" s="27">
        <f t="shared" ref="Y116:Y118" si="73">((T116-J116)/J116)</f>
        <v>3.0123193826310591E-3</v>
      </c>
      <c r="Z116" s="27">
        <f t="shared" ref="Z116:Z118" si="74">((U116-K116)/K116)</f>
        <v>6.0975609756097563E-3</v>
      </c>
      <c r="AA116" s="20">
        <f t="shared" ref="AA116:AA118" si="75">V116-L116</f>
        <v>0</v>
      </c>
      <c r="AB116" s="21">
        <f t="shared" ref="AB116:AB118" si="76">W116-M116</f>
        <v>5.0000000000000044E-4</v>
      </c>
      <c r="AD116" s="10"/>
    </row>
    <row r="117" spans="1:34" ht="15" customHeight="1">
      <c r="A117" s="233">
        <v>106</v>
      </c>
      <c r="B117" s="232" t="s">
        <v>180</v>
      </c>
      <c r="C117" s="36" t="s">
        <v>181</v>
      </c>
      <c r="D117" s="13" t="s">
        <v>23</v>
      </c>
      <c r="E117" s="80">
        <v>122065612.14</v>
      </c>
      <c r="F117" s="24">
        <f t="shared" si="68"/>
        <v>5.2503067730658506E-4</v>
      </c>
      <c r="G117" s="13" t="s">
        <v>23</v>
      </c>
      <c r="H117" s="197">
        <v>122.24</v>
      </c>
      <c r="I117" s="13" t="s">
        <v>23</v>
      </c>
      <c r="J117" s="197">
        <v>122.24</v>
      </c>
      <c r="K117" s="261">
        <v>89</v>
      </c>
      <c r="L117" s="262">
        <v>3.7632045514033024E-3</v>
      </c>
      <c r="M117" s="262">
        <v>0.10725575480465266</v>
      </c>
      <c r="N117" s="13" t="s">
        <v>23</v>
      </c>
      <c r="O117" s="35">
        <v>120974350.95999999</v>
      </c>
      <c r="P117" s="24">
        <f t="shared" si="54"/>
        <v>5.1839252644495415E-4</v>
      </c>
      <c r="Q117" s="13" t="s">
        <v>23</v>
      </c>
      <c r="R117" s="35">
        <v>121.15</v>
      </c>
      <c r="S117" s="13" t="s">
        <v>23</v>
      </c>
      <c r="T117" s="80">
        <v>121.15</v>
      </c>
      <c r="U117" s="71">
        <v>89</v>
      </c>
      <c r="V117" s="72">
        <v>-8.939439550802954E-3</v>
      </c>
      <c r="W117" s="72">
        <v>9.7357508917297775E-2</v>
      </c>
      <c r="X117" s="27">
        <f t="shared" si="72"/>
        <v>-8.9399558226801283E-3</v>
      </c>
      <c r="Y117" s="27">
        <f t="shared" si="73"/>
        <v>-8.9168848167538381E-3</v>
      </c>
      <c r="Z117" s="27">
        <f t="shared" si="74"/>
        <v>0</v>
      </c>
      <c r="AA117" s="20">
        <f t="shared" si="75"/>
        <v>-1.2702644102206256E-2</v>
      </c>
      <c r="AB117" s="21">
        <f t="shared" si="76"/>
        <v>-9.898245887354884E-3</v>
      </c>
      <c r="AD117" s="30"/>
    </row>
    <row r="118" spans="1:34" ht="15.6" customHeight="1">
      <c r="A118" s="233">
        <v>107</v>
      </c>
      <c r="B118" s="232" t="s">
        <v>182</v>
      </c>
      <c r="C118" s="12" t="s">
        <v>60</v>
      </c>
      <c r="D118" s="13" t="s">
        <v>23</v>
      </c>
      <c r="E118" s="80">
        <v>537772354.08000004</v>
      </c>
      <c r="F118" s="24">
        <f t="shared" si="68"/>
        <v>2.3130755529702216E-3</v>
      </c>
      <c r="G118" s="13" t="s">
        <v>23</v>
      </c>
      <c r="H118" s="197">
        <v>1.5</v>
      </c>
      <c r="I118" s="13" t="s">
        <v>23</v>
      </c>
      <c r="J118" s="197">
        <v>1.5</v>
      </c>
      <c r="K118" s="201">
        <v>986</v>
      </c>
      <c r="L118" s="196">
        <v>1.899E-2</v>
      </c>
      <c r="M118" s="196">
        <v>9.5399999999999999E-2</v>
      </c>
      <c r="N118" s="13" t="s">
        <v>23</v>
      </c>
      <c r="O118" s="35">
        <v>539354807.90999997</v>
      </c>
      <c r="P118" s="24">
        <f t="shared" si="54"/>
        <v>2.3112130737130082E-3</v>
      </c>
      <c r="Q118" s="13" t="s">
        <v>23</v>
      </c>
      <c r="R118" s="35">
        <v>1.5</v>
      </c>
      <c r="S118" s="13" t="s">
        <v>23</v>
      </c>
      <c r="T118" s="80">
        <v>1.5</v>
      </c>
      <c r="U118" s="25">
        <v>991</v>
      </c>
      <c r="V118" s="26">
        <v>-1.3029999999999999E-3</v>
      </c>
      <c r="W118" s="26">
        <v>9.4855999999999996E-2</v>
      </c>
      <c r="X118" s="27">
        <f t="shared" si="72"/>
        <v>2.9426091133061757E-3</v>
      </c>
      <c r="Y118" s="27">
        <f t="shared" si="73"/>
        <v>0</v>
      </c>
      <c r="Z118" s="27">
        <f t="shared" si="74"/>
        <v>5.0709939148073022E-3</v>
      </c>
      <c r="AA118" s="20">
        <f t="shared" si="75"/>
        <v>-2.0292999999999999E-2</v>
      </c>
      <c r="AB118" s="21">
        <f t="shared" si="76"/>
        <v>-5.4400000000000281E-4</v>
      </c>
    </row>
    <row r="119" spans="1:34" ht="16.95" customHeight="1">
      <c r="A119" s="233">
        <v>108</v>
      </c>
      <c r="B119" s="232" t="s">
        <v>183</v>
      </c>
      <c r="C119" s="12" t="s">
        <v>140</v>
      </c>
      <c r="D119" s="13" t="s">
        <v>23</v>
      </c>
      <c r="E119" s="80">
        <v>2106381690.25</v>
      </c>
      <c r="F119" s="24">
        <f t="shared" si="68"/>
        <v>9.0600045836803436E-3</v>
      </c>
      <c r="G119" s="13" t="s">
        <v>23</v>
      </c>
      <c r="H119" s="259">
        <v>32.787300000000002</v>
      </c>
      <c r="I119" s="13" t="s">
        <v>23</v>
      </c>
      <c r="J119" s="259">
        <v>32.787300000000002</v>
      </c>
      <c r="K119" s="201">
        <v>1368</v>
      </c>
      <c r="L119" s="196">
        <v>-5.7000000000000002E-3</v>
      </c>
      <c r="M119" s="196">
        <v>0.32119999999999999</v>
      </c>
      <c r="N119" s="13" t="s">
        <v>23</v>
      </c>
      <c r="O119" s="80">
        <v>2071375951.98</v>
      </c>
      <c r="P119" s="24">
        <f t="shared" si="54"/>
        <v>8.8761444425461723E-3</v>
      </c>
      <c r="Q119" s="13" t="s">
        <v>23</v>
      </c>
      <c r="R119" s="66">
        <v>32.869100000000003</v>
      </c>
      <c r="S119" s="13" t="s">
        <v>23</v>
      </c>
      <c r="T119" s="66">
        <v>32.869100000000003</v>
      </c>
      <c r="U119" s="25">
        <v>1567</v>
      </c>
      <c r="V119" s="55">
        <v>0</v>
      </c>
      <c r="W119" s="55">
        <v>0</v>
      </c>
      <c r="X119" s="27">
        <f t="shared" si="55"/>
        <v>-1.6618896011123822E-2</v>
      </c>
      <c r="Y119" s="27">
        <f t="shared" si="56"/>
        <v>2.4948684399142716E-3</v>
      </c>
      <c r="Z119" s="27">
        <f t="shared" si="57"/>
        <v>0.14546783625730994</v>
      </c>
      <c r="AA119" s="20">
        <f t="shared" si="58"/>
        <v>5.7000000000000002E-3</v>
      </c>
      <c r="AB119" s="21">
        <f t="shared" si="59"/>
        <v>-0.32119999999999999</v>
      </c>
    </row>
    <row r="120" spans="1:34">
      <c r="B120" s="43"/>
      <c r="C120" s="44" t="s">
        <v>63</v>
      </c>
      <c r="D120" s="45" t="s">
        <v>23</v>
      </c>
      <c r="E120" s="64">
        <f>SUM(E82:E119)</f>
        <v>232492342668.81003</v>
      </c>
      <c r="F120" s="47">
        <f>(E120/$E$243)</f>
        <v>2.4509593242052298E-2</v>
      </c>
      <c r="G120" s="13" t="s">
        <v>23</v>
      </c>
      <c r="H120" s="48"/>
      <c r="I120" s="13" t="s">
        <v>23</v>
      </c>
      <c r="J120" s="58"/>
      <c r="K120" s="50">
        <f>SUM(K82:K119)</f>
        <v>74634</v>
      </c>
      <c r="L120" s="61"/>
      <c r="M120" s="61"/>
      <c r="N120" s="13" t="s">
        <v>23</v>
      </c>
      <c r="O120" s="64">
        <f>SUM(O82:O119)</f>
        <v>233364380828.59927</v>
      </c>
      <c r="P120" s="47">
        <f>(O120/$O$243)</f>
        <v>2.4573424303024977E-2</v>
      </c>
      <c r="Q120" s="52"/>
      <c r="R120" s="48"/>
      <c r="S120" s="48"/>
      <c r="T120" s="58"/>
      <c r="U120" s="50">
        <f>SUM(U82:U119)</f>
        <v>75206</v>
      </c>
      <c r="V120" s="61"/>
      <c r="W120" s="61"/>
      <c r="X120" s="27">
        <f t="shared" si="55"/>
        <v>3.7508252950570562E-3</v>
      </c>
      <c r="Y120" s="27" t="e">
        <f t="shared" si="56"/>
        <v>#DIV/0!</v>
      </c>
      <c r="Z120" s="27">
        <f t="shared" si="57"/>
        <v>7.6640673151646705E-3</v>
      </c>
      <c r="AA120" s="20">
        <f t="shared" si="58"/>
        <v>0</v>
      </c>
      <c r="AB120" s="21">
        <f t="shared" si="59"/>
        <v>0</v>
      </c>
    </row>
    <row r="121" spans="1:34" ht="3.75" customHeight="1">
      <c r="B121" s="239"/>
      <c r="C121" s="239"/>
      <c r="D121" s="239"/>
      <c r="E121" s="239"/>
      <c r="F121" s="239"/>
      <c r="G121" s="239"/>
      <c r="H121" s="239"/>
      <c r="I121" s="239"/>
      <c r="J121" s="239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</row>
    <row r="122" spans="1:34" ht="15" customHeight="1">
      <c r="A122" s="11"/>
      <c r="B122" s="243" t="s">
        <v>184</v>
      </c>
      <c r="C122" s="243"/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</row>
    <row r="123" spans="1:34">
      <c r="A123" s="73"/>
      <c r="B123" s="242" t="s">
        <v>185</v>
      </c>
      <c r="C123" s="242"/>
      <c r="D123" s="242"/>
      <c r="E123" s="242"/>
      <c r="F123" s="242"/>
      <c r="G123" s="242"/>
      <c r="H123" s="242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F123" s="74"/>
      <c r="AH123" s="75"/>
    </row>
    <row r="124" spans="1:34" ht="16.5" customHeight="1">
      <c r="A124" s="233">
        <v>109</v>
      </c>
      <c r="B124" s="232" t="s">
        <v>186</v>
      </c>
      <c r="C124" s="12" t="s">
        <v>22</v>
      </c>
      <c r="D124" s="76">
        <v>3343439.04</v>
      </c>
      <c r="E124" s="35">
        <v>4501911579.4403515</v>
      </c>
      <c r="F124" s="24">
        <f t="shared" ref="F124:F129" si="77">(E124/$E$164)</f>
        <v>2.5421941547323734E-3</v>
      </c>
      <c r="G124" s="77">
        <v>120.0624</v>
      </c>
      <c r="H124" s="35">
        <v>161662.97705711998</v>
      </c>
      <c r="I124" s="77">
        <v>120.0624</v>
      </c>
      <c r="J124" s="35">
        <v>161662.97705711998</v>
      </c>
      <c r="K124" s="25">
        <v>191</v>
      </c>
      <c r="L124" s="26">
        <v>6.9999999999999999E-4</v>
      </c>
      <c r="M124" s="26">
        <v>4.8099999999999997E-2</v>
      </c>
      <c r="N124" s="78">
        <v>3342976.63</v>
      </c>
      <c r="O124" s="80">
        <f>3342976.63*C274</f>
        <v>4470520191.4957991</v>
      </c>
      <c r="P124" s="24">
        <f>(O124/$O$164)</f>
        <v>2.5418876439484693E-3</v>
      </c>
      <c r="Q124" s="78">
        <v>120.1876</v>
      </c>
      <c r="R124" s="79">
        <f>120.1876     *C274</f>
        <v>160725.35109747999</v>
      </c>
      <c r="S124" s="78">
        <v>120.1876</v>
      </c>
      <c r="T124" s="80">
        <f>120.1876     *C274</f>
        <v>160725.35109747999</v>
      </c>
      <c r="U124" s="25">
        <v>191</v>
      </c>
      <c r="V124" s="55">
        <v>1E-3</v>
      </c>
      <c r="W124" s="55">
        <v>4.9200000000000001E-2</v>
      </c>
      <c r="X124" s="27">
        <f>((O124-E124)/E124)</f>
        <v>-6.9729019307959829E-3</v>
      </c>
      <c r="Y124" s="27">
        <f>((T124-J124)/J124)</f>
        <v>-5.7998805707301891E-3</v>
      </c>
      <c r="Z124" s="27">
        <f>((U124-K124)/K124)</f>
        <v>0</v>
      </c>
      <c r="AA124" s="27">
        <f>V124-L124</f>
        <v>3.0000000000000003E-4</v>
      </c>
      <c r="AB124" s="56">
        <f>W124-M124</f>
        <v>1.1000000000000038E-3</v>
      </c>
      <c r="AD124" s="74"/>
      <c r="AE124" s="81"/>
      <c r="AF124" s="74"/>
      <c r="AG124" s="82"/>
    </row>
    <row r="125" spans="1:34" ht="16.5" customHeight="1">
      <c r="A125" s="233">
        <v>110</v>
      </c>
      <c r="B125" s="232" t="s">
        <v>187</v>
      </c>
      <c r="C125" s="12" t="s">
        <v>66</v>
      </c>
      <c r="D125" s="76">
        <v>4140995.17</v>
      </c>
      <c r="E125" s="35">
        <v>5575813969.7470207</v>
      </c>
      <c r="F125" s="24">
        <f t="shared" si="77"/>
        <v>3.1486184105659638E-3</v>
      </c>
      <c r="G125" s="77">
        <v>108.49</v>
      </c>
      <c r="H125" s="35">
        <v>146080.84113699998</v>
      </c>
      <c r="I125" s="77">
        <v>108.49</v>
      </c>
      <c r="J125" s="35">
        <v>146080.84113699998</v>
      </c>
      <c r="K125" s="25">
        <v>121</v>
      </c>
      <c r="L125" s="26">
        <v>9.6382999999999996E-2</v>
      </c>
      <c r="M125" s="26">
        <v>-0.01</v>
      </c>
      <c r="N125" s="78">
        <v>4158629.56</v>
      </c>
      <c r="O125" s="35">
        <f>4158629.56*C274</f>
        <v>5561282495.992588</v>
      </c>
      <c r="P125" s="24">
        <f t="shared" ref="P125:P141" si="78">(O125/$O$164)</f>
        <v>3.1620828573733881E-3</v>
      </c>
      <c r="Q125" s="78">
        <v>108.66</v>
      </c>
      <c r="R125" s="35">
        <f>108.66*C274</f>
        <v>145309.638018</v>
      </c>
      <c r="S125" s="78">
        <v>108.66</v>
      </c>
      <c r="T125" s="35">
        <f>108.66*C274</f>
        <v>145309.638018</v>
      </c>
      <c r="U125" s="25">
        <v>123</v>
      </c>
      <c r="V125" s="55">
        <v>1.6000000000000001E-3</v>
      </c>
      <c r="W125" s="55">
        <v>8.6599999999999996E-2</v>
      </c>
      <c r="X125" s="27">
        <f>((O125-E125)/E125)</f>
        <v>-2.6061618686126975E-3</v>
      </c>
      <c r="Y125" s="20">
        <f>((T125-J125)/J125)</f>
        <v>-5.27928996709925E-3</v>
      </c>
      <c r="Z125" s="20">
        <f>((U125-K125)/K125)</f>
        <v>1.6528925619834711E-2</v>
      </c>
      <c r="AA125" s="20">
        <f>V125-L125</f>
        <v>-9.4782999999999992E-2</v>
      </c>
      <c r="AB125" s="21">
        <f>W125-M125</f>
        <v>9.6599999999999991E-2</v>
      </c>
      <c r="AD125" s="74"/>
      <c r="AE125" s="81"/>
      <c r="AF125" s="74"/>
      <c r="AG125" s="82"/>
    </row>
    <row r="126" spans="1:34">
      <c r="A126" s="233">
        <v>111</v>
      </c>
      <c r="B126" s="232" t="s">
        <v>188</v>
      </c>
      <c r="C126" s="12" t="s">
        <v>27</v>
      </c>
      <c r="D126" s="76">
        <v>12831151.300000001</v>
      </c>
      <c r="E126" s="35">
        <v>17317435040.532001</v>
      </c>
      <c r="F126" s="24">
        <f t="shared" si="77"/>
        <v>9.7790197248767054E-3</v>
      </c>
      <c r="G126" s="77">
        <v>1.2471000000000001</v>
      </c>
      <c r="H126" s="35">
        <v>1683.1360440000003</v>
      </c>
      <c r="I126" s="77">
        <v>1.2471000000000001</v>
      </c>
      <c r="J126" s="35">
        <v>1683.1360440000003</v>
      </c>
      <c r="K126" s="25">
        <v>353</v>
      </c>
      <c r="L126" s="26">
        <v>5.16E-2</v>
      </c>
      <c r="M126" s="26">
        <v>2.93E-2</v>
      </c>
      <c r="N126" s="78">
        <v>12742999.859999999</v>
      </c>
      <c r="O126" s="35">
        <f>N126*1339.69</f>
        <v>17071669482.443399</v>
      </c>
      <c r="P126" s="24">
        <f t="shared" si="78"/>
        <v>9.7067598087451374E-3</v>
      </c>
      <c r="Q126" s="78">
        <v>1.2487999999999999</v>
      </c>
      <c r="R126" s="35">
        <f>Q126*1339.69</f>
        <v>1673.004872</v>
      </c>
      <c r="S126" s="78">
        <v>1.2487999999999999</v>
      </c>
      <c r="T126" s="35">
        <f>S126*1339.69</f>
        <v>1673.004872</v>
      </c>
      <c r="U126" s="25">
        <v>353</v>
      </c>
      <c r="V126" s="55">
        <v>7.1099999999999997E-2</v>
      </c>
      <c r="W126" s="55">
        <v>5.2299999999999999E-2</v>
      </c>
      <c r="X126" s="20">
        <f t="shared" ref="X126:X139" si="79">((O126-E126)/E126)</f>
        <v>-1.4191799046070047E-2</v>
      </c>
      <c r="Y126" s="20">
        <f t="shared" ref="Y126:Y139" si="80">((T126-J126)/J126)</f>
        <v>-6.0192234823297098E-3</v>
      </c>
      <c r="Z126" s="20">
        <f t="shared" ref="Z126:Z139" si="81">((U126-K126)/K126)</f>
        <v>0</v>
      </c>
      <c r="AA126" s="20">
        <f t="shared" ref="AA126:AA139" si="82">V126-L126</f>
        <v>1.9499999999999997E-2</v>
      </c>
      <c r="AB126" s="21">
        <f t="shared" ref="AB126:AB139" si="83">W126-M126</f>
        <v>2.3E-2</v>
      </c>
    </row>
    <row r="127" spans="1:34">
      <c r="A127" s="233">
        <v>112</v>
      </c>
      <c r="B127" s="232" t="s">
        <v>189</v>
      </c>
      <c r="C127" s="12" t="s">
        <v>27</v>
      </c>
      <c r="D127" s="76">
        <v>2331947.48</v>
      </c>
      <c r="E127" s="35">
        <v>3147289596.9072003</v>
      </c>
      <c r="F127" s="24">
        <f t="shared" si="77"/>
        <v>1.7772497472067473E-3</v>
      </c>
      <c r="G127" s="77">
        <v>1.0780573040000001</v>
      </c>
      <c r="H127" s="35">
        <v>1454.9892597705602</v>
      </c>
      <c r="I127" s="77">
        <v>1.0780573040000001</v>
      </c>
      <c r="J127" s="35">
        <v>1454.9892597705602</v>
      </c>
      <c r="K127" s="25">
        <v>126</v>
      </c>
      <c r="L127" s="26">
        <v>5.0500000000000003E-2</v>
      </c>
      <c r="M127" s="26">
        <v>4.36E-2</v>
      </c>
      <c r="N127" s="78">
        <v>2309646.25</v>
      </c>
      <c r="O127" s="35">
        <f>N127*1339.69</f>
        <v>3094209984.6624999</v>
      </c>
      <c r="P127" s="24">
        <f t="shared" si="78"/>
        <v>1.759333095678063E-3</v>
      </c>
      <c r="Q127" s="78">
        <v>1.079057304</v>
      </c>
      <c r="R127" s="35">
        <f>Q127*1339.69</f>
        <v>1445.6022795957601</v>
      </c>
      <c r="S127" s="78">
        <v>1.079057304</v>
      </c>
      <c r="T127" s="35">
        <f>S127*1339.69</f>
        <v>1445.6022795957601</v>
      </c>
      <c r="U127" s="25">
        <v>127</v>
      </c>
      <c r="V127" s="55">
        <v>4.8399999999999999E-2</v>
      </c>
      <c r="W127" s="55">
        <v>5.0500000000000003E-2</v>
      </c>
      <c r="X127" s="20">
        <f t="shared" si="79"/>
        <v>-1.6865182122694097E-2</v>
      </c>
      <c r="Y127" s="20">
        <f t="shared" ref="Y127" si="84">((T127-J127)/J127)</f>
        <v>-6.4515803891778212E-3</v>
      </c>
      <c r="Z127" s="20">
        <f t="shared" ref="Z127" si="85">((U127-K127)/K127)</f>
        <v>7.9365079365079361E-3</v>
      </c>
      <c r="AA127" s="20">
        <f t="shared" ref="AA127" si="86">V127-L127</f>
        <v>-2.1000000000000046E-3</v>
      </c>
      <c r="AB127" s="21">
        <f t="shared" ref="AB127" si="87">W127-M127</f>
        <v>6.9000000000000034E-3</v>
      </c>
    </row>
    <row r="128" spans="1:34">
      <c r="A128" s="233">
        <v>113</v>
      </c>
      <c r="B128" s="232" t="s">
        <v>190</v>
      </c>
      <c r="C128" s="12" t="s">
        <v>31</v>
      </c>
      <c r="D128" s="76">
        <v>35525923.659999996</v>
      </c>
      <c r="E128" s="35">
        <v>47835347132.654152</v>
      </c>
      <c r="F128" s="24">
        <f t="shared" si="77"/>
        <v>2.7012245292775107E-2</v>
      </c>
      <c r="G128" s="77">
        <v>1.3008</v>
      </c>
      <c r="H128" s="35">
        <v>1751.5158830399998</v>
      </c>
      <c r="I128" s="77">
        <v>1.3008</v>
      </c>
      <c r="J128" s="35">
        <v>1751.5158830399998</v>
      </c>
      <c r="K128" s="25">
        <v>656</v>
      </c>
      <c r="L128" s="26">
        <v>-6.0000000000000001E-3</v>
      </c>
      <c r="M128" s="26">
        <v>7.1900000000000006E-2</v>
      </c>
      <c r="N128" s="78">
        <v>35647748.700000003</v>
      </c>
      <c r="O128" s="35">
        <f>35647748.7*C274</f>
        <v>47671281610.101509</v>
      </c>
      <c r="P128" s="24">
        <f t="shared" si="78"/>
        <v>2.7105356089524954E-2</v>
      </c>
      <c r="Q128" s="78">
        <v>1.3019000000000001</v>
      </c>
      <c r="R128" s="35">
        <f>1.3019*C274</f>
        <v>1741.01433587</v>
      </c>
      <c r="S128" s="28">
        <v>1.3019000000000001</v>
      </c>
      <c r="T128" s="35">
        <f>1.3019*C274</f>
        <v>1741.01433587</v>
      </c>
      <c r="U128" s="25">
        <v>658</v>
      </c>
      <c r="V128" s="55">
        <v>8.0000000000000004E-4</v>
      </c>
      <c r="W128" s="55">
        <v>7.2800000000000004E-2</v>
      </c>
      <c r="X128" s="20">
        <f t="shared" si="79"/>
        <v>-3.4297968424409262E-3</v>
      </c>
      <c r="Y128" s="20">
        <f t="shared" ref="Y128:Z131" si="88">((T128-J128)/J128)</f>
        <v>-5.9956905168184766E-3</v>
      </c>
      <c r="Z128" s="20">
        <f t="shared" si="88"/>
        <v>3.0487804878048782E-3</v>
      </c>
      <c r="AA128" s="20">
        <f t="shared" si="82"/>
        <v>6.8000000000000005E-3</v>
      </c>
      <c r="AB128" s="21">
        <f t="shared" si="83"/>
        <v>8.9999999999999802E-4</v>
      </c>
    </row>
    <row r="129" spans="1:111">
      <c r="A129" s="233">
        <v>114</v>
      </c>
      <c r="B129" s="232" t="s">
        <v>191</v>
      </c>
      <c r="C129" s="12" t="s">
        <v>79</v>
      </c>
      <c r="D129" s="76">
        <v>995946.62</v>
      </c>
      <c r="E129" s="35">
        <v>1341033459.0944059</v>
      </c>
      <c r="F129" s="24">
        <f t="shared" si="77"/>
        <v>7.57271074931716E-4</v>
      </c>
      <c r="G129" s="77">
        <v>1.0949</v>
      </c>
      <c r="H129" s="35">
        <v>1474.27332437</v>
      </c>
      <c r="I129" s="77">
        <v>1.1000000000000001</v>
      </c>
      <c r="J129" s="35">
        <v>1481.1404299999999</v>
      </c>
      <c r="K129" s="25">
        <v>84</v>
      </c>
      <c r="L129" s="26">
        <v>3.8000000000000002E-5</v>
      </c>
      <c r="M129" s="26">
        <v>6.7174999999999999E-2</v>
      </c>
      <c r="N129" s="78">
        <v>989063.68000000005</v>
      </c>
      <c r="O129" s="35">
        <f>989063.68*C274</f>
        <v>1322662298.1552641</v>
      </c>
      <c r="P129" s="24">
        <f t="shared" si="78"/>
        <v>7.5205094905799656E-4</v>
      </c>
      <c r="Q129" s="77">
        <v>1.0872999999999999</v>
      </c>
      <c r="R129" s="35">
        <f>1.0873*C274</f>
        <v>1454.0324812899999</v>
      </c>
      <c r="S129" s="35">
        <v>1.0940000000000001</v>
      </c>
      <c r="T129" s="35">
        <f>1.094*C274</f>
        <v>1462.9923062</v>
      </c>
      <c r="U129" s="25">
        <v>84</v>
      </c>
      <c r="V129" s="26">
        <v>-7.1890000000000001E-3</v>
      </c>
      <c r="W129" s="26">
        <v>5.4838999999999999E-2</v>
      </c>
      <c r="X129" s="20">
        <f t="shared" si="79"/>
        <v>-1.369925620763237E-2</v>
      </c>
      <c r="Y129" s="20">
        <f t="shared" si="88"/>
        <v>-1.225280428001003E-2</v>
      </c>
      <c r="Z129" s="20">
        <f t="shared" si="88"/>
        <v>0</v>
      </c>
      <c r="AA129" s="20">
        <f t="shared" si="82"/>
        <v>-7.2269999999999999E-3</v>
      </c>
      <c r="AB129" s="21">
        <f t="shared" si="83"/>
        <v>-1.2336E-2</v>
      </c>
    </row>
    <row r="130" spans="1:111">
      <c r="A130" s="233">
        <v>115</v>
      </c>
      <c r="B130" s="232" t="s">
        <v>192</v>
      </c>
      <c r="C130" s="12" t="s">
        <v>35</v>
      </c>
      <c r="D130" s="76">
        <v>798852.75</v>
      </c>
      <c r="E130" s="35">
        <v>1075648277.8560748</v>
      </c>
      <c r="F130" s="24">
        <v>0</v>
      </c>
      <c r="G130" s="77">
        <v>1.5387</v>
      </c>
      <c r="H130" s="35">
        <v>2071.8461633099996</v>
      </c>
      <c r="I130" s="77">
        <v>1.5387</v>
      </c>
      <c r="J130" s="35">
        <v>2071.8461633099996</v>
      </c>
      <c r="K130" s="25">
        <v>85</v>
      </c>
      <c r="L130" s="26">
        <v>9.7000000000000005E-4</v>
      </c>
      <c r="M130" s="26">
        <v>8.9800000000000005E-2</v>
      </c>
      <c r="N130" s="78">
        <v>846567.12</v>
      </c>
      <c r="O130" s="35">
        <f>846567.12*C274</f>
        <v>1132103458.1735759</v>
      </c>
      <c r="P130" s="24">
        <f>(O130/$O$164)</f>
        <v>6.4370132976401958E-4</v>
      </c>
      <c r="Q130" s="236">
        <v>1.542</v>
      </c>
      <c r="R130" s="35">
        <f>1.542*C274</f>
        <v>2062.0970166000002</v>
      </c>
      <c r="S130" s="78">
        <v>1.542</v>
      </c>
      <c r="T130" s="35">
        <f>1.542*C274</f>
        <v>2062.0970166000002</v>
      </c>
      <c r="U130" s="25">
        <v>91</v>
      </c>
      <c r="V130" s="55">
        <v>2.5300000000000002E-4</v>
      </c>
      <c r="W130" s="55">
        <v>8.48E-2</v>
      </c>
      <c r="X130" s="20">
        <f t="shared" si="79"/>
        <v>5.2484795894457752E-2</v>
      </c>
      <c r="Y130" s="20">
        <f t="shared" si="88"/>
        <v>-4.7055360010050647E-3</v>
      </c>
      <c r="Z130" s="20">
        <f t="shared" si="88"/>
        <v>7.0588235294117646E-2</v>
      </c>
      <c r="AA130" s="20">
        <f t="shared" si="82"/>
        <v>-7.1699999999999997E-4</v>
      </c>
      <c r="AB130" s="21">
        <f t="shared" si="83"/>
        <v>-5.0000000000000044E-3</v>
      </c>
    </row>
    <row r="131" spans="1:111">
      <c r="A131" s="233">
        <v>116</v>
      </c>
      <c r="B131" s="232" t="s">
        <v>193</v>
      </c>
      <c r="C131" s="12" t="s">
        <v>88</v>
      </c>
      <c r="D131" s="76">
        <v>2994379.32</v>
      </c>
      <c r="E131" s="35">
        <v>4031905703.2799153</v>
      </c>
      <c r="F131" s="24">
        <f t="shared" ref="F131:F141" si="89">(E131/$E$164)</f>
        <v>2.2767855233141918E-3</v>
      </c>
      <c r="G131" s="77">
        <v>109.02</v>
      </c>
      <c r="H131" s="35">
        <v>146794.48152599999</v>
      </c>
      <c r="I131" s="77">
        <v>109.88</v>
      </c>
      <c r="J131" s="35">
        <v>147952.46404399999</v>
      </c>
      <c r="K131" s="25">
        <v>85</v>
      </c>
      <c r="L131" s="26">
        <v>1E-4</v>
      </c>
      <c r="M131" s="26">
        <v>3.7999999999999999E-2</v>
      </c>
      <c r="N131" s="78">
        <v>3018002.46</v>
      </c>
      <c r="O131" s="35">
        <f>3018002.46*C274</f>
        <v>4035936361.1267576</v>
      </c>
      <c r="P131" s="24">
        <f t="shared" si="78"/>
        <v>2.2947881518633542E-3</v>
      </c>
      <c r="Q131" s="78">
        <v>109.13</v>
      </c>
      <c r="R131" s="35">
        <f>109.13*C274</f>
        <v>145938.163049</v>
      </c>
      <c r="S131" s="80">
        <v>110.02</v>
      </c>
      <c r="T131" s="35">
        <f>110.02*C274</f>
        <v>147128.348746</v>
      </c>
      <c r="U131" s="25">
        <v>85</v>
      </c>
      <c r="V131" s="55">
        <v>1E-3</v>
      </c>
      <c r="W131" s="55">
        <v>3.9E-2</v>
      </c>
      <c r="X131" s="20">
        <f t="shared" si="79"/>
        <v>9.9969050455802786E-4</v>
      </c>
      <c r="Y131" s="20">
        <f t="shared" si="88"/>
        <v>-5.5701356738127985E-3</v>
      </c>
      <c r="Z131" s="20">
        <f t="shared" si="88"/>
        <v>0</v>
      </c>
      <c r="AA131" s="20">
        <f t="shared" si="82"/>
        <v>8.9999999999999998E-4</v>
      </c>
      <c r="AB131" s="21">
        <f t="shared" si="83"/>
        <v>1.0000000000000009E-3</v>
      </c>
    </row>
    <row r="132" spans="1:111">
      <c r="A132" s="233">
        <v>117</v>
      </c>
      <c r="B132" s="232" t="s">
        <v>194</v>
      </c>
      <c r="C132" s="12" t="s">
        <v>91</v>
      </c>
      <c r="D132" s="76">
        <v>3289631.42</v>
      </c>
      <c r="E132" s="35">
        <v>4430804559.5980005</v>
      </c>
      <c r="F132" s="24">
        <f t="shared" si="89"/>
        <v>2.5020405784095495E-3</v>
      </c>
      <c r="G132" s="77">
        <v>116.03601999999999</v>
      </c>
      <c r="H132" s="35">
        <v>156288.91533799999</v>
      </c>
      <c r="I132" s="77">
        <v>116.03601999999999</v>
      </c>
      <c r="J132" s="35">
        <v>156288.91533799999</v>
      </c>
      <c r="K132" s="25">
        <v>68</v>
      </c>
      <c r="L132" s="26">
        <v>1.7880000000000001E-3</v>
      </c>
      <c r="M132" s="26">
        <v>5.96E-2</v>
      </c>
      <c r="N132" s="78">
        <v>3294067.17</v>
      </c>
      <c r="O132" s="35">
        <v>4404167806.29</v>
      </c>
      <c r="P132" s="24">
        <f t="shared" si="78"/>
        <v>2.5041604218632254E-3</v>
      </c>
      <c r="Q132" s="78">
        <v>116.19249000000001</v>
      </c>
      <c r="R132" s="35">
        <v>155349.35913</v>
      </c>
      <c r="S132" s="78">
        <v>116.19249000000001</v>
      </c>
      <c r="T132" s="35">
        <v>155349.35913</v>
      </c>
      <c r="U132" s="25">
        <v>68</v>
      </c>
      <c r="V132" s="26">
        <v>9.7300000000000002E-4</v>
      </c>
      <c r="W132" s="26">
        <v>5.9900000000000002E-2</v>
      </c>
      <c r="X132" s="20">
        <f t="shared" si="79"/>
        <v>-6.0117193050864947E-3</v>
      </c>
      <c r="Y132" s="20">
        <f t="shared" si="80"/>
        <v>-6.0116624775855198E-3</v>
      </c>
      <c r="Z132" s="20">
        <f t="shared" si="81"/>
        <v>0</v>
      </c>
      <c r="AA132" s="20">
        <f t="shared" si="82"/>
        <v>-8.1500000000000008E-4</v>
      </c>
      <c r="AB132" s="21">
        <f t="shared" si="83"/>
        <v>3.0000000000000165E-4</v>
      </c>
      <c r="AD132" s="83"/>
    </row>
    <row r="133" spans="1:111">
      <c r="A133" s="233">
        <v>118</v>
      </c>
      <c r="B133" s="232" t="s">
        <v>195</v>
      </c>
      <c r="C133" s="12" t="s">
        <v>37</v>
      </c>
      <c r="D133" s="76">
        <v>4915762.41</v>
      </c>
      <c r="E133" s="35">
        <v>6619031317.9320326</v>
      </c>
      <c r="F133" s="24">
        <f t="shared" si="89"/>
        <v>3.7377150638149893E-3</v>
      </c>
      <c r="G133" s="77">
        <v>1.59</v>
      </c>
      <c r="H133" s="35">
        <v>2140.921167</v>
      </c>
      <c r="I133" s="77">
        <v>1.59</v>
      </c>
      <c r="J133" s="35">
        <v>2140.921167</v>
      </c>
      <c r="K133" s="60">
        <v>121</v>
      </c>
      <c r="L133" s="61">
        <v>3.5000000000000003E-2</v>
      </c>
      <c r="M133" s="61">
        <v>0.1147</v>
      </c>
      <c r="N133" s="84">
        <v>4557437.22</v>
      </c>
      <c r="O133" s="35">
        <f>4557437.22*C274</f>
        <v>6094602914.8533058</v>
      </c>
      <c r="P133" s="24">
        <f t="shared" si="78"/>
        <v>3.4653228663428801E-3</v>
      </c>
      <c r="Q133" s="78">
        <v>1.55</v>
      </c>
      <c r="R133" s="35">
        <f>1.55 *C274</f>
        <v>2072.7953149999998</v>
      </c>
      <c r="S133" s="80">
        <v>1.55</v>
      </c>
      <c r="T133" s="35">
        <f>1.55*C274</f>
        <v>2072.7953149999998</v>
      </c>
      <c r="U133" s="60">
        <v>121</v>
      </c>
      <c r="V133" s="61">
        <v>1.0500000000000001E-2</v>
      </c>
      <c r="W133" s="61">
        <v>7.2700000000000001E-2</v>
      </c>
      <c r="X133" s="20">
        <f>((O133-E133)/E133)</f>
        <v>-7.9230385518491944E-2</v>
      </c>
      <c r="Y133" s="20">
        <f>((T133-J133)/J133)</f>
        <v>-3.1820812951960563E-2</v>
      </c>
      <c r="Z133" s="20">
        <f>((U133-K133)/K133)</f>
        <v>0</v>
      </c>
      <c r="AA133" s="20">
        <f>V133-L133</f>
        <v>-2.4500000000000001E-2</v>
      </c>
      <c r="AB133" s="21">
        <f>W133-M133</f>
        <v>-4.1999999999999996E-2</v>
      </c>
      <c r="AD133" s="83"/>
    </row>
    <row r="134" spans="1:111">
      <c r="A134" s="233">
        <v>119</v>
      </c>
      <c r="B134" s="232" t="s">
        <v>351</v>
      </c>
      <c r="C134" s="12" t="s">
        <v>39</v>
      </c>
      <c r="D134" s="76">
        <v>39512631.630000003</v>
      </c>
      <c r="E134" s="35">
        <v>53833589837.977203</v>
      </c>
      <c r="F134" s="24">
        <f t="shared" si="89"/>
        <v>3.0399405896678836E-2</v>
      </c>
      <c r="G134" s="77">
        <v>134.29</v>
      </c>
      <c r="H134" s="35">
        <v>182962.06760000001</v>
      </c>
      <c r="I134" s="77">
        <v>134.34</v>
      </c>
      <c r="J134" s="35">
        <v>183030.18960000001</v>
      </c>
      <c r="K134" s="25">
        <v>2743</v>
      </c>
      <c r="L134" s="26">
        <v>-1.6000000000000001E-3</v>
      </c>
      <c r="M134" s="26">
        <v>0.05</v>
      </c>
      <c r="N134" s="62">
        <v>39478503.539999999</v>
      </c>
      <c r="O134" s="34">
        <f>N134*1339.33</f>
        <v>52874744146.228195</v>
      </c>
      <c r="P134" s="24">
        <f t="shared" si="78"/>
        <v>3.006398653067361E-2</v>
      </c>
      <c r="Q134" s="78">
        <v>134.51</v>
      </c>
      <c r="R134" s="80">
        <f>Q134*1339.33</f>
        <v>180153.27829999998</v>
      </c>
      <c r="S134" s="80">
        <v>134.54</v>
      </c>
      <c r="T134" s="80">
        <f>S134*1339.33</f>
        <v>180193.45819999999</v>
      </c>
      <c r="U134" s="25">
        <v>2741</v>
      </c>
      <c r="V134" s="55">
        <v>-1.6000000000000001E-3</v>
      </c>
      <c r="W134" s="55">
        <v>5.1799999999999999E-2</v>
      </c>
      <c r="X134" s="20">
        <f t="shared" si="79"/>
        <v>-1.7811290211833228E-2</v>
      </c>
      <c r="Y134" s="20">
        <f t="shared" si="80"/>
        <v>-1.5498707651450843E-2</v>
      </c>
      <c r="Z134" s="20">
        <f t="shared" si="81"/>
        <v>-7.2912869121399923E-4</v>
      </c>
      <c r="AA134" s="20">
        <f t="shared" si="82"/>
        <v>0</v>
      </c>
      <c r="AB134" s="21">
        <f t="shared" si="83"/>
        <v>1.799999999999996E-3</v>
      </c>
      <c r="DG134" s="22" t="s">
        <v>196</v>
      </c>
    </row>
    <row r="135" spans="1:111">
      <c r="A135" s="233">
        <v>120</v>
      </c>
      <c r="B135" s="251" t="s">
        <v>197</v>
      </c>
      <c r="C135" s="12" t="s">
        <v>39</v>
      </c>
      <c r="D135" s="200">
        <v>120789913.73999999</v>
      </c>
      <c r="E135" s="35">
        <v>164569010075.9256</v>
      </c>
      <c r="F135" s="24">
        <f t="shared" si="89"/>
        <v>9.2930829067309165E-2</v>
      </c>
      <c r="G135" s="77">
        <v>131.04</v>
      </c>
      <c r="H135" s="35">
        <v>178534.13759999999</v>
      </c>
      <c r="I135" s="77">
        <v>131.06</v>
      </c>
      <c r="J135" s="35">
        <v>178561.38640000002</v>
      </c>
      <c r="K135" s="25">
        <v>1115</v>
      </c>
      <c r="L135" s="26">
        <v>-1.4E-3</v>
      </c>
      <c r="M135" s="26">
        <v>5.0999999999999997E-2</v>
      </c>
      <c r="N135" s="62">
        <v>121711537.05</v>
      </c>
      <c r="O135" s="34">
        <f>N135*1339.33</f>
        <v>163011912917.17648</v>
      </c>
      <c r="P135" s="24">
        <f t="shared" si="78"/>
        <v>9.2686745504203624E-2</v>
      </c>
      <c r="Q135" s="78">
        <v>131.25</v>
      </c>
      <c r="R135" s="80">
        <f>Q135*1339.33</f>
        <v>175787.0625</v>
      </c>
      <c r="S135" s="80">
        <v>131.27000000000001</v>
      </c>
      <c r="T135" s="80">
        <f>S135*1339.33</f>
        <v>175813.84909999999</v>
      </c>
      <c r="U135" s="25">
        <v>1118</v>
      </c>
      <c r="V135" s="55">
        <v>-1.6000000000000001E-3</v>
      </c>
      <c r="W135" s="55">
        <v>5.2699999999999997E-2</v>
      </c>
      <c r="X135" s="20">
        <f t="shared" si="79"/>
        <v>-9.461666920343826E-3</v>
      </c>
      <c r="Y135" s="20">
        <f t="shared" si="80"/>
        <v>-1.538707418996622E-2</v>
      </c>
      <c r="Z135" s="20">
        <f t="shared" si="81"/>
        <v>2.6905829596412557E-3</v>
      </c>
      <c r="AA135" s="20">
        <f t="shared" si="82"/>
        <v>-2.0000000000000009E-4</v>
      </c>
      <c r="AB135" s="21">
        <f t="shared" si="83"/>
        <v>1.7000000000000001E-3</v>
      </c>
      <c r="AD135" s="74"/>
    </row>
    <row r="136" spans="1:111">
      <c r="A136" s="233">
        <v>121</v>
      </c>
      <c r="B136" s="232" t="s">
        <v>198</v>
      </c>
      <c r="C136" s="12" t="s">
        <v>97</v>
      </c>
      <c r="D136" s="76">
        <v>1540909.27</v>
      </c>
      <c r="E136" s="35">
        <v>2074820926.144351</v>
      </c>
      <c r="F136" s="24">
        <f t="shared" si="89"/>
        <v>1.171635101553079E-3</v>
      </c>
      <c r="G136" s="77">
        <v>1</v>
      </c>
      <c r="H136" s="35">
        <v>1346.4912999999999</v>
      </c>
      <c r="I136" s="77">
        <v>1</v>
      </c>
      <c r="J136" s="35">
        <v>1346.4912999999999</v>
      </c>
      <c r="K136" s="25">
        <v>16</v>
      </c>
      <c r="L136" s="26">
        <v>8.3818000000000004E-2</v>
      </c>
      <c r="M136" s="26">
        <v>8.5379999999999998E-2</v>
      </c>
      <c r="N136" s="77">
        <v>1552191.74</v>
      </c>
      <c r="O136" s="35">
        <f>1552191.74*C274</f>
        <v>2075726301.0669019</v>
      </c>
      <c r="P136" s="24">
        <f t="shared" si="78"/>
        <v>1.1802346954919859E-3</v>
      </c>
      <c r="Q136" s="77">
        <v>1</v>
      </c>
      <c r="R136" s="35">
        <f>1*C274</f>
        <v>1337.2873</v>
      </c>
      <c r="S136" s="35">
        <v>1</v>
      </c>
      <c r="T136" s="35">
        <f>1*C274</f>
        <v>1337.2873</v>
      </c>
      <c r="U136" s="25">
        <v>16</v>
      </c>
      <c r="V136" s="26">
        <v>8.3766499999999994E-2</v>
      </c>
      <c r="W136" s="26">
        <v>8.4231500000000001E-2</v>
      </c>
      <c r="X136" s="20">
        <f t="shared" ref="X136" si="90">((O136-E136)/E136)</f>
        <v>4.363629222852398E-4</v>
      </c>
      <c r="Y136" s="20">
        <f t="shared" ref="Y136" si="91">((T136-J136)/J136)</f>
        <v>-6.8355436087852569E-3</v>
      </c>
      <c r="Z136" s="20">
        <f t="shared" si="81"/>
        <v>0</v>
      </c>
      <c r="AA136" s="20">
        <f t="shared" si="82"/>
        <v>-5.1500000000009871E-5</v>
      </c>
      <c r="AB136" s="21">
        <f t="shared" si="83"/>
        <v>-1.1484999999999967E-3</v>
      </c>
    </row>
    <row r="137" spans="1:111">
      <c r="A137" s="233">
        <v>122</v>
      </c>
      <c r="B137" s="232" t="s">
        <v>199</v>
      </c>
      <c r="C137" s="12" t="s">
        <v>43</v>
      </c>
      <c r="D137" s="76">
        <v>216425.45370000001</v>
      </c>
      <c r="E137" s="35">
        <v>291414990.50560284</v>
      </c>
      <c r="F137" s="24">
        <f t="shared" si="89"/>
        <v>1.6455975920274055E-4</v>
      </c>
      <c r="G137" s="77">
        <v>148.27180000000001</v>
      </c>
      <c r="H137" s="35">
        <v>199646.68873533999</v>
      </c>
      <c r="I137" s="77">
        <v>148.27180000000001</v>
      </c>
      <c r="J137" s="35">
        <v>199646.68873533999</v>
      </c>
      <c r="K137" s="25">
        <v>11</v>
      </c>
      <c r="L137" s="26">
        <v>1.1999999999999999E-3</v>
      </c>
      <c r="M137" s="26">
        <v>9.6000000000000002E-2</v>
      </c>
      <c r="N137" s="78">
        <v>216686.00649999999</v>
      </c>
      <c r="O137" s="80">
        <f>216686.0065*C274</f>
        <v>289771444.58016741</v>
      </c>
      <c r="P137" s="24">
        <f t="shared" si="78"/>
        <v>1.6476079359815555E-4</v>
      </c>
      <c r="Q137" s="78">
        <v>148.4503</v>
      </c>
      <c r="R137" s="35">
        <f>148.4503*C274</f>
        <v>198520.70087119</v>
      </c>
      <c r="S137" s="78">
        <v>148.4503</v>
      </c>
      <c r="T137" s="35">
        <f>148.4503*C274</f>
        <v>198520.70087119</v>
      </c>
      <c r="U137" s="25">
        <v>11</v>
      </c>
      <c r="V137" s="55">
        <v>1.1999999999999999E-3</v>
      </c>
      <c r="W137" s="55">
        <v>9.74E-2</v>
      </c>
      <c r="X137" s="20">
        <f t="shared" si="79"/>
        <v>-5.6398811968591039E-3</v>
      </c>
      <c r="Y137" s="20">
        <f t="shared" si="80"/>
        <v>-5.6399025262204722E-3</v>
      </c>
      <c r="Z137" s="20">
        <f t="shared" si="81"/>
        <v>0</v>
      </c>
      <c r="AA137" s="20">
        <f t="shared" si="82"/>
        <v>0</v>
      </c>
      <c r="AB137" s="21">
        <f t="shared" si="83"/>
        <v>1.3999999999999985E-3</v>
      </c>
    </row>
    <row r="138" spans="1:111">
      <c r="A138" s="233">
        <v>123</v>
      </c>
      <c r="B138" s="232" t="s">
        <v>200</v>
      </c>
      <c r="C138" s="12" t="s">
        <v>112</v>
      </c>
      <c r="D138" s="76">
        <v>60607.51</v>
      </c>
      <c r="E138" s="35">
        <v>81607484.929663002</v>
      </c>
      <c r="F138" s="24">
        <f t="shared" si="89"/>
        <v>4.6083106589221349E-5</v>
      </c>
      <c r="G138" s="77">
        <v>1</v>
      </c>
      <c r="H138" s="23">
        <v>1346.4912999999999</v>
      </c>
      <c r="I138" s="77">
        <v>1</v>
      </c>
      <c r="J138" s="23">
        <v>1346.4912999999999</v>
      </c>
      <c r="K138" s="25">
        <v>5</v>
      </c>
      <c r="L138" s="26">
        <v>9.7988081557542905E-4</v>
      </c>
      <c r="M138" s="26">
        <v>5.21E-2</v>
      </c>
      <c r="N138" s="77">
        <v>74679.02</v>
      </c>
      <c r="O138" s="35">
        <f>74679.02*C274</f>
        <v>99867305.022446007</v>
      </c>
      <c r="P138" s="24">
        <f t="shared" si="78"/>
        <v>5.6783429622773231E-5</v>
      </c>
      <c r="Q138" s="77">
        <v>1</v>
      </c>
      <c r="R138" s="23">
        <f>Q138*C274</f>
        <v>1337.2873</v>
      </c>
      <c r="S138" s="23">
        <v>1</v>
      </c>
      <c r="T138" s="23">
        <f>1*C274</f>
        <v>1337.2873</v>
      </c>
      <c r="U138" s="25">
        <v>6</v>
      </c>
      <c r="V138" s="26">
        <v>0.23217436255011958</v>
      </c>
      <c r="W138" s="26">
        <v>0</v>
      </c>
      <c r="X138" s="20">
        <f>((O138-E138)/E138)</f>
        <v>0.22375178096128109</v>
      </c>
      <c r="Y138" s="20">
        <f>((T138-J138)/J138)</f>
        <v>-6.8355436087852569E-3</v>
      </c>
      <c r="Z138" s="20">
        <f>((U138-K138)/K138)</f>
        <v>0.2</v>
      </c>
      <c r="AA138" s="20">
        <f>V138-L138</f>
        <v>0.23119448173454415</v>
      </c>
      <c r="AB138" s="21">
        <f>W138-M138</f>
        <v>-5.21E-2</v>
      </c>
      <c r="AD138" s="30"/>
    </row>
    <row r="139" spans="1:111">
      <c r="A139" s="233">
        <v>124</v>
      </c>
      <c r="B139" s="232" t="s">
        <v>201</v>
      </c>
      <c r="C139" s="12" t="s">
        <v>114</v>
      </c>
      <c r="D139" s="76">
        <v>34352615</v>
      </c>
      <c r="E139" s="35">
        <v>46255497229.749496</v>
      </c>
      <c r="F139" s="24">
        <f t="shared" si="89"/>
        <v>2.6120116445362693E-2</v>
      </c>
      <c r="G139" s="77">
        <v>106.74</v>
      </c>
      <c r="H139" s="35">
        <v>143724.48136199999</v>
      </c>
      <c r="I139" s="77">
        <v>106.74</v>
      </c>
      <c r="J139" s="35">
        <v>143724.48136199999</v>
      </c>
      <c r="K139" s="25">
        <v>1002</v>
      </c>
      <c r="L139" s="61">
        <v>-6.9999999999999999E-4</v>
      </c>
      <c r="M139" s="26">
        <v>0.14560000000000001</v>
      </c>
      <c r="N139" s="78">
        <v>34464114</v>
      </c>
      <c r="O139" s="35">
        <f>34464114*C274</f>
        <v>46088421957.952202</v>
      </c>
      <c r="P139" s="24">
        <f t="shared" si="78"/>
        <v>2.6205359843102301E-2</v>
      </c>
      <c r="Q139" s="78">
        <v>107.02</v>
      </c>
      <c r="R139" s="35">
        <f>107.02*C274</f>
        <v>143116.48684599999</v>
      </c>
      <c r="S139" s="78">
        <v>107.02</v>
      </c>
      <c r="T139" s="35">
        <f>107.02*C274</f>
        <v>143116.48684599999</v>
      </c>
      <c r="U139" s="25">
        <v>1008</v>
      </c>
      <c r="V139" s="61">
        <v>2.5999999999999999E-3</v>
      </c>
      <c r="W139" s="55">
        <v>0.1454</v>
      </c>
      <c r="X139" s="20">
        <f t="shared" si="79"/>
        <v>-3.61200898927618E-3</v>
      </c>
      <c r="Y139" s="20">
        <f t="shared" si="80"/>
        <v>-4.2302780308432321E-3</v>
      </c>
      <c r="Z139" s="20">
        <f t="shared" si="81"/>
        <v>5.9880239520958087E-3</v>
      </c>
      <c r="AA139" s="20">
        <f t="shared" si="82"/>
        <v>3.3E-3</v>
      </c>
      <c r="AB139" s="21">
        <f t="shared" si="83"/>
        <v>-2.0000000000000573E-4</v>
      </c>
    </row>
    <row r="140" spans="1:111">
      <c r="A140" s="233">
        <v>125</v>
      </c>
      <c r="B140" s="232" t="s">
        <v>202</v>
      </c>
      <c r="C140" s="12" t="s">
        <v>51</v>
      </c>
      <c r="D140" s="76">
        <v>2052745.61</v>
      </c>
      <c r="E140" s="35">
        <v>2757361701.8163366</v>
      </c>
      <c r="F140" s="24">
        <f t="shared" si="89"/>
        <v>1.557060523545824E-3</v>
      </c>
      <c r="G140" s="77">
        <v>159.17754199999999</v>
      </c>
      <c r="H140" s="35">
        <v>213822.81844</v>
      </c>
      <c r="I140" s="77">
        <v>165.218806</v>
      </c>
      <c r="J140" s="35">
        <v>221888.30132699996</v>
      </c>
      <c r="K140" s="25">
        <v>52</v>
      </c>
      <c r="L140" s="26">
        <v>0</v>
      </c>
      <c r="M140" s="26">
        <v>-4.0000000000000002E-4</v>
      </c>
      <c r="N140" s="77">
        <v>2053660.29</v>
      </c>
      <c r="O140" s="35">
        <f>2053660.29*C274</f>
        <v>2746333824.3313169</v>
      </c>
      <c r="P140" s="24">
        <f t="shared" si="78"/>
        <v>1.5615346123489444E-3</v>
      </c>
      <c r="Q140" s="77">
        <v>158.85428899999999</v>
      </c>
      <c r="R140" s="35">
        <f>158.85*C274</f>
        <v>212428.08760499998</v>
      </c>
      <c r="S140" s="35">
        <v>164.92783900000001</v>
      </c>
      <c r="T140" s="35">
        <f>164.93*C274</f>
        <v>220558.79438899999</v>
      </c>
      <c r="U140" s="25">
        <v>53</v>
      </c>
      <c r="V140" s="26">
        <v>0</v>
      </c>
      <c r="W140" s="26">
        <v>0</v>
      </c>
      <c r="X140" s="20">
        <f t="shared" ref="X140:X141" si="92">((O140-E140)/E140)</f>
        <v>-3.9994308609405038E-3</v>
      </c>
      <c r="Y140" s="20">
        <f t="shared" ref="Y140:Y141" si="93">((T140-J140)/J140)</f>
        <v>-5.991784740560357E-3</v>
      </c>
      <c r="Z140" s="20">
        <f t="shared" ref="Z140:Z141" si="94">((U140-K140)/K140)</f>
        <v>1.9230769230769232E-2</v>
      </c>
      <c r="AA140" s="20">
        <f t="shared" ref="AA140:AA141" si="95">V140-L140</f>
        <v>0</v>
      </c>
      <c r="AB140" s="21">
        <f t="shared" ref="AB140:AB141" si="96">W140-M140</f>
        <v>4.0000000000000002E-4</v>
      </c>
    </row>
    <row r="141" spans="1:111" ht="15" customHeight="1">
      <c r="A141" s="233">
        <v>126</v>
      </c>
      <c r="B141" s="232" t="s">
        <v>203</v>
      </c>
      <c r="C141" s="12" t="s">
        <v>58</v>
      </c>
      <c r="D141" s="76">
        <v>106195438.27</v>
      </c>
      <c r="E141" s="23">
        <v>142961360953.4567</v>
      </c>
      <c r="F141" s="24">
        <f t="shared" si="89"/>
        <v>8.0729159103929485E-2</v>
      </c>
      <c r="G141" s="77">
        <v>121.87956930999999</v>
      </c>
      <c r="H141" s="35">
        <v>164075.49500081511</v>
      </c>
      <c r="I141" s="77">
        <v>121.87956930999999</v>
      </c>
      <c r="J141" s="35">
        <v>163771.09092450002</v>
      </c>
      <c r="K141" s="25">
        <v>4627</v>
      </c>
      <c r="L141" s="26">
        <v>1.9E-3</v>
      </c>
      <c r="M141" s="26">
        <v>7.7799999999999994E-2</v>
      </c>
      <c r="N141" s="78">
        <v>106376667.09999999</v>
      </c>
      <c r="O141" s="77">
        <f>N141*1339.33</f>
        <v>142473461547.043</v>
      </c>
      <c r="P141" s="24">
        <f t="shared" si="78"/>
        <v>8.1008812394117183E-2</v>
      </c>
      <c r="Q141" s="78">
        <v>122.00883</v>
      </c>
      <c r="R141" s="77">
        <f>Q141*1339.33</f>
        <v>163410.08628389999</v>
      </c>
      <c r="S141" s="85">
        <v>122.00883</v>
      </c>
      <c r="T141" s="35">
        <f>S141*1339.33</f>
        <v>163410.08628389999</v>
      </c>
      <c r="U141" s="25">
        <v>4629</v>
      </c>
      <c r="V141" s="55">
        <v>1.1000000000000001E-3</v>
      </c>
      <c r="W141" s="55">
        <v>7.7700000000000005E-2</v>
      </c>
      <c r="X141" s="20">
        <f t="shared" si="92"/>
        <v>-3.4128061118034515E-3</v>
      </c>
      <c r="Y141" s="20">
        <f t="shared" si="93"/>
        <v>-2.2043245762248683E-3</v>
      </c>
      <c r="Z141" s="20">
        <f t="shared" si="94"/>
        <v>4.3224551545277719E-4</v>
      </c>
      <c r="AA141" s="20">
        <f t="shared" si="95"/>
        <v>-7.9999999999999993E-4</v>
      </c>
      <c r="AB141" s="21">
        <f t="shared" si="96"/>
        <v>-9.9999999999988987E-5</v>
      </c>
    </row>
    <row r="142" spans="1:111" ht="4.95" customHeight="1">
      <c r="B142" s="239"/>
      <c r="C142" s="239"/>
      <c r="D142" s="239"/>
      <c r="E142" s="239"/>
      <c r="F142" s="239"/>
      <c r="G142" s="239"/>
      <c r="H142" s="239"/>
      <c r="I142" s="239"/>
      <c r="J142" s="239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</row>
    <row r="143" spans="1:111">
      <c r="A143" s="73"/>
      <c r="B143" s="242" t="s">
        <v>204</v>
      </c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86">
        <v>1374.9431</v>
      </c>
      <c r="AE143" s="87"/>
    </row>
    <row r="144" spans="1:111">
      <c r="A144" s="233">
        <v>127</v>
      </c>
      <c r="B144" s="232" t="s">
        <v>205</v>
      </c>
      <c r="C144" s="12" t="s">
        <v>68</v>
      </c>
      <c r="D144" s="76">
        <v>491889.27</v>
      </c>
      <c r="E144" s="23">
        <v>662324622.61835098</v>
      </c>
      <c r="F144" s="24">
        <f>(E144/$E$164)</f>
        <v>3.7400951894417503E-4</v>
      </c>
      <c r="G144" s="77">
        <v>1.01</v>
      </c>
      <c r="H144" s="35">
        <v>1359.9562129999999</v>
      </c>
      <c r="I144" s="77">
        <v>1.01</v>
      </c>
      <c r="J144" s="35">
        <v>1359.9562129999999</v>
      </c>
      <c r="K144" s="25">
        <v>44</v>
      </c>
      <c r="L144" s="26">
        <v>7.4999999999999997E-2</v>
      </c>
      <c r="M144" s="26">
        <v>7.7899999999999997E-2</v>
      </c>
      <c r="N144" s="78">
        <v>493795.86</v>
      </c>
      <c r="O144" s="23">
        <f>493795.86*C274</f>
        <v>660346932.37057793</v>
      </c>
      <c r="P144" s="24">
        <f>(O144/$O$164)</f>
        <v>3.7546585994736913E-4</v>
      </c>
      <c r="Q144" s="77">
        <v>1.01</v>
      </c>
      <c r="R144" s="35">
        <f>1.01*C274</f>
        <v>1350.660173</v>
      </c>
      <c r="S144" s="35">
        <v>1.01</v>
      </c>
      <c r="T144" s="35">
        <f>1.01*C274</f>
        <v>1350.660173</v>
      </c>
      <c r="U144" s="25">
        <v>45</v>
      </c>
      <c r="V144" s="26">
        <v>8.8900000000000007E-2</v>
      </c>
      <c r="W144" s="26">
        <v>8.5400000000000004E-2</v>
      </c>
      <c r="X144" s="20">
        <f>((O144-E144)/E144)</f>
        <v>-2.9859832780407573E-3</v>
      </c>
      <c r="Y144" s="20">
        <f>((T144-J144)/J144)</f>
        <v>-6.8355436087852543E-3</v>
      </c>
      <c r="Z144" s="20">
        <f>((U144-K144)/K144)</f>
        <v>2.2727272727272728E-2</v>
      </c>
      <c r="AA144" s="20">
        <f>V144-L144</f>
        <v>1.390000000000001E-2</v>
      </c>
      <c r="AB144" s="21">
        <f>W144-M144</f>
        <v>7.5000000000000067E-3</v>
      </c>
      <c r="AC144" s="86"/>
      <c r="AE144" s="87"/>
    </row>
    <row r="145" spans="1:30">
      <c r="A145" s="233">
        <v>128</v>
      </c>
      <c r="B145" s="232" t="s">
        <v>206</v>
      </c>
      <c r="C145" s="12" t="s">
        <v>74</v>
      </c>
      <c r="D145" s="76">
        <v>1078891.33</v>
      </c>
      <c r="E145" s="23">
        <v>1452717789.4904289</v>
      </c>
      <c r="F145" s="24">
        <f>(E145/$E$164)</f>
        <v>8.2033834022511034E-4</v>
      </c>
      <c r="G145" s="77">
        <v>122.6</v>
      </c>
      <c r="H145" s="35">
        <v>165079.83337999997</v>
      </c>
      <c r="I145" s="77">
        <v>122.6</v>
      </c>
      <c r="J145" s="35">
        <v>165079.83337999997</v>
      </c>
      <c r="K145" s="25">
        <v>30</v>
      </c>
      <c r="L145" s="26">
        <v>5.9999999999999995E-4</v>
      </c>
      <c r="M145" s="26">
        <v>9.7699999999999995E-2</v>
      </c>
      <c r="N145" s="78">
        <v>1073871.7</v>
      </c>
      <c r="O145" s="23">
        <v>1469593421.45</v>
      </c>
      <c r="P145" s="24">
        <f>(O145/$O$164)</f>
        <v>8.3559433792912354E-4</v>
      </c>
      <c r="Q145" s="78">
        <v>122.71</v>
      </c>
      <c r="R145" s="80">
        <v>167928.64</v>
      </c>
      <c r="S145" s="80">
        <v>122.71</v>
      </c>
      <c r="T145" s="35">
        <v>167928.64</v>
      </c>
      <c r="U145" s="25">
        <v>30</v>
      </c>
      <c r="V145" s="55">
        <v>1.1000000000000001E-3</v>
      </c>
      <c r="W145" s="55">
        <v>9.69E-2</v>
      </c>
      <c r="X145" s="20">
        <f>((O145-E145)/E145)</f>
        <v>1.161659345101749E-2</v>
      </c>
      <c r="Y145" s="20">
        <f>((T145-J145)/J145)</f>
        <v>1.725714499264324E-2</v>
      </c>
      <c r="Z145" s="20">
        <f>((U145-K145)/K145)</f>
        <v>0</v>
      </c>
      <c r="AA145" s="20">
        <f>V145-L145</f>
        <v>5.0000000000000012E-4</v>
      </c>
      <c r="AB145" s="21">
        <f>W145-M145</f>
        <v>-7.9999999999999516E-4</v>
      </c>
    </row>
    <row r="146" spans="1:30">
      <c r="A146" s="233">
        <v>129</v>
      </c>
      <c r="B146" s="192" t="s">
        <v>207</v>
      </c>
      <c r="C146" s="12" t="s">
        <v>29</v>
      </c>
      <c r="D146" s="76">
        <v>19554620.219999991</v>
      </c>
      <c r="E146" s="35">
        <v>26330126001.034084</v>
      </c>
      <c r="F146" s="24">
        <f>(E146/$E$164)</f>
        <v>1.4868415612355678E-2</v>
      </c>
      <c r="G146" s="77">
        <v>134.95509999999999</v>
      </c>
      <c r="H146" s="23">
        <v>181722.46584799999</v>
      </c>
      <c r="I146" s="77">
        <v>134.95509999999999</v>
      </c>
      <c r="J146" s="23">
        <v>181722.46584799999</v>
      </c>
      <c r="K146" s="25">
        <v>704</v>
      </c>
      <c r="L146" s="26">
        <v>5.0000000000000001E-4</v>
      </c>
      <c r="M146" s="26">
        <v>3.2898384870400088E-2</v>
      </c>
      <c r="N146" s="78">
        <v>19635660.260000002</v>
      </c>
      <c r="O146" s="35">
        <f>19635660.26*C274</f>
        <v>26258519092.812698</v>
      </c>
      <c r="P146" s="24">
        <f>(O146/$O$164)</f>
        <v>1.4930299466575687E-2</v>
      </c>
      <c r="Q146" s="78">
        <v>135.0754</v>
      </c>
      <c r="R146" s="23">
        <f>135.0754*C274</f>
        <v>180634.61696242</v>
      </c>
      <c r="S146" s="28">
        <v>135.0754</v>
      </c>
      <c r="T146" s="23">
        <f>135.0754*C274</f>
        <v>180634.61696242</v>
      </c>
      <c r="U146" s="25">
        <v>707</v>
      </c>
      <c r="V146" s="55">
        <v>5.0000000000000001E-4</v>
      </c>
      <c r="W146" s="55">
        <v>3.3785437878269375E-2</v>
      </c>
      <c r="X146" s="20">
        <f t="shared" ref="X146:X164" si="97">((O146-E146)/E146)</f>
        <v>-2.719580917257049E-3</v>
      </c>
      <c r="Y146" s="20">
        <f t="shared" ref="Y146:Y164" si="98">((T146-J146)/J146)</f>
        <v>-5.986320296192304E-3</v>
      </c>
      <c r="Z146" s="20">
        <f t="shared" ref="Z146:Z164" si="99">((U146-K146)/K146)</f>
        <v>4.261363636363636E-3</v>
      </c>
      <c r="AA146" s="20">
        <f t="shared" ref="AA146:AA164" si="100">V146-L146</f>
        <v>0</v>
      </c>
      <c r="AB146" s="21">
        <f t="shared" ref="AB146:AB164" si="101">W146-M146</f>
        <v>8.8705300786928731E-4</v>
      </c>
    </row>
    <row r="147" spans="1:30">
      <c r="A147" s="233">
        <v>130</v>
      </c>
      <c r="B147" s="192" t="s">
        <v>208</v>
      </c>
      <c r="C147" s="12" t="s">
        <v>149</v>
      </c>
      <c r="D147" s="76">
        <v>462079.72</v>
      </c>
      <c r="E147" s="35">
        <v>622186322.88643587</v>
      </c>
      <c r="F147" s="24">
        <f>(E147/$E$164)</f>
        <v>3.5134373594093455E-4</v>
      </c>
      <c r="G147" s="77">
        <v>106.74</v>
      </c>
      <c r="H147" s="23">
        <v>143724.48136199999</v>
      </c>
      <c r="I147" s="77">
        <v>106.74</v>
      </c>
      <c r="J147" s="23">
        <v>143724.48136199999</v>
      </c>
      <c r="K147" s="25">
        <v>20</v>
      </c>
      <c r="L147" s="26">
        <v>8.7100000000000003E-4</v>
      </c>
      <c r="M147" s="26">
        <v>6.4127000000000003E-2</v>
      </c>
      <c r="N147" s="78">
        <v>462642.75</v>
      </c>
      <c r="O147" s="35">
        <f>462642.75*C274</f>
        <v>618686274.01207495</v>
      </c>
      <c r="P147" s="24">
        <f>(O147/$O$164)</f>
        <v>3.5177807682949331E-4</v>
      </c>
      <c r="Q147" s="78">
        <v>106.87058211999999</v>
      </c>
      <c r="R147" s="23">
        <f>106.87058212*C274</f>
        <v>142916.67221268307</v>
      </c>
      <c r="S147" s="23">
        <v>106.87058211999999</v>
      </c>
      <c r="T147" s="23">
        <f>106.87058212*C274</f>
        <v>142916.67221268307</v>
      </c>
      <c r="U147" s="25">
        <v>20</v>
      </c>
      <c r="V147" s="26">
        <v>8.7000000000000001E-4</v>
      </c>
      <c r="W147" s="26">
        <v>6.4169000000000004E-2</v>
      </c>
      <c r="X147" s="20">
        <v>0</v>
      </c>
      <c r="Y147" s="20">
        <f t="shared" ref="Y147" si="102">((T147-J147)/J147)</f>
        <v>-5.6205396718898865E-3</v>
      </c>
      <c r="Z147" s="20">
        <f t="shared" ref="Z147" si="103">((U147-K147)/K147)</f>
        <v>0</v>
      </c>
      <c r="AA147" s="20">
        <f t="shared" ref="AA147" si="104">V147-L147</f>
        <v>-1.0000000000000243E-6</v>
      </c>
      <c r="AB147" s="21">
        <f t="shared" ref="AB147" si="105">W147-M147</f>
        <v>4.200000000000037E-5</v>
      </c>
    </row>
    <row r="148" spans="1:30">
      <c r="A148" s="233">
        <v>131</v>
      </c>
      <c r="B148" s="232" t="s">
        <v>209</v>
      </c>
      <c r="C148" s="12" t="s">
        <v>83</v>
      </c>
      <c r="D148" s="76">
        <v>14425414.289999999</v>
      </c>
      <c r="E148" s="23">
        <v>19593318959.389999</v>
      </c>
      <c r="F148" s="24">
        <f>(E148/$E$164)</f>
        <v>1.1064193521224223E-2</v>
      </c>
      <c r="G148" s="77">
        <v>117.97</v>
      </c>
      <c r="H148" s="23">
        <v>160232.75</v>
      </c>
      <c r="I148" s="77">
        <v>117.97</v>
      </c>
      <c r="J148" s="23">
        <v>160232.75</v>
      </c>
      <c r="K148" s="25">
        <v>485</v>
      </c>
      <c r="L148" s="26">
        <v>1.1999999999999999E-3</v>
      </c>
      <c r="M148" s="26">
        <v>6.8400000000000002E-2</v>
      </c>
      <c r="N148" s="78">
        <v>14432599.859999999</v>
      </c>
      <c r="O148" s="23">
        <v>19603078759.849998</v>
      </c>
      <c r="P148" s="24">
        <f t="shared" ref="P148:P149" si="106">(O148/$O$120)</f>
        <v>8.40020173183499E-2</v>
      </c>
      <c r="Q148" s="78">
        <v>118.11</v>
      </c>
      <c r="R148" s="23">
        <v>160422.91</v>
      </c>
      <c r="S148" s="78">
        <v>118.11</v>
      </c>
      <c r="T148" s="23">
        <v>160422.91</v>
      </c>
      <c r="U148" s="25">
        <v>485</v>
      </c>
      <c r="V148" s="55">
        <v>1.1999999999999999E-3</v>
      </c>
      <c r="W148" s="55">
        <v>6.8400000000000002E-2</v>
      </c>
      <c r="X148" s="20">
        <f t="shared" si="97"/>
        <v>4.9811879652588158E-4</v>
      </c>
      <c r="Y148" s="20">
        <f t="shared" si="98"/>
        <v>1.1867736152565782E-3</v>
      </c>
      <c r="Z148" s="20">
        <f t="shared" si="99"/>
        <v>0</v>
      </c>
      <c r="AA148" s="20">
        <f t="shared" si="100"/>
        <v>0</v>
      </c>
      <c r="AB148" s="21">
        <f t="shared" si="101"/>
        <v>0</v>
      </c>
    </row>
    <row r="149" spans="1:30">
      <c r="A149" s="233">
        <v>132</v>
      </c>
      <c r="B149" s="232" t="s">
        <v>210</v>
      </c>
      <c r="C149" s="12" t="s">
        <v>33</v>
      </c>
      <c r="D149" s="76">
        <v>298652.31</v>
      </c>
      <c r="E149" s="35">
        <v>390014315.43990296</v>
      </c>
      <c r="F149" s="24">
        <f t="shared" ref="F149" si="107">(E149/$E$120)</f>
        <v>1.6775361758709021E-3</v>
      </c>
      <c r="G149" s="77">
        <v>1.0323</v>
      </c>
      <c r="H149" s="34">
        <v>1389.9829689899998</v>
      </c>
      <c r="I149" s="77">
        <v>1.0323</v>
      </c>
      <c r="J149" s="34">
        <v>1389.9829689899998</v>
      </c>
      <c r="K149" s="25">
        <v>16</v>
      </c>
      <c r="L149" s="26">
        <v>-2.6086956521738092E-3</v>
      </c>
      <c r="M149" s="26">
        <v>4.9990021951706209E-2</v>
      </c>
      <c r="N149" s="78">
        <v>308699.03999999998</v>
      </c>
      <c r="O149" s="35">
        <f>308699.04
*C274</f>
        <v>412819305.71419197</v>
      </c>
      <c r="P149" s="24">
        <f t="shared" si="106"/>
        <v>1.7689902128525698E-3</v>
      </c>
      <c r="Q149" s="78">
        <v>1.0325</v>
      </c>
      <c r="R149" s="34">
        <f>1.0325
*C274</f>
        <v>1380.7491372499999</v>
      </c>
      <c r="S149" s="78">
        <v>1.0325</v>
      </c>
      <c r="T149" s="34">
        <f>1.0325
*C274</f>
        <v>1380.7491372499999</v>
      </c>
      <c r="U149" s="25">
        <v>16</v>
      </c>
      <c r="V149" s="55">
        <v>2.0000000000000001E-4</v>
      </c>
      <c r="W149" s="55">
        <v>5.0200000000000002E-2</v>
      </c>
      <c r="X149" s="27">
        <f t="shared" si="97"/>
        <v>5.8472187741536931E-2</v>
      </c>
      <c r="Y149" s="27">
        <f t="shared" si="98"/>
        <v>-6.6431258123324146E-3</v>
      </c>
      <c r="Z149" s="27">
        <f t="shared" si="99"/>
        <v>0</v>
      </c>
      <c r="AA149" s="20">
        <f t="shared" si="100"/>
        <v>2.8086956521738093E-3</v>
      </c>
      <c r="AB149" s="21">
        <f t="shared" si="101"/>
        <v>2.0997804829379213E-4</v>
      </c>
    </row>
    <row r="150" spans="1:30">
      <c r="A150" s="233">
        <v>133</v>
      </c>
      <c r="B150" s="232" t="s">
        <v>211</v>
      </c>
      <c r="C150" s="12" t="s">
        <v>81</v>
      </c>
      <c r="D150" s="76">
        <v>12352750.513262155</v>
      </c>
      <c r="E150" s="23">
        <v>16632871097.178024</v>
      </c>
      <c r="F150" s="24">
        <f t="shared" ref="F150:F163" si="108">(E150/$E$164)</f>
        <v>9.3924518359641985E-3</v>
      </c>
      <c r="G150" s="77">
        <v>1.3989597250120571</v>
      </c>
      <c r="H150" s="23">
        <v>1883.6870987791272</v>
      </c>
      <c r="I150" s="77">
        <v>1.3989597250120571</v>
      </c>
      <c r="J150" s="23">
        <v>1883.6870987791272</v>
      </c>
      <c r="K150" s="25">
        <v>407</v>
      </c>
      <c r="L150" s="26">
        <v>4.9309321710503153E-2</v>
      </c>
      <c r="M150" s="26">
        <v>7.0493711734783582E-2</v>
      </c>
      <c r="N150" s="77">
        <f>O150/C274</f>
        <v>12417088.674949178</v>
      </c>
      <c r="O150" s="23">
        <v>16605214987.983364</v>
      </c>
      <c r="P150" s="24">
        <f t="shared" ref="P150:P163" si="109">(O150/$O$164)</f>
        <v>9.4415390144877518E-3</v>
      </c>
      <c r="Q150" s="77">
        <f>R150/C274</f>
        <v>1.4032639363090764</v>
      </c>
      <c r="R150" s="23">
        <v>1876.5670405741366</v>
      </c>
      <c r="S150" s="23">
        <f>T150/C274</f>
        <v>1.4032639363090764</v>
      </c>
      <c r="T150" s="23">
        <v>1876.5670405741366</v>
      </c>
      <c r="U150" s="25">
        <v>408</v>
      </c>
      <c r="V150" s="26">
        <v>6.9747757522092071E-2</v>
      </c>
      <c r="W150" s="26">
        <v>7.0563498862807827E-2</v>
      </c>
      <c r="X150" s="20">
        <f t="shared" si="97"/>
        <v>-1.6627381426260433E-3</v>
      </c>
      <c r="Y150" s="20">
        <f t="shared" si="98"/>
        <v>-3.7798518711548465E-3</v>
      </c>
      <c r="Z150" s="27">
        <f t="shared" si="99"/>
        <v>2.4570024570024569E-3</v>
      </c>
      <c r="AA150" s="20">
        <f t="shared" si="100"/>
        <v>2.0438435811588919E-2</v>
      </c>
      <c r="AB150" s="21">
        <f t="shared" si="101"/>
        <v>6.9787128024245693E-5</v>
      </c>
    </row>
    <row r="151" spans="1:30">
      <c r="A151" s="233">
        <v>134</v>
      </c>
      <c r="B151" s="232" t="s">
        <v>212</v>
      </c>
      <c r="C151" s="12" t="s">
        <v>103</v>
      </c>
      <c r="D151" s="76">
        <v>192774.14</v>
      </c>
      <c r="E151" s="23">
        <v>259568702.374982</v>
      </c>
      <c r="F151" s="24">
        <f t="shared" si="108"/>
        <v>1.465764101060327E-4</v>
      </c>
      <c r="G151" s="77">
        <v>1.08</v>
      </c>
      <c r="H151" s="23">
        <v>1454.2106040000001</v>
      </c>
      <c r="I151" s="77">
        <v>1.08</v>
      </c>
      <c r="J151" s="23">
        <v>1454.2106040000001</v>
      </c>
      <c r="K151" s="25">
        <v>10</v>
      </c>
      <c r="L151" s="26">
        <v>6.8000000000000005E-2</v>
      </c>
      <c r="M151" s="26">
        <v>6.8000000000000005E-2</v>
      </c>
      <c r="N151" s="77">
        <v>193003.54</v>
      </c>
      <c r="O151" s="23">
        <f>193003.54*C274</f>
        <v>258101182.89704201</v>
      </c>
      <c r="P151" s="24">
        <f t="shared" si="109"/>
        <v>1.4675343798748429E-4</v>
      </c>
      <c r="Q151" s="77">
        <v>1.08</v>
      </c>
      <c r="R151" s="23">
        <f>1.08*C274</f>
        <v>1444.2702839999999</v>
      </c>
      <c r="S151" s="77">
        <v>1.08</v>
      </c>
      <c r="T151" s="23">
        <f>1.08*C274</f>
        <v>1444.2702839999999</v>
      </c>
      <c r="U151" s="25">
        <v>10</v>
      </c>
      <c r="V151" s="26">
        <v>6.8000000000000005E-2</v>
      </c>
      <c r="W151" s="26">
        <v>6.8000000000000005E-2</v>
      </c>
      <c r="X151" s="20">
        <f t="shared" si="97"/>
        <v>-5.6536842250725717E-3</v>
      </c>
      <c r="Y151" s="20">
        <f t="shared" si="98"/>
        <v>-6.8355436087853992E-3</v>
      </c>
      <c r="Z151" s="27">
        <f t="shared" si="99"/>
        <v>0</v>
      </c>
      <c r="AA151" s="20">
        <f t="shared" si="100"/>
        <v>0</v>
      </c>
      <c r="AB151" s="21">
        <f t="shared" si="101"/>
        <v>0</v>
      </c>
    </row>
    <row r="152" spans="1:30" ht="15.6">
      <c r="A152" s="233">
        <v>135</v>
      </c>
      <c r="B152" s="232" t="s">
        <v>213</v>
      </c>
      <c r="C152" s="12" t="s">
        <v>45</v>
      </c>
      <c r="D152" s="76">
        <v>113210652.37</v>
      </c>
      <c r="E152" s="23">
        <v>154513294674.14709</v>
      </c>
      <c r="F152" s="24">
        <f t="shared" si="108"/>
        <v>8.7252445459599232E-2</v>
      </c>
      <c r="G152" s="77">
        <v>100</v>
      </c>
      <c r="H152" s="23">
        <v>136483</v>
      </c>
      <c r="I152" s="77">
        <v>100</v>
      </c>
      <c r="J152" s="23">
        <v>136483</v>
      </c>
      <c r="K152" s="25">
        <v>4251</v>
      </c>
      <c r="L152" s="26">
        <v>5.6079999999999998E-2</v>
      </c>
      <c r="M152" s="26">
        <v>5.1971970987124499E-2</v>
      </c>
      <c r="N152" s="77">
        <f>O152/1364.83</f>
        <v>113938742.3</v>
      </c>
      <c r="O152" s="23">
        <v>155507013653.30899</v>
      </c>
      <c r="P152" s="24">
        <f t="shared" si="109"/>
        <v>8.8419543950301271E-2</v>
      </c>
      <c r="Q152" s="77">
        <v>100</v>
      </c>
      <c r="R152" s="23">
        <f>Q152*1364.83</f>
        <v>136483</v>
      </c>
      <c r="S152" s="23">
        <v>100</v>
      </c>
      <c r="T152" s="23">
        <f>S152*1364.83</f>
        <v>136483</v>
      </c>
      <c r="U152" s="25">
        <v>4319</v>
      </c>
      <c r="V152" s="26">
        <v>5.7259999999999998E-2</v>
      </c>
      <c r="W152" s="26">
        <v>5.212628725E-2</v>
      </c>
      <c r="X152" s="20">
        <f t="shared" si="97"/>
        <v>6.431284642901108E-3</v>
      </c>
      <c r="Y152" s="20">
        <f t="shared" si="98"/>
        <v>0</v>
      </c>
      <c r="Z152" s="20">
        <f t="shared" si="99"/>
        <v>1.5996236179722418E-2</v>
      </c>
      <c r="AA152" s="20">
        <f t="shared" si="100"/>
        <v>1.1800000000000005E-3</v>
      </c>
      <c r="AB152" s="21">
        <f t="shared" si="101"/>
        <v>1.5431626287550071E-4</v>
      </c>
      <c r="AD152" s="88"/>
    </row>
    <row r="153" spans="1:30" ht="15.6">
      <c r="A153" s="233">
        <v>136</v>
      </c>
      <c r="B153" s="232" t="s">
        <v>214</v>
      </c>
      <c r="C153" s="12" t="s">
        <v>164</v>
      </c>
      <c r="D153" s="76">
        <v>1209837.32</v>
      </c>
      <c r="E153" s="23">
        <v>1629035425.795316</v>
      </c>
      <c r="F153" s="24">
        <f t="shared" si="108"/>
        <v>9.1990352636460221E-4</v>
      </c>
      <c r="G153" s="77">
        <v>1.1499999999999999</v>
      </c>
      <c r="H153" s="23">
        <v>1548.4649949999998</v>
      </c>
      <c r="I153" s="77">
        <v>1.1499999999999999</v>
      </c>
      <c r="J153" s="23">
        <v>1548.4649949999998</v>
      </c>
      <c r="K153" s="25">
        <v>53</v>
      </c>
      <c r="L153" s="26">
        <v>1.9E-3</v>
      </c>
      <c r="M153" s="26">
        <v>8.1900000000000001E-2</v>
      </c>
      <c r="N153" s="78">
        <v>1231747.83</v>
      </c>
      <c r="O153" s="23">
        <f>1231747.83*C274</f>
        <v>1647200729.8615592</v>
      </c>
      <c r="P153" s="24">
        <f t="shared" si="109"/>
        <v>9.3657986162390254E-4</v>
      </c>
      <c r="Q153" s="78">
        <v>1.1499999999999999</v>
      </c>
      <c r="R153" s="23">
        <f>1.15*C274</f>
        <v>1537.8803949999999</v>
      </c>
      <c r="S153" s="23">
        <v>1.1499999999999999</v>
      </c>
      <c r="T153" s="23">
        <f>1.15*C274</f>
        <v>1537.8803949999999</v>
      </c>
      <c r="U153" s="25">
        <v>53</v>
      </c>
      <c r="V153" s="55">
        <v>1.9E-3</v>
      </c>
      <c r="W153" s="55">
        <v>8.0299999999999996E-2</v>
      </c>
      <c r="X153" s="20">
        <f t="shared" si="97"/>
        <v>1.1150957050166443E-2</v>
      </c>
      <c r="Y153" s="20">
        <f t="shared" si="98"/>
        <v>-6.8355436087852352E-3</v>
      </c>
      <c r="Z153" s="20">
        <f t="shared" si="99"/>
        <v>0</v>
      </c>
      <c r="AA153" s="20">
        <f t="shared" si="100"/>
        <v>0</v>
      </c>
      <c r="AB153" s="21">
        <f t="shared" si="101"/>
        <v>-1.6000000000000042E-3</v>
      </c>
      <c r="AD153" s="88"/>
    </row>
    <row r="154" spans="1:30" ht="15.6">
      <c r="A154" s="233">
        <v>137</v>
      </c>
      <c r="B154" s="232" t="s">
        <v>215</v>
      </c>
      <c r="C154" s="12" t="s">
        <v>49</v>
      </c>
      <c r="D154" s="76">
        <v>6232353.3799999999</v>
      </c>
      <c r="E154" s="35">
        <v>8391809604.6955929</v>
      </c>
      <c r="F154" s="24">
        <f t="shared" si="108"/>
        <v>4.7387890562115799E-3</v>
      </c>
      <c r="G154" s="77">
        <v>10.81</v>
      </c>
      <c r="H154" s="23">
        <v>14555.570953</v>
      </c>
      <c r="I154" s="77">
        <v>10.81</v>
      </c>
      <c r="J154" s="23">
        <v>14555.570953</v>
      </c>
      <c r="K154" s="25">
        <v>174</v>
      </c>
      <c r="L154" s="26">
        <v>6.0400000000000002E-2</v>
      </c>
      <c r="M154" s="26">
        <v>7.8700000000000006E-2</v>
      </c>
      <c r="N154" s="77">
        <v>6202237.2700000005</v>
      </c>
      <c r="O154" s="35">
        <f>6202237.27*C274</f>
        <v>8294173132.7576704</v>
      </c>
      <c r="P154" s="24">
        <f t="shared" si="109"/>
        <v>4.7159738240376767E-3</v>
      </c>
      <c r="Q154" s="77">
        <v>10.81</v>
      </c>
      <c r="R154" s="23">
        <f>10.81*C274</f>
        <v>14456.075713</v>
      </c>
      <c r="S154" s="23">
        <v>10.81</v>
      </c>
      <c r="T154" s="23">
        <f>10.81*C274</f>
        <v>14456.075713</v>
      </c>
      <c r="U154" s="25">
        <v>175</v>
      </c>
      <c r="V154" s="26">
        <v>5.9900000000000002E-2</v>
      </c>
      <c r="W154" s="26">
        <v>7.8299999999999995E-2</v>
      </c>
      <c r="X154" s="20">
        <f t="shared" si="97"/>
        <v>-1.1634733929531779E-2</v>
      </c>
      <c r="Y154" s="20">
        <f t="shared" si="98"/>
        <v>-6.8355436087853055E-3</v>
      </c>
      <c r="Z154" s="20">
        <f t="shared" si="99"/>
        <v>5.7471264367816091E-3</v>
      </c>
      <c r="AA154" s="20">
        <f t="shared" si="100"/>
        <v>-5.0000000000000044E-4</v>
      </c>
      <c r="AB154" s="21">
        <f t="shared" si="101"/>
        <v>-4.0000000000001146E-4</v>
      </c>
      <c r="AD154" s="88"/>
    </row>
    <row r="155" spans="1:30" ht="15.6">
      <c r="A155" s="233">
        <v>138</v>
      </c>
      <c r="B155" s="192" t="s">
        <v>216</v>
      </c>
      <c r="C155" s="68" t="s">
        <v>53</v>
      </c>
      <c r="D155" s="76">
        <v>29527491.074978393</v>
      </c>
      <c r="E155" s="23">
        <v>39758509843.286049</v>
      </c>
      <c r="F155" s="24">
        <f t="shared" si="108"/>
        <v>2.2451318632303343E-2</v>
      </c>
      <c r="G155" s="77">
        <v>1.0900000000000001</v>
      </c>
      <c r="H155" s="23">
        <v>1467.6755169999999</v>
      </c>
      <c r="I155" s="77">
        <v>1.0900000000000001</v>
      </c>
      <c r="J155" s="23">
        <v>1467.6755169999999</v>
      </c>
      <c r="K155" s="25">
        <v>796</v>
      </c>
      <c r="L155" s="26">
        <v>-5.9999999999999995E-4</v>
      </c>
      <c r="M155" s="26">
        <v>9.4799999999999995E-2</v>
      </c>
      <c r="N155" s="77">
        <f>O155/C274</f>
        <v>29557847.208639875</v>
      </c>
      <c r="O155" s="23">
        <v>39527333687.454552</v>
      </c>
      <c r="P155" s="24">
        <f t="shared" si="109"/>
        <v>2.2474798635178747E-2</v>
      </c>
      <c r="Q155" s="77">
        <v>1.0900000000000001</v>
      </c>
      <c r="R155" s="23">
        <f>1.09*C274</f>
        <v>1457.643157</v>
      </c>
      <c r="S155" s="23">
        <v>1.1000000000000001</v>
      </c>
      <c r="T155" s="23">
        <f>1.1*C274</f>
        <v>1471.01603</v>
      </c>
      <c r="U155" s="25">
        <v>798</v>
      </c>
      <c r="V155" s="26">
        <v>1.1999999999999999E-3</v>
      </c>
      <c r="W155" s="196">
        <v>9.5899999999999999E-2</v>
      </c>
      <c r="X155" s="20">
        <f t="shared" si="97"/>
        <v>-5.8145075542999887E-3</v>
      </c>
      <c r="Y155" s="20">
        <f t="shared" si="98"/>
        <v>2.2760569085653699E-3</v>
      </c>
      <c r="Z155" s="20">
        <f t="shared" si="99"/>
        <v>2.5125628140703518E-3</v>
      </c>
      <c r="AA155" s="20">
        <f t="shared" si="100"/>
        <v>1.8E-3</v>
      </c>
      <c r="AB155" s="21">
        <f t="shared" si="101"/>
        <v>1.1000000000000038E-3</v>
      </c>
      <c r="AD155" s="88"/>
    </row>
    <row r="156" spans="1:30">
      <c r="A156" s="233">
        <v>139</v>
      </c>
      <c r="B156" s="232" t="s">
        <v>217</v>
      </c>
      <c r="C156" s="12" t="s">
        <v>116</v>
      </c>
      <c r="D156" s="76">
        <v>329920.18</v>
      </c>
      <c r="E156" s="35">
        <v>450011125.51999998</v>
      </c>
      <c r="F156" s="24">
        <f t="shared" si="108"/>
        <v>2.5411775257560632E-4</v>
      </c>
      <c r="G156" s="77">
        <v>1.37</v>
      </c>
      <c r="H156" s="23">
        <v>1868.68</v>
      </c>
      <c r="I156" s="77">
        <v>1.37</v>
      </c>
      <c r="J156" s="23">
        <v>1868.68</v>
      </c>
      <c r="K156" s="25">
        <v>2</v>
      </c>
      <c r="L156" s="26">
        <v>1.5299999999999999E-2</v>
      </c>
      <c r="M156" s="26">
        <v>3.4200000000000001E-2</v>
      </c>
      <c r="N156" s="78">
        <v>322661.37</v>
      </c>
      <c r="O156" s="35">
        <f>N156*1377</f>
        <v>444304706.49000001</v>
      </c>
      <c r="P156" s="24">
        <f t="shared" si="109"/>
        <v>2.5262667322775332E-4</v>
      </c>
      <c r="Q156" s="77">
        <v>1.29</v>
      </c>
      <c r="R156" s="23">
        <f>Q156*1377</f>
        <v>1776.3300000000002</v>
      </c>
      <c r="S156" s="23">
        <v>1.29</v>
      </c>
      <c r="T156" s="23">
        <f>S156*1377</f>
        <v>1776.3300000000002</v>
      </c>
      <c r="U156" s="25">
        <v>2</v>
      </c>
      <c r="V156" s="55">
        <v>5.7999999999999996E-3</v>
      </c>
      <c r="W156" s="55">
        <v>3.4200000000000001E-2</v>
      </c>
      <c r="X156" s="20">
        <f t="shared" si="97"/>
        <v>-1.2680617670076602E-2</v>
      </c>
      <c r="Y156" s="20">
        <f t="shared" si="98"/>
        <v>-4.9419911381295839E-2</v>
      </c>
      <c r="Z156" s="20">
        <f t="shared" si="99"/>
        <v>0</v>
      </c>
      <c r="AA156" s="20">
        <f t="shared" ref="AA156" si="110">V156-L156</f>
        <v>-9.4999999999999998E-3</v>
      </c>
      <c r="AB156" s="21">
        <f t="shared" ref="AB156" si="111">W156-M156</f>
        <v>0</v>
      </c>
    </row>
    <row r="157" spans="1:30">
      <c r="A157" s="233">
        <v>140</v>
      </c>
      <c r="B157" s="232" t="s">
        <v>218</v>
      </c>
      <c r="C157" s="12" t="s">
        <v>121</v>
      </c>
      <c r="D157" s="76">
        <v>562096.32999999996</v>
      </c>
      <c r="E157" s="35">
        <v>756857818.10692894</v>
      </c>
      <c r="F157" s="24">
        <f t="shared" si="108"/>
        <v>4.27391672893345E-4</v>
      </c>
      <c r="G157" s="77">
        <v>1.0923</v>
      </c>
      <c r="H157" s="23">
        <v>1470.7724469899999</v>
      </c>
      <c r="I157" s="77">
        <v>1.0923</v>
      </c>
      <c r="J157" s="23">
        <v>1470.7724469899999</v>
      </c>
      <c r="K157" s="25">
        <v>19</v>
      </c>
      <c r="L157" s="26">
        <v>-1.4E-3</v>
      </c>
      <c r="M157" s="26">
        <v>3.5099999999999999E-2</v>
      </c>
      <c r="N157" s="78">
        <v>562551.01</v>
      </c>
      <c r="O157" s="35">
        <f>562551.01*C274</f>
        <v>752292321.27517295</v>
      </c>
      <c r="P157" s="24">
        <f t="shared" si="109"/>
        <v>4.2774497690991389E-4</v>
      </c>
      <c r="Q157" s="78">
        <v>1.0931999999999999</v>
      </c>
      <c r="R157" s="23">
        <f>1.0932*C274</f>
        <v>1461.9224763599998</v>
      </c>
      <c r="S157" s="23">
        <v>1.0931999999999999</v>
      </c>
      <c r="T157" s="23">
        <f>1.0932*C274</f>
        <v>1461.9224763599998</v>
      </c>
      <c r="U157" s="25">
        <v>19</v>
      </c>
      <c r="V157" s="26">
        <v>4.0000000000000002E-4</v>
      </c>
      <c r="W157" s="26">
        <v>3.5499999999999997E-2</v>
      </c>
      <c r="X157" s="20">
        <f t="shared" ref="X157" si="112">((O157-E157)/E157)</f>
        <v>-6.0321723876425384E-3</v>
      </c>
      <c r="Y157" s="20">
        <f t="shared" ref="Y157" si="113">((T157-J157)/J157)</f>
        <v>-6.0172262868481083E-3</v>
      </c>
      <c r="Z157" s="20">
        <f t="shared" si="99"/>
        <v>0</v>
      </c>
      <c r="AA157" s="20">
        <f t="shared" si="100"/>
        <v>1.8E-3</v>
      </c>
      <c r="AB157" s="21">
        <f t="shared" si="101"/>
        <v>3.9999999999999758E-4</v>
      </c>
    </row>
    <row r="158" spans="1:30">
      <c r="A158" s="233">
        <v>141</v>
      </c>
      <c r="B158" s="232" t="s">
        <v>219</v>
      </c>
      <c r="C158" s="12" t="s">
        <v>55</v>
      </c>
      <c r="D158" s="76">
        <v>600154867.07000005</v>
      </c>
      <c r="E158" s="35">
        <v>807934483598.30481</v>
      </c>
      <c r="F158" s="24">
        <f t="shared" si="108"/>
        <v>0.45623426523753718</v>
      </c>
      <c r="G158" s="77">
        <v>1.7130000000000001</v>
      </c>
      <c r="H158" s="23">
        <v>2327.3331900000003</v>
      </c>
      <c r="I158" s="77">
        <v>1.7130000000000001</v>
      </c>
      <c r="J158" s="23">
        <v>2327.3331900000003</v>
      </c>
      <c r="K158" s="25">
        <v>13958</v>
      </c>
      <c r="L158" s="26">
        <v>7.5947888064501802E-4</v>
      </c>
      <c r="M158" s="26">
        <v>3.7901394600338499E-2</v>
      </c>
      <c r="N158" s="78">
        <v>597318221.11000001</v>
      </c>
      <c r="O158" s="35">
        <f>N158*1339.33</f>
        <v>800006213079.25623</v>
      </c>
      <c r="P158" s="24">
        <f t="shared" si="109"/>
        <v>0.45487456067786303</v>
      </c>
      <c r="Q158" s="78">
        <v>1.7142999999999999</v>
      </c>
      <c r="R158" s="23">
        <f>Q158*1339.33</f>
        <v>2296.0134189999999</v>
      </c>
      <c r="S158" s="78">
        <v>1.7142999999999999</v>
      </c>
      <c r="T158" s="23">
        <f>S158*1339.33</f>
        <v>2296.0134189999999</v>
      </c>
      <c r="U158" s="25">
        <v>13980</v>
      </c>
      <c r="V158" s="55">
        <v>7.5890251021591096E-4</v>
      </c>
      <c r="W158" s="55">
        <v>3.7972704633631699E-2</v>
      </c>
      <c r="X158" s="20">
        <f t="shared" si="97"/>
        <v>-9.8130116735931066E-3</v>
      </c>
      <c r="Y158" s="20">
        <f t="shared" si="98"/>
        <v>-1.345736447818217E-2</v>
      </c>
      <c r="Z158" s="20">
        <f t="shared" si="99"/>
        <v>1.5761570425562401E-3</v>
      </c>
      <c r="AA158" s="20">
        <f t="shared" si="100"/>
        <v>-5.763704291070551E-7</v>
      </c>
      <c r="AB158" s="21">
        <f t="shared" si="101"/>
        <v>7.1310033293199571E-5</v>
      </c>
    </row>
    <row r="159" spans="1:30">
      <c r="A159" s="233">
        <v>142</v>
      </c>
      <c r="B159" s="232" t="s">
        <v>220</v>
      </c>
      <c r="C159" s="36" t="s">
        <v>130</v>
      </c>
      <c r="D159" s="76">
        <v>495623.53</v>
      </c>
      <c r="E159" s="35">
        <v>667352771.22028899</v>
      </c>
      <c r="F159" s="24">
        <f t="shared" si="108"/>
        <v>3.7684887501757033E-4</v>
      </c>
      <c r="G159" s="77">
        <v>118.9061</v>
      </c>
      <c r="H159" s="23">
        <v>160106.02916692998</v>
      </c>
      <c r="I159" s="77">
        <v>118.9061</v>
      </c>
      <c r="J159" s="23">
        <v>160106.02916692998</v>
      </c>
      <c r="K159" s="25">
        <v>32</v>
      </c>
      <c r="L159" s="26">
        <v>1.1999999999999999E-3</v>
      </c>
      <c r="M159" s="26">
        <v>4.5900000000000003E-2</v>
      </c>
      <c r="N159" s="78">
        <v>496293.57</v>
      </c>
      <c r="O159" s="34">
        <f>N159*C274</f>
        <v>663687088.23266101</v>
      </c>
      <c r="P159" s="24">
        <f t="shared" si="109"/>
        <v>3.7736503511066264E-4</v>
      </c>
      <c r="Q159" s="78">
        <v>119.0669</v>
      </c>
      <c r="R159" s="23">
        <f>Q159*C274</f>
        <v>159226.65322037</v>
      </c>
      <c r="S159" s="23">
        <v>119.0669</v>
      </c>
      <c r="T159" s="23">
        <f>S159*C274</f>
        <v>159226.65322037</v>
      </c>
      <c r="U159" s="25">
        <v>33</v>
      </c>
      <c r="V159" s="26">
        <v>1.4E-3</v>
      </c>
      <c r="W159" s="26">
        <v>4.7300000000000002E-2</v>
      </c>
      <c r="X159" s="20">
        <f t="shared" ref="X159" si="114">((O159-E159)/E159)</f>
        <v>-5.4928714552650955E-3</v>
      </c>
      <c r="Y159" s="20">
        <f t="shared" ref="Y159" si="115">((T159-J159)/J159)</f>
        <v>-5.4924599100706958E-3</v>
      </c>
      <c r="Z159" s="20">
        <f t="shared" ref="Z159" si="116">((U159-K159)/K159)</f>
        <v>3.125E-2</v>
      </c>
      <c r="AA159" s="20">
        <f t="shared" ref="AA159" si="117">V159-L159</f>
        <v>2.0000000000000009E-4</v>
      </c>
      <c r="AB159" s="21">
        <f t="shared" ref="AB159" si="118">W159-M159</f>
        <v>1.3999999999999985E-3</v>
      </c>
    </row>
    <row r="160" spans="1:30" ht="16.5" customHeight="1">
      <c r="A160" s="233">
        <v>143</v>
      </c>
      <c r="B160" s="232" t="s">
        <v>221</v>
      </c>
      <c r="C160" s="12" t="s">
        <v>58</v>
      </c>
      <c r="D160" s="76">
        <v>128024513.81999999</v>
      </c>
      <c r="E160" s="35">
        <v>172347880749.62219</v>
      </c>
      <c r="F160" s="24">
        <f t="shared" si="108"/>
        <v>9.7323496317239674E-2</v>
      </c>
      <c r="G160" s="77">
        <v>1.21146222</v>
      </c>
      <c r="H160" s="23">
        <v>1630.8825551862001</v>
      </c>
      <c r="I160" s="77">
        <v>1.21146222</v>
      </c>
      <c r="J160" s="23">
        <v>1630.8825551862001</v>
      </c>
      <c r="K160" s="25">
        <v>1162</v>
      </c>
      <c r="L160" s="26">
        <v>8.9999999999999998E-4</v>
      </c>
      <c r="M160" s="26">
        <v>9.1399999999999995E-2</v>
      </c>
      <c r="N160" s="78">
        <v>128249209.17</v>
      </c>
      <c r="O160" s="35">
        <f>N160*1339.33</f>
        <v>171768013317.6561</v>
      </c>
      <c r="P160" s="24">
        <f t="shared" si="109"/>
        <v>9.7665365992148312E-2</v>
      </c>
      <c r="Q160" s="78">
        <v>1.2125999999999999</v>
      </c>
      <c r="R160" s="77">
        <f>Q160*1339.33</f>
        <v>1624.0715579999999</v>
      </c>
      <c r="S160" s="23">
        <v>1.2125999999999999</v>
      </c>
      <c r="T160" s="23">
        <f>S160*1339.33</f>
        <v>1624.0715579999999</v>
      </c>
      <c r="U160" s="25">
        <v>1980</v>
      </c>
      <c r="V160" s="55">
        <v>3.0000000000000001E-3</v>
      </c>
      <c r="W160" s="55">
        <v>0.1762</v>
      </c>
      <c r="X160" s="20">
        <f t="shared" si="97"/>
        <v>-3.3645173322931392E-3</v>
      </c>
      <c r="Y160" s="20">
        <f t="shared" si="98"/>
        <v>-4.1762646639031528E-3</v>
      </c>
      <c r="Z160" s="20">
        <f t="shared" si="99"/>
        <v>0.70395869191049909</v>
      </c>
      <c r="AA160" s="20">
        <f t="shared" si="100"/>
        <v>2.1000000000000003E-3</v>
      </c>
      <c r="AB160" s="21">
        <f t="shared" si="101"/>
        <v>8.48E-2</v>
      </c>
    </row>
    <row r="161" spans="1:30" ht="16.5" customHeight="1">
      <c r="A161" s="233">
        <v>144</v>
      </c>
      <c r="B161" s="232" t="s">
        <v>222</v>
      </c>
      <c r="C161" s="12" t="s">
        <v>125</v>
      </c>
      <c r="D161" s="76">
        <v>1358775.7552621514</v>
      </c>
      <c r="E161" s="23">
        <v>1829197509.4914608</v>
      </c>
      <c r="F161" s="24">
        <f t="shared" si="108"/>
        <v>1.0329334849038254E-3</v>
      </c>
      <c r="G161" s="77">
        <v>116.38</v>
      </c>
      <c r="H161" s="23">
        <v>156671.9198</v>
      </c>
      <c r="I161" s="77">
        <v>116.38</v>
      </c>
      <c r="J161" s="23">
        <v>156671.9198</v>
      </c>
      <c r="K161" s="25">
        <v>24</v>
      </c>
      <c r="L161" s="26">
        <v>1E-3</v>
      </c>
      <c r="M161" s="26">
        <v>4.1000000000000002E-2</v>
      </c>
      <c r="N161" s="78">
        <v>1361922.7973140595</v>
      </c>
      <c r="O161" s="80">
        <v>1824064060.1266391</v>
      </c>
      <c r="P161" s="24">
        <f t="shared" si="109"/>
        <v>1.0371423676883171E-3</v>
      </c>
      <c r="Q161" s="78">
        <v>116.65</v>
      </c>
      <c r="R161" s="23">
        <v>156232.84450000001</v>
      </c>
      <c r="S161" s="77">
        <v>116.65</v>
      </c>
      <c r="T161" s="23">
        <v>156232.84450000001</v>
      </c>
      <c r="U161" s="25">
        <v>24</v>
      </c>
      <c r="V161" s="55">
        <v>2.3E-3</v>
      </c>
      <c r="W161" s="55">
        <v>4.3400000000000001E-2</v>
      </c>
      <c r="X161" s="20">
        <f t="shared" si="97"/>
        <v>-2.806394245665048E-3</v>
      </c>
      <c r="Y161" s="20">
        <f t="shared" si="98"/>
        <v>-2.8025143277780706E-3</v>
      </c>
      <c r="Z161" s="20">
        <f t="shared" si="99"/>
        <v>0</v>
      </c>
      <c r="AA161" s="20">
        <f t="shared" si="100"/>
        <v>1.2999999999999999E-3</v>
      </c>
      <c r="AB161" s="21">
        <f t="shared" si="101"/>
        <v>2.3999999999999994E-3</v>
      </c>
    </row>
    <row r="162" spans="1:30" ht="16.5" customHeight="1">
      <c r="A162" s="233">
        <v>145</v>
      </c>
      <c r="B162" s="232" t="s">
        <v>223</v>
      </c>
      <c r="C162" s="12" t="s">
        <v>137</v>
      </c>
      <c r="D162" s="76">
        <v>4095963.54</v>
      </c>
      <c r="E162" s="23">
        <v>5515179271.7272015</v>
      </c>
      <c r="F162" s="24">
        <f t="shared" si="108"/>
        <v>3.1143784722286786E-3</v>
      </c>
      <c r="G162" s="77">
        <v>1.19</v>
      </c>
      <c r="H162" s="23">
        <v>1602.3246469999999</v>
      </c>
      <c r="I162" s="77">
        <v>1.19</v>
      </c>
      <c r="J162" s="23">
        <v>1602.3246469999999</v>
      </c>
      <c r="K162" s="25">
        <v>59</v>
      </c>
      <c r="L162" s="26">
        <v>2.98E-2</v>
      </c>
      <c r="M162" s="26">
        <v>2.98E-2</v>
      </c>
      <c r="N162" s="78">
        <v>4104510.9</v>
      </c>
      <c r="O162" s="23">
        <f>4104510.9*C274</f>
        <v>5488910299.2815695</v>
      </c>
      <c r="P162" s="24">
        <f t="shared" si="109"/>
        <v>3.1209328379785324E-3</v>
      </c>
      <c r="Q162" s="78">
        <v>1.19</v>
      </c>
      <c r="R162" s="23">
        <f>1.19*C274</f>
        <v>1591.3718869999998</v>
      </c>
      <c r="S162" s="23">
        <v>1.19</v>
      </c>
      <c r="T162" s="23">
        <f>1.19*C274</f>
        <v>1591.3718869999998</v>
      </c>
      <c r="U162" s="25">
        <v>59</v>
      </c>
      <c r="V162" s="55">
        <v>3.0200000000000001E-2</v>
      </c>
      <c r="W162" s="55">
        <v>3.0800000000000001E-2</v>
      </c>
      <c r="X162" s="20">
        <f t="shared" ref="X162" si="119">((O162-E162)/E162)</f>
        <v>-4.7630314721220776E-3</v>
      </c>
      <c r="Y162" s="20">
        <f t="shared" ref="Y162" si="120">((T162-J162)/J162)</f>
        <v>-6.8355436087853714E-3</v>
      </c>
      <c r="Z162" s="20">
        <f t="shared" si="99"/>
        <v>0</v>
      </c>
      <c r="AA162" s="20">
        <f t="shared" si="100"/>
        <v>4.0000000000000105E-4</v>
      </c>
      <c r="AB162" s="21">
        <f t="shared" si="101"/>
        <v>1.0000000000000009E-3</v>
      </c>
    </row>
    <row r="163" spans="1:30">
      <c r="A163" s="233">
        <v>146</v>
      </c>
      <c r="B163" s="232" t="s">
        <v>224</v>
      </c>
      <c r="C163" s="12" t="s">
        <v>60</v>
      </c>
      <c r="D163" s="76">
        <v>1811192.51</v>
      </c>
      <c r="E163" s="23">
        <v>2438754957.3401628</v>
      </c>
      <c r="F163" s="24">
        <f t="shared" si="108"/>
        <v>1.3771457941751664E-3</v>
      </c>
      <c r="G163" s="77">
        <v>1.56</v>
      </c>
      <c r="H163" s="23">
        <v>2100.5264280000001</v>
      </c>
      <c r="I163" s="77">
        <v>1.56</v>
      </c>
      <c r="J163" s="23">
        <v>2100.5264280000001</v>
      </c>
      <c r="K163" s="25">
        <v>161</v>
      </c>
      <c r="L163" s="26">
        <v>5.8100000000000001E-3</v>
      </c>
      <c r="M163" s="26">
        <v>4.8751000000000003E-2</v>
      </c>
      <c r="N163" s="78">
        <v>1803681.1</v>
      </c>
      <c r="O163" s="23">
        <f>1803681.1*C274</f>
        <v>2412039828.2800303</v>
      </c>
      <c r="P163" s="24">
        <f t="shared" si="109"/>
        <v>1.3714587953052438E-3</v>
      </c>
      <c r="Q163" s="77">
        <v>1.55</v>
      </c>
      <c r="R163" s="23">
        <f>1.55*C274</f>
        <v>2072.7953149999998</v>
      </c>
      <c r="S163" s="23">
        <v>1.55</v>
      </c>
      <c r="T163" s="23">
        <f>1.55*C274</f>
        <v>2072.7953149999998</v>
      </c>
      <c r="U163" s="25">
        <v>161</v>
      </c>
      <c r="V163" s="55">
        <v>-6.3280000000000003E-3</v>
      </c>
      <c r="W163" s="26">
        <v>4.2484000000000001E-2</v>
      </c>
      <c r="X163" s="20">
        <f t="shared" si="97"/>
        <v>-1.095441302117104E-2</v>
      </c>
      <c r="Y163" s="20">
        <f t="shared" si="98"/>
        <v>-1.3201982431806031E-2</v>
      </c>
      <c r="Z163" s="20">
        <f t="shared" si="99"/>
        <v>0</v>
      </c>
      <c r="AA163" s="20">
        <f t="shared" si="100"/>
        <v>-1.2137999999999999E-2</v>
      </c>
      <c r="AB163" s="21">
        <f t="shared" si="101"/>
        <v>-6.2670000000000017E-3</v>
      </c>
    </row>
    <row r="164" spans="1:30">
      <c r="B164" s="43"/>
      <c r="C164" s="89" t="s">
        <v>63</v>
      </c>
      <c r="D164" s="64">
        <f>SUM(D124:D163)</f>
        <v>1311759674.3272026</v>
      </c>
      <c r="E164" s="64">
        <f>SUM(E124:E163)</f>
        <v>1770876378997.2151</v>
      </c>
      <c r="F164" s="47">
        <f>(E164/$E$243)</f>
        <v>0.1866876957449273</v>
      </c>
      <c r="G164" s="77"/>
      <c r="H164" s="48"/>
      <c r="I164" s="77">
        <v>0</v>
      </c>
      <c r="J164" s="58"/>
      <c r="K164" s="50">
        <f>SUM(K124:K163)</f>
        <v>33868</v>
      </c>
      <c r="L164" s="90"/>
      <c r="M164" s="90"/>
      <c r="N164" s="64">
        <f>SUM(N124:N163)</f>
        <v>1311002164.7174032</v>
      </c>
      <c r="O164" s="64">
        <f>SUM(O124:O163)</f>
        <v>1758740281907.7664</v>
      </c>
      <c r="P164" s="47">
        <f>(O164/$O$243)</f>
        <v>0.18519651984886298</v>
      </c>
      <c r="Q164" s="91"/>
      <c r="R164" s="48"/>
      <c r="S164" s="48"/>
      <c r="T164" s="58"/>
      <c r="U164" s="50">
        <f>SUM(U124:U163)</f>
        <v>34807</v>
      </c>
      <c r="V164" s="90"/>
      <c r="W164" s="90"/>
      <c r="X164" s="20">
        <f t="shared" si="97"/>
        <v>-6.8531588276765963E-3</v>
      </c>
      <c r="Y164" s="20" t="e">
        <f t="shared" si="98"/>
        <v>#DIV/0!</v>
      </c>
      <c r="Z164" s="20">
        <f t="shared" si="99"/>
        <v>2.7725286406047007E-2</v>
      </c>
      <c r="AA164" s="20">
        <f t="shared" si="100"/>
        <v>0</v>
      </c>
      <c r="AB164" s="21">
        <f t="shared" si="101"/>
        <v>0</v>
      </c>
    </row>
    <row r="165" spans="1:30" ht="6" customHeight="1">
      <c r="B165" s="239"/>
      <c r="C165" s="239"/>
      <c r="D165" s="239"/>
      <c r="E165" s="239"/>
      <c r="F165" s="239"/>
      <c r="G165" s="239"/>
      <c r="H165" s="239"/>
      <c r="I165" s="239"/>
      <c r="J165" s="239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</row>
    <row r="166" spans="1:30">
      <c r="A166" s="11"/>
      <c r="B166" s="241" t="s">
        <v>225</v>
      </c>
      <c r="C166" s="241"/>
      <c r="D166" s="241"/>
      <c r="E166" s="241"/>
      <c r="F166" s="241"/>
      <c r="G166" s="241"/>
      <c r="H166" s="241"/>
      <c r="I166" s="241"/>
      <c r="J166" s="241"/>
      <c r="K166" s="241"/>
      <c r="L166" s="241"/>
      <c r="M166" s="241"/>
      <c r="N166" s="241"/>
      <c r="O166" s="241"/>
      <c r="P166" s="241"/>
      <c r="Q166" s="241"/>
      <c r="R166" s="241"/>
      <c r="S166" s="241"/>
      <c r="T166" s="241"/>
      <c r="U166" s="241"/>
      <c r="V166" s="241"/>
      <c r="W166" s="241"/>
      <c r="X166" s="241"/>
      <c r="Y166" s="241"/>
      <c r="Z166" s="241"/>
      <c r="AA166" s="241"/>
      <c r="AB166" s="241"/>
    </row>
    <row r="167" spans="1:30">
      <c r="A167" s="233">
        <v>147</v>
      </c>
      <c r="B167" s="232" t="s">
        <v>226</v>
      </c>
      <c r="C167" s="12" t="s">
        <v>227</v>
      </c>
      <c r="D167" s="13" t="s">
        <v>23</v>
      </c>
      <c r="E167" s="92">
        <v>2650654389.2927923</v>
      </c>
      <c r="F167" s="24">
        <f>(E167/$E$173)</f>
        <v>5.1397992990387586E-3</v>
      </c>
      <c r="G167" s="13" t="s">
        <v>23</v>
      </c>
      <c r="H167" s="66">
        <v>124.91302494310992</v>
      </c>
      <c r="I167" s="13" t="s">
        <v>23</v>
      </c>
      <c r="J167" s="66">
        <v>124.91302494310992</v>
      </c>
      <c r="K167" s="25">
        <v>8</v>
      </c>
      <c r="L167" s="55">
        <v>3.0999999999999999E-3</v>
      </c>
      <c r="M167" s="55">
        <v>0.18820174798725997</v>
      </c>
      <c r="N167" s="13" t="s">
        <v>23</v>
      </c>
      <c r="O167" s="92">
        <v>2650919454.7317214</v>
      </c>
      <c r="P167" s="24">
        <f>(O167/$O$173)</f>
        <v>5.1372928959751646E-3</v>
      </c>
      <c r="Q167" s="13" t="s">
        <v>23</v>
      </c>
      <c r="R167" s="66">
        <v>124.92551624560421</v>
      </c>
      <c r="S167" s="13" t="s">
        <v>23</v>
      </c>
      <c r="T167" s="66">
        <v>124.92551624560421</v>
      </c>
      <c r="U167" s="25">
        <v>8</v>
      </c>
      <c r="V167" s="26">
        <v>1E-4</v>
      </c>
      <c r="W167" s="26">
        <v>0.18832056816205855</v>
      </c>
      <c r="X167" s="20">
        <f t="shared" ref="X167:X173" si="121">((O167-E167)/E167)</f>
        <v>9.9999999999925195E-5</v>
      </c>
      <c r="Y167" s="20">
        <f>((T167-J167)/J167)</f>
        <v>9.9999999999887776E-5</v>
      </c>
      <c r="Z167" s="20">
        <f>((U167-K167)/K167)</f>
        <v>0</v>
      </c>
      <c r="AA167" s="20">
        <f>V167-L167</f>
        <v>-3.0000000000000001E-3</v>
      </c>
      <c r="AB167" s="21">
        <f>W167-M167</f>
        <v>1.1882017479858398E-4</v>
      </c>
    </row>
    <row r="168" spans="1:30">
      <c r="A168" s="233">
        <v>148</v>
      </c>
      <c r="B168" s="232" t="s">
        <v>228</v>
      </c>
      <c r="C168" s="12" t="s">
        <v>27</v>
      </c>
      <c r="D168" s="13" t="s">
        <v>23</v>
      </c>
      <c r="E168" s="92">
        <v>256931866471.42999</v>
      </c>
      <c r="F168" s="24">
        <v>0</v>
      </c>
      <c r="G168" s="13" t="s">
        <v>23</v>
      </c>
      <c r="H168" s="66">
        <v>107.899485</v>
      </c>
      <c r="I168" s="13" t="s">
        <v>23</v>
      </c>
      <c r="J168" s="66">
        <v>107.899485</v>
      </c>
      <c r="K168" s="25">
        <v>45</v>
      </c>
      <c r="L168" s="55">
        <v>0.10630000000000001</v>
      </c>
      <c r="M168" s="55">
        <v>6.0900000000000003E-2</v>
      </c>
      <c r="N168" s="13" t="s">
        <v>23</v>
      </c>
      <c r="O168" s="92">
        <v>257210217431.28</v>
      </c>
      <c r="P168" s="24">
        <f t="shared" ref="P168:P172" si="122">(O168/$O$173)</f>
        <v>0.49845506260983968</v>
      </c>
      <c r="Q168" s="13" t="s">
        <v>23</v>
      </c>
      <c r="R168" s="66">
        <v>108.010885</v>
      </c>
      <c r="S168" s="13" t="s">
        <v>23</v>
      </c>
      <c r="T168" s="66">
        <v>108.010885</v>
      </c>
      <c r="U168" s="25">
        <v>45</v>
      </c>
      <c r="V168" s="55">
        <v>5.3800000000000001E-2</v>
      </c>
      <c r="W168" s="55">
        <v>0.10489999999999999</v>
      </c>
      <c r="X168" s="20">
        <f t="shared" ref="X168" si="123">((O168-E168)/E168)</f>
        <v>1.0833648767384712E-3</v>
      </c>
      <c r="Y168" s="20">
        <f t="shared" ref="Y168" si="124">((T168-J168)/J168)</f>
        <v>1.032442369859349E-3</v>
      </c>
      <c r="Z168" s="20">
        <f t="shared" ref="Z168" si="125">((U168-K168)/K168)</f>
        <v>0</v>
      </c>
      <c r="AA168" s="20">
        <f t="shared" ref="AA168" si="126">V168-L168</f>
        <v>-5.2500000000000005E-2</v>
      </c>
      <c r="AB168" s="21">
        <f t="shared" ref="AB168" si="127">W168-M168</f>
        <v>4.3999999999999991E-2</v>
      </c>
    </row>
    <row r="169" spans="1:30">
      <c r="A169" s="233">
        <v>149</v>
      </c>
      <c r="B169" s="232" t="s">
        <v>229</v>
      </c>
      <c r="C169" s="12" t="s">
        <v>53</v>
      </c>
      <c r="D169" s="13" t="s">
        <v>23</v>
      </c>
      <c r="E169" s="80">
        <v>187215600086</v>
      </c>
      <c r="F169" s="24">
        <f>(E169/$E$173)</f>
        <v>0.36302379290869247</v>
      </c>
      <c r="G169" s="13" t="s">
        <v>23</v>
      </c>
      <c r="H169" s="66">
        <v>113</v>
      </c>
      <c r="I169" s="13" t="s">
        <v>23</v>
      </c>
      <c r="J169" s="66">
        <v>113</v>
      </c>
      <c r="K169" s="25">
        <v>1883</v>
      </c>
      <c r="L169" s="55">
        <v>0</v>
      </c>
      <c r="M169" s="55">
        <v>0</v>
      </c>
      <c r="N169" s="13" t="s">
        <v>23</v>
      </c>
      <c r="O169" s="35">
        <v>187215600086</v>
      </c>
      <c r="P169" s="24">
        <f t="shared" si="122"/>
        <v>0.36281048472476868</v>
      </c>
      <c r="Q169" s="13" t="s">
        <v>23</v>
      </c>
      <c r="R169" s="66">
        <v>113</v>
      </c>
      <c r="S169" s="13" t="s">
        <v>23</v>
      </c>
      <c r="T169" s="66">
        <v>113</v>
      </c>
      <c r="U169" s="25">
        <v>1883</v>
      </c>
      <c r="V169" s="26">
        <v>0</v>
      </c>
      <c r="W169" s="26">
        <v>0</v>
      </c>
      <c r="X169" s="20">
        <f t="shared" si="121"/>
        <v>0</v>
      </c>
      <c r="Y169" s="20">
        <f t="shared" ref="Y169:Z173" si="128">((T169-J169)/J169)</f>
        <v>0</v>
      </c>
      <c r="Z169" s="20">
        <f t="shared" si="128"/>
        <v>0</v>
      </c>
      <c r="AA169" s="20">
        <f t="shared" ref="AA169:AB173" si="129">V169-L169</f>
        <v>0</v>
      </c>
      <c r="AB169" s="21">
        <f t="shared" si="129"/>
        <v>0</v>
      </c>
    </row>
    <row r="170" spans="1:30" ht="15.75" customHeight="1">
      <c r="A170" s="233">
        <v>150</v>
      </c>
      <c r="B170" s="232" t="s">
        <v>230</v>
      </c>
      <c r="C170" s="12" t="s">
        <v>172</v>
      </c>
      <c r="D170" s="13" t="s">
        <v>23</v>
      </c>
      <c r="E170" s="80">
        <v>6124062686.4508495</v>
      </c>
      <c r="F170" s="24">
        <f>(E170/$E$173)</f>
        <v>1.1874974432818293E-2</v>
      </c>
      <c r="G170" s="13" t="s">
        <v>23</v>
      </c>
      <c r="H170" s="66">
        <v>418.75</v>
      </c>
      <c r="I170" s="13" t="s">
        <v>23</v>
      </c>
      <c r="J170" s="66">
        <v>418.75</v>
      </c>
      <c r="K170" s="25">
        <v>5693</v>
      </c>
      <c r="L170" s="55">
        <v>5.9471921446128409E-2</v>
      </c>
      <c r="M170" s="55">
        <v>1.2912203819173901E-2</v>
      </c>
      <c r="N170" s="13" t="s">
        <v>23</v>
      </c>
      <c r="O170" s="35">
        <v>6133180632.6284447</v>
      </c>
      <c r="P170" s="24">
        <f t="shared" si="122"/>
        <v>1.1885666777802287E-2</v>
      </c>
      <c r="Q170" s="13" t="s">
        <v>23</v>
      </c>
      <c r="R170" s="66">
        <v>418.75</v>
      </c>
      <c r="S170" s="13" t="s">
        <v>23</v>
      </c>
      <c r="T170" s="66">
        <v>418.75</v>
      </c>
      <c r="U170" s="25">
        <v>5693</v>
      </c>
      <c r="V170" s="26">
        <v>9.9492351889685499E-2</v>
      </c>
      <c r="W170" s="26">
        <v>1.3047669578055716E-2</v>
      </c>
      <c r="X170" s="20">
        <f t="shared" si="121"/>
        <v>1.4888721171597559E-3</v>
      </c>
      <c r="Y170" s="20">
        <f t="shared" si="128"/>
        <v>0</v>
      </c>
      <c r="Z170" s="20">
        <f t="shared" si="128"/>
        <v>0</v>
      </c>
      <c r="AA170" s="20">
        <f t="shared" si="129"/>
        <v>4.002043044355709E-2</v>
      </c>
      <c r="AB170" s="21">
        <f t="shared" si="129"/>
        <v>1.3546575888181457E-4</v>
      </c>
    </row>
    <row r="171" spans="1:30">
      <c r="A171" s="233">
        <v>151</v>
      </c>
      <c r="B171" s="232" t="s">
        <v>231</v>
      </c>
      <c r="C171" s="12" t="s">
        <v>172</v>
      </c>
      <c r="D171" s="13" t="s">
        <v>23</v>
      </c>
      <c r="E171" s="80">
        <v>27582106393.18</v>
      </c>
      <c r="F171" s="24">
        <f>(E171/$E$173)</f>
        <v>5.3483581895225139E-2</v>
      </c>
      <c r="G171" s="13" t="s">
        <v>23</v>
      </c>
      <c r="H171" s="66">
        <v>70</v>
      </c>
      <c r="I171" s="13" t="s">
        <v>23</v>
      </c>
      <c r="J171" s="66">
        <v>70</v>
      </c>
      <c r="K171" s="25">
        <v>8409</v>
      </c>
      <c r="L171" s="55">
        <v>5.2018242013647215E-2</v>
      </c>
      <c r="M171" s="55">
        <v>5.4384288258809477E-2</v>
      </c>
      <c r="N171" s="13" t="s">
        <v>23</v>
      </c>
      <c r="O171" s="35">
        <v>27597576217.150002</v>
      </c>
      <c r="P171" s="24">
        <f t="shared" si="122"/>
        <v>5.3482135035613894E-2</v>
      </c>
      <c r="Q171" s="13" t="s">
        <v>23</v>
      </c>
      <c r="R171" s="66">
        <v>70</v>
      </c>
      <c r="S171" s="13" t="s">
        <v>23</v>
      </c>
      <c r="T171" s="66">
        <v>70</v>
      </c>
      <c r="U171" s="25">
        <v>8409</v>
      </c>
      <c r="V171" s="26">
        <v>5.4114375470820757E-2</v>
      </c>
      <c r="W171" s="26">
        <v>3.5981861198728163E-2</v>
      </c>
      <c r="X171" s="20">
        <f t="shared" si="121"/>
        <v>5.6086448763123888E-4</v>
      </c>
      <c r="Y171" s="20">
        <f t="shared" si="128"/>
        <v>0</v>
      </c>
      <c r="Z171" s="20">
        <f t="shared" si="128"/>
        <v>0</v>
      </c>
      <c r="AA171" s="20">
        <f t="shared" si="129"/>
        <v>2.0961334571735421E-3</v>
      </c>
      <c r="AB171" s="21">
        <f t="shared" si="129"/>
        <v>-1.8402427060081314E-2</v>
      </c>
    </row>
    <row r="172" spans="1:30">
      <c r="A172" s="233">
        <v>152</v>
      </c>
      <c r="B172" s="232" t="s">
        <v>232</v>
      </c>
      <c r="C172" s="12" t="s">
        <v>172</v>
      </c>
      <c r="D172" s="13" t="s">
        <v>23</v>
      </c>
      <c r="E172" s="80">
        <v>35207362331.067299</v>
      </c>
      <c r="F172" s="24">
        <f>(E172/$E$173)</f>
        <v>6.8269472233422335E-2</v>
      </c>
      <c r="G172" s="13" t="s">
        <v>23</v>
      </c>
      <c r="H172" s="66">
        <v>13.65</v>
      </c>
      <c r="I172" s="13" t="s">
        <v>23</v>
      </c>
      <c r="J172" s="66">
        <v>13.65</v>
      </c>
      <c r="K172" s="25">
        <v>216198</v>
      </c>
      <c r="L172" s="55">
        <v>0</v>
      </c>
      <c r="M172" s="55">
        <v>0</v>
      </c>
      <c r="N172" s="13" t="s">
        <v>23</v>
      </c>
      <c r="O172" s="35">
        <v>35207362331.067299</v>
      </c>
      <c r="P172" s="24">
        <f t="shared" si="122"/>
        <v>6.8229357956000269E-2</v>
      </c>
      <c r="Q172" s="13" t="s">
        <v>23</v>
      </c>
      <c r="R172" s="66">
        <v>14.2</v>
      </c>
      <c r="S172" s="13" t="s">
        <v>23</v>
      </c>
      <c r="T172" s="66">
        <v>14.2</v>
      </c>
      <c r="U172" s="25">
        <v>216198</v>
      </c>
      <c r="V172" s="26">
        <v>0</v>
      </c>
      <c r="W172" s="26">
        <v>0</v>
      </c>
      <c r="X172" s="20">
        <f t="shared" si="121"/>
        <v>0</v>
      </c>
      <c r="Y172" s="20">
        <f t="shared" si="128"/>
        <v>4.0293040293040212E-2</v>
      </c>
      <c r="Z172" s="20">
        <f t="shared" si="128"/>
        <v>0</v>
      </c>
      <c r="AA172" s="20">
        <f t="shared" si="129"/>
        <v>0</v>
      </c>
      <c r="AB172" s="21">
        <f t="shared" si="129"/>
        <v>0</v>
      </c>
    </row>
    <row r="173" spans="1:30">
      <c r="B173" s="93"/>
      <c r="C173" s="44" t="s">
        <v>63</v>
      </c>
      <c r="D173" s="45" t="s">
        <v>23</v>
      </c>
      <c r="E173" s="46">
        <f>SUM(E167:E172)</f>
        <v>515711652357.42096</v>
      </c>
      <c r="F173" s="47">
        <f>(E173/$E$243)</f>
        <v>5.4366877998527609E-2</v>
      </c>
      <c r="G173" s="13"/>
      <c r="H173" s="48"/>
      <c r="I173" s="48"/>
      <c r="J173" s="94"/>
      <c r="K173" s="50">
        <f>SUM(K167:K172)</f>
        <v>232236</v>
      </c>
      <c r="L173" s="95"/>
      <c r="M173" s="95"/>
      <c r="N173" s="13"/>
      <c r="O173" s="46">
        <f>SUM(O167:O172)</f>
        <v>516014856152.85748</v>
      </c>
      <c r="P173" s="47">
        <f>(O173/$O$243)</f>
        <v>5.4336707092510046E-2</v>
      </c>
      <c r="Q173" s="52"/>
      <c r="R173" s="48"/>
      <c r="S173" s="48"/>
      <c r="T173" s="94"/>
      <c r="U173" s="50">
        <f>SUM(U167:U172)</f>
        <v>232236</v>
      </c>
      <c r="V173" s="95"/>
      <c r="W173" s="95"/>
      <c r="X173" s="20">
        <f t="shared" si="121"/>
        <v>5.8793279936669718E-4</v>
      </c>
      <c r="Y173" s="20" t="e">
        <f t="shared" si="128"/>
        <v>#DIV/0!</v>
      </c>
      <c r="Z173" s="20">
        <f t="shared" si="128"/>
        <v>0</v>
      </c>
      <c r="AA173" s="20">
        <f t="shared" si="129"/>
        <v>0</v>
      </c>
      <c r="AB173" s="21">
        <f t="shared" si="129"/>
        <v>0</v>
      </c>
    </row>
    <row r="174" spans="1:30" ht="5.25" customHeight="1">
      <c r="B174" s="239"/>
      <c r="C174" s="239"/>
      <c r="D174" s="239"/>
      <c r="E174" s="239"/>
      <c r="F174" s="239"/>
      <c r="G174" s="239"/>
      <c r="H174" s="239"/>
      <c r="I174" s="239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</row>
    <row r="175" spans="1:30" ht="15" customHeight="1">
      <c r="A175" s="11"/>
      <c r="B175" s="241" t="s">
        <v>233</v>
      </c>
      <c r="C175" s="241"/>
      <c r="D175" s="241"/>
      <c r="E175" s="241"/>
      <c r="F175" s="241"/>
      <c r="G175" s="241"/>
      <c r="H175" s="241"/>
      <c r="I175" s="241"/>
      <c r="J175" s="241"/>
      <c r="K175" s="241"/>
      <c r="L175" s="241"/>
      <c r="M175" s="241"/>
      <c r="N175" s="241"/>
      <c r="O175" s="241"/>
      <c r="P175" s="241"/>
      <c r="Q175" s="241"/>
      <c r="R175" s="241"/>
      <c r="S175" s="241"/>
      <c r="T175" s="241"/>
      <c r="U175" s="241"/>
      <c r="V175" s="241"/>
      <c r="W175" s="241"/>
      <c r="X175" s="241"/>
      <c r="Y175" s="241"/>
      <c r="Z175" s="241"/>
      <c r="AA175" s="241"/>
      <c r="AB175" s="241"/>
    </row>
    <row r="176" spans="1:30" ht="13.95" customHeight="1">
      <c r="A176" s="233">
        <v>153</v>
      </c>
      <c r="B176" s="232" t="s">
        <v>234</v>
      </c>
      <c r="C176" s="12" t="s">
        <v>66</v>
      </c>
      <c r="D176" s="13" t="s">
        <v>23</v>
      </c>
      <c r="E176" s="23">
        <v>1021685036.2</v>
      </c>
      <c r="F176" s="24">
        <f t="shared" ref="F176:F204" si="130">(E176/$E$207)</f>
        <v>6.5803835202802976E-3</v>
      </c>
      <c r="G176" s="13" t="s">
        <v>23</v>
      </c>
      <c r="H176" s="253">
        <v>9.4</v>
      </c>
      <c r="I176" s="13" t="s">
        <v>23</v>
      </c>
      <c r="J176" s="253">
        <v>9.57</v>
      </c>
      <c r="K176" s="18">
        <v>12024</v>
      </c>
      <c r="L176" s="19">
        <v>-0.94550000000000001</v>
      </c>
      <c r="M176" s="19">
        <v>-3.0509999999999999E-3</v>
      </c>
      <c r="N176" s="13" t="s">
        <v>23</v>
      </c>
      <c r="O176" s="23">
        <v>1024288625.9299999</v>
      </c>
      <c r="P176" s="63">
        <f t="shared" ref="P176:P204" si="131">(O176/$O$207)</f>
        <v>6.6458228269133182E-3</v>
      </c>
      <c r="Q176" s="13" t="s">
        <v>23</v>
      </c>
      <c r="R176" s="23">
        <v>9.48</v>
      </c>
      <c r="S176" s="13" t="s">
        <v>23</v>
      </c>
      <c r="T176" s="23">
        <v>9.65</v>
      </c>
      <c r="U176" s="18">
        <v>12024</v>
      </c>
      <c r="V176" s="19">
        <v>8.5000000000000006E-3</v>
      </c>
      <c r="W176" s="19">
        <v>0.20880000000000001</v>
      </c>
      <c r="X176" s="20">
        <f>((O176-E176)/E176)</f>
        <v>2.5483291207665628E-3</v>
      </c>
      <c r="Y176" s="20">
        <f t="shared" ref="Y176:Z180" si="132">((T176-J176)/J176)</f>
        <v>8.3594566353187121E-3</v>
      </c>
      <c r="Z176" s="20">
        <f t="shared" si="132"/>
        <v>0</v>
      </c>
      <c r="AA176" s="20">
        <f t="shared" ref="AA176:AB180" si="133">V176-L176</f>
        <v>0.95399999999999996</v>
      </c>
      <c r="AB176" s="21">
        <f t="shared" si="133"/>
        <v>0.21185100000000001</v>
      </c>
      <c r="AD176" s="30"/>
    </row>
    <row r="177" spans="1:33" ht="14.4" customHeight="1">
      <c r="A177" s="233">
        <v>154</v>
      </c>
      <c r="B177" s="232" t="s">
        <v>235</v>
      </c>
      <c r="C177" s="36" t="s">
        <v>236</v>
      </c>
      <c r="D177" s="13" t="s">
        <v>23</v>
      </c>
      <c r="E177" s="23">
        <v>3583888378.9034734</v>
      </c>
      <c r="F177" s="24">
        <f t="shared" si="130"/>
        <v>2.3082808489370815E-2</v>
      </c>
      <c r="G177" s="13" t="s">
        <v>23</v>
      </c>
      <c r="H177" s="253">
        <v>3137.5140308755158</v>
      </c>
      <c r="I177" s="13" t="s">
        <v>23</v>
      </c>
      <c r="J177" s="253">
        <v>3157.1618623053228</v>
      </c>
      <c r="K177" s="18">
        <v>271</v>
      </c>
      <c r="L177" s="19">
        <v>-2.561091219489553E-4</v>
      </c>
      <c r="M177" s="19">
        <v>0.42765806169882103</v>
      </c>
      <c r="N177" s="13" t="s">
        <v>23</v>
      </c>
      <c r="O177" s="23">
        <v>3079228409.2554426</v>
      </c>
      <c r="P177" s="63">
        <f t="shared" si="131"/>
        <v>1.9978750064640782E-2</v>
      </c>
      <c r="Q177" s="13" t="s">
        <v>23</v>
      </c>
      <c r="R177" s="23">
        <v>3158.9182957726343</v>
      </c>
      <c r="S177" s="13" t="s">
        <v>23</v>
      </c>
      <c r="T177" s="23">
        <v>3182.2223614343457</v>
      </c>
      <c r="U177" s="16">
        <v>271</v>
      </c>
      <c r="V177" s="17">
        <v>7.4999999999999997E-3</v>
      </c>
      <c r="W177" s="17">
        <v>0.4383636202059511</v>
      </c>
      <c r="X177" s="20">
        <f>((O177-E177)/E177)</f>
        <v>-0.14081352885282564</v>
      </c>
      <c r="Y177" s="20">
        <f t="shared" si="132"/>
        <v>7.9376668736027417E-3</v>
      </c>
      <c r="Z177" s="20">
        <f t="shared" si="132"/>
        <v>0</v>
      </c>
      <c r="AA177" s="20">
        <f t="shared" si="133"/>
        <v>7.756109121948955E-3</v>
      </c>
      <c r="AB177" s="21">
        <f t="shared" si="133"/>
        <v>1.0705558507130064E-2</v>
      </c>
      <c r="AD177" s="10"/>
      <c r="AE177" s="10"/>
    </row>
    <row r="178" spans="1:33" ht="14.4" customHeight="1">
      <c r="A178" s="233">
        <v>155</v>
      </c>
      <c r="B178" s="232" t="s">
        <v>237</v>
      </c>
      <c r="C178" s="36" t="s">
        <v>238</v>
      </c>
      <c r="D178" s="13" t="s">
        <v>23</v>
      </c>
      <c r="E178" s="23">
        <v>107591103.42</v>
      </c>
      <c r="F178" s="24">
        <f t="shared" si="130"/>
        <v>6.9296377923572564E-4</v>
      </c>
      <c r="G178" s="13" t="s">
        <v>23</v>
      </c>
      <c r="H178" s="253">
        <v>956.94899999999996</v>
      </c>
      <c r="I178" s="13" t="s">
        <v>23</v>
      </c>
      <c r="J178" s="253">
        <v>972.34079999999994</v>
      </c>
      <c r="K178" s="18">
        <v>19</v>
      </c>
      <c r="L178" s="19">
        <v>-4.5690000000000001E-3</v>
      </c>
      <c r="M178" s="19">
        <v>-1.557E-3</v>
      </c>
      <c r="N178" s="13" t="s">
        <v>23</v>
      </c>
      <c r="O178" s="23">
        <v>108717585.23</v>
      </c>
      <c r="P178" s="63">
        <f t="shared" si="131"/>
        <v>7.0538497774728318E-4</v>
      </c>
      <c r="Q178" s="13" t="s">
        <v>23</v>
      </c>
      <c r="R178" s="23">
        <v>959.69389999999999</v>
      </c>
      <c r="S178" s="13" t="s">
        <v>23</v>
      </c>
      <c r="T178" s="23">
        <v>975.33399999999995</v>
      </c>
      <c r="U178" s="16">
        <v>24</v>
      </c>
      <c r="V178" s="17">
        <v>4.1869999999999997E-3</v>
      </c>
      <c r="W178" s="17">
        <v>1.578E-3</v>
      </c>
      <c r="X178" s="20">
        <f>((O178-E178)/E178)</f>
        <v>1.0470027485475177E-2</v>
      </c>
      <c r="Y178" s="20">
        <f>((T178-J178)/J178)</f>
        <v>3.0783445475084477E-3</v>
      </c>
      <c r="Z178" s="20">
        <f>((U178-K178)/K178)</f>
        <v>0.26315789473684209</v>
      </c>
      <c r="AA178" s="20">
        <f>V178-L178</f>
        <v>8.7559999999999999E-3</v>
      </c>
      <c r="AB178" s="21">
        <f>W178-M178</f>
        <v>3.1349999999999998E-3</v>
      </c>
      <c r="AD178" s="10"/>
      <c r="AE178" s="96"/>
    </row>
    <row r="179" spans="1:33" ht="14.4" customHeight="1">
      <c r="A179" s="233">
        <v>156</v>
      </c>
      <c r="B179" s="232" t="s">
        <v>239</v>
      </c>
      <c r="C179" s="12" t="s">
        <v>27</v>
      </c>
      <c r="D179" s="13" t="s">
        <v>23</v>
      </c>
      <c r="E179" s="23">
        <v>16788705028.65</v>
      </c>
      <c r="F179" s="24">
        <f t="shared" si="130"/>
        <v>0.10813128702390935</v>
      </c>
      <c r="G179" s="13" t="s">
        <v>23</v>
      </c>
      <c r="H179" s="253">
        <v>1410.8303000000001</v>
      </c>
      <c r="I179" s="13" t="s">
        <v>23</v>
      </c>
      <c r="J179" s="253">
        <v>1452.73848</v>
      </c>
      <c r="K179" s="18">
        <v>24126</v>
      </c>
      <c r="L179" s="19">
        <v>0.52729999999999999</v>
      </c>
      <c r="M179" s="19">
        <v>-0.1648</v>
      </c>
      <c r="N179" s="13" t="s">
        <v>23</v>
      </c>
      <c r="O179" s="23">
        <v>16926931563.75</v>
      </c>
      <c r="P179" s="63">
        <f t="shared" si="131"/>
        <v>0.10982586873287913</v>
      </c>
      <c r="Q179" s="13" t="s">
        <v>23</v>
      </c>
      <c r="R179" s="23">
        <v>1416.9104</v>
      </c>
      <c r="S179" s="13" t="s">
        <v>23</v>
      </c>
      <c r="T179" s="23">
        <v>1459.00198</v>
      </c>
      <c r="U179" s="18">
        <v>24172</v>
      </c>
      <c r="V179" s="19">
        <v>0.2248</v>
      </c>
      <c r="W179" s="19">
        <v>0.52059999999999995</v>
      </c>
      <c r="X179" s="20">
        <f t="shared" ref="X179:X204" si="134">((O179-E179)/E179)</f>
        <v>8.2333053600093745E-3</v>
      </c>
      <c r="Y179" s="20">
        <f t="shared" si="132"/>
        <v>4.3115124203222189E-3</v>
      </c>
      <c r="Z179" s="20">
        <f t="shared" si="132"/>
        <v>1.9066567188924812E-3</v>
      </c>
      <c r="AA179" s="20">
        <f t="shared" si="133"/>
        <v>-0.30249999999999999</v>
      </c>
      <c r="AB179" s="21">
        <f t="shared" si="133"/>
        <v>0.68540000000000001</v>
      </c>
      <c r="AD179" s="10"/>
      <c r="AE179" s="30"/>
    </row>
    <row r="180" spans="1:33" ht="13.2" customHeight="1">
      <c r="A180" s="233">
        <v>157</v>
      </c>
      <c r="B180" s="232" t="s">
        <v>240</v>
      </c>
      <c r="C180" s="12" t="s">
        <v>147</v>
      </c>
      <c r="D180" s="13" t="s">
        <v>23</v>
      </c>
      <c r="E180" s="80">
        <v>3746190901.46</v>
      </c>
      <c r="F180" s="24">
        <f t="shared" si="130"/>
        <v>2.4128153000535623E-2</v>
      </c>
      <c r="G180" s="13" t="s">
        <v>23</v>
      </c>
      <c r="H180" s="253">
        <v>8.7772000000000006</v>
      </c>
      <c r="I180" s="13" t="s">
        <v>23</v>
      </c>
      <c r="J180" s="253">
        <v>8.9929000000000006</v>
      </c>
      <c r="K180" s="201">
        <v>2741</v>
      </c>
      <c r="L180" s="196">
        <v>0.14480000000000001</v>
      </c>
      <c r="M180" s="196">
        <v>0.46360000000000001</v>
      </c>
      <c r="N180" s="13" t="s">
        <v>23</v>
      </c>
      <c r="O180" s="35">
        <v>3723269306.6846027</v>
      </c>
      <c r="P180" s="63">
        <f t="shared" si="131"/>
        <v>2.4157437193685367E-2</v>
      </c>
      <c r="Q180" s="13" t="s">
        <v>23</v>
      </c>
      <c r="R180" s="23">
        <v>8.7222000000000008</v>
      </c>
      <c r="S180" s="13" t="s">
        <v>23</v>
      </c>
      <c r="T180" s="23">
        <v>8.9391999999999996</v>
      </c>
      <c r="U180" s="25">
        <v>2741</v>
      </c>
      <c r="V180" s="26">
        <v>-0.31140000000000001</v>
      </c>
      <c r="W180" s="26">
        <v>0.69179999999999997</v>
      </c>
      <c r="X180" s="20">
        <f t="shared" si="134"/>
        <v>-6.1186403411700365E-3</v>
      </c>
      <c r="Y180" s="20">
        <f t="shared" si="132"/>
        <v>-5.9713774199647461E-3</v>
      </c>
      <c r="Z180" s="20">
        <f t="shared" si="132"/>
        <v>0</v>
      </c>
      <c r="AA180" s="20">
        <f t="shared" si="133"/>
        <v>-0.45620000000000005</v>
      </c>
      <c r="AB180" s="21">
        <f t="shared" si="133"/>
        <v>0.22819999999999996</v>
      </c>
      <c r="AC180" s="30"/>
      <c r="AD180" s="30"/>
      <c r="AE180" s="30"/>
      <c r="AG180" s="10"/>
    </row>
    <row r="181" spans="1:33" ht="15.6" customHeight="1">
      <c r="A181" s="233">
        <v>158</v>
      </c>
      <c r="B181" s="232" t="s">
        <v>241</v>
      </c>
      <c r="C181" s="12" t="s">
        <v>31</v>
      </c>
      <c r="D181" s="13" t="s">
        <v>23</v>
      </c>
      <c r="E181" s="80">
        <v>4134838706.9899998</v>
      </c>
      <c r="F181" s="24">
        <f t="shared" si="130"/>
        <v>2.6631323277174653E-2</v>
      </c>
      <c r="G181" s="13" t="s">
        <v>23</v>
      </c>
      <c r="H181" s="253">
        <v>1.6574</v>
      </c>
      <c r="I181" s="13" t="s">
        <v>23</v>
      </c>
      <c r="J181" s="253">
        <v>1.6702999999999999</v>
      </c>
      <c r="K181" s="201">
        <v>902</v>
      </c>
      <c r="L181" s="196">
        <v>-1.23E-2</v>
      </c>
      <c r="M181" s="196">
        <v>0.37069999999999997</v>
      </c>
      <c r="N181" s="13" t="s">
        <v>23</v>
      </c>
      <c r="O181" s="80">
        <v>4302084309.4399996</v>
      </c>
      <c r="P181" s="63">
        <f t="shared" si="131"/>
        <v>2.7912923548304516E-2</v>
      </c>
      <c r="Q181" s="13" t="s">
        <v>23</v>
      </c>
      <c r="R181" s="23">
        <v>1.7055</v>
      </c>
      <c r="S181" s="13" t="s">
        <v>23</v>
      </c>
      <c r="T181" s="23">
        <v>1.7183999999999999</v>
      </c>
      <c r="U181" s="25">
        <v>961</v>
      </c>
      <c r="V181" s="55">
        <v>0</v>
      </c>
      <c r="W181" s="55">
        <v>0.19159999999999999</v>
      </c>
      <c r="X181" s="20">
        <f t="shared" ref="X181" si="135">((O181-E181)/E181)</f>
        <v>4.0447914489933769E-2</v>
      </c>
      <c r="Y181" s="20">
        <f t="shared" ref="Y181" si="136">((T181-J181)/J181)</f>
        <v>2.8797222055918118E-2</v>
      </c>
      <c r="Z181" s="20">
        <f t="shared" ref="Z181" si="137">((U181-K181)/K181)</f>
        <v>6.5410199556541024E-2</v>
      </c>
      <c r="AA181" s="20">
        <f t="shared" ref="AA181" si="138">V181-L181</f>
        <v>1.23E-2</v>
      </c>
      <c r="AB181" s="21">
        <f t="shared" ref="AB181" si="139">W181-M181</f>
        <v>-0.17909999999999998</v>
      </c>
      <c r="AD181" s="10"/>
      <c r="AE181" s="10"/>
    </row>
    <row r="182" spans="1:33" ht="14.4" customHeight="1">
      <c r="A182" s="233">
        <v>159</v>
      </c>
      <c r="B182" s="232" t="s">
        <v>242</v>
      </c>
      <c r="C182" s="12" t="s">
        <v>81</v>
      </c>
      <c r="D182" s="13" t="s">
        <v>23</v>
      </c>
      <c r="E182" s="23">
        <v>11511257291.451799</v>
      </c>
      <c r="F182" s="24">
        <f t="shared" si="130"/>
        <v>7.4140743080774341E-2</v>
      </c>
      <c r="G182" s="13" t="s">
        <v>23</v>
      </c>
      <c r="H182" s="253">
        <v>14246.888722309201</v>
      </c>
      <c r="I182" s="13" t="s">
        <v>23</v>
      </c>
      <c r="J182" s="253">
        <v>14346.865185037999</v>
      </c>
      <c r="K182" s="201">
        <v>1676</v>
      </c>
      <c r="L182" s="196">
        <v>-9.3633069791350748E-2</v>
      </c>
      <c r="M182" s="196">
        <v>0.43184027158832461</v>
      </c>
      <c r="N182" s="13" t="s">
        <v>23</v>
      </c>
      <c r="O182" s="23">
        <v>10536266156.6738</v>
      </c>
      <c r="P182" s="63">
        <f t="shared" si="131"/>
        <v>6.8361745275537525E-2</v>
      </c>
      <c r="Q182" s="13" t="s">
        <v>23</v>
      </c>
      <c r="R182" s="23">
        <v>14245.1147059828</v>
      </c>
      <c r="S182" s="13" t="s">
        <v>23</v>
      </c>
      <c r="T182" s="23">
        <v>14354.026862595099</v>
      </c>
      <c r="U182" s="25">
        <v>1678</v>
      </c>
      <c r="V182" s="26">
        <v>-6.49280567003777E-3</v>
      </c>
      <c r="W182" s="26">
        <v>0.41900335264036487</v>
      </c>
      <c r="X182" s="20">
        <f t="shared" si="134"/>
        <v>-8.4698926458886756E-2</v>
      </c>
      <c r="Y182" s="20">
        <f t="shared" ref="Y182:Y194" si="140">((T182-J182)/J182)</f>
        <v>4.9918065477947489E-4</v>
      </c>
      <c r="Z182" s="20">
        <f t="shared" ref="Z182:Z194" si="141">((U182-K182)/K182)</f>
        <v>1.1933174224343676E-3</v>
      </c>
      <c r="AA182" s="20">
        <f t="shared" ref="AA182:AA194" si="142">V182-L182</f>
        <v>8.7140264121312982E-2</v>
      </c>
      <c r="AB182" s="21">
        <f t="shared" ref="AB182:AB194" si="143">W182-M182</f>
        <v>-1.2836918947959741E-2</v>
      </c>
      <c r="AD182" s="30"/>
      <c r="AE182" s="30"/>
      <c r="AG182" s="10"/>
    </row>
    <row r="183" spans="1:33" ht="15" customHeight="1">
      <c r="A183" s="233">
        <v>160</v>
      </c>
      <c r="B183" s="232" t="s">
        <v>243</v>
      </c>
      <c r="C183" s="12" t="s">
        <v>83</v>
      </c>
      <c r="D183" s="13" t="s">
        <v>23</v>
      </c>
      <c r="E183" s="23">
        <v>3557472864.04</v>
      </c>
      <c r="F183" s="24">
        <f t="shared" si="130"/>
        <v>2.2912673650816427E-2</v>
      </c>
      <c r="G183" s="13" t="s">
        <v>23</v>
      </c>
      <c r="H183" s="253">
        <v>297.57</v>
      </c>
      <c r="I183" s="13" t="s">
        <v>23</v>
      </c>
      <c r="J183" s="253">
        <v>299.67</v>
      </c>
      <c r="K183" s="201">
        <v>508</v>
      </c>
      <c r="L183" s="196">
        <v>-3.3E-3</v>
      </c>
      <c r="M183" s="196">
        <v>0.3296</v>
      </c>
      <c r="N183" s="13" t="s">
        <v>23</v>
      </c>
      <c r="O183" s="23">
        <v>3572183386.4400001</v>
      </c>
      <c r="P183" s="63">
        <f t="shared" si="131"/>
        <v>2.3177156604632525E-2</v>
      </c>
      <c r="Q183" s="13" t="s">
        <v>23</v>
      </c>
      <c r="R183" s="23">
        <v>299.13</v>
      </c>
      <c r="S183" s="13" t="s">
        <v>23</v>
      </c>
      <c r="T183" s="23">
        <v>301.25</v>
      </c>
      <c r="U183" s="25">
        <v>508</v>
      </c>
      <c r="V183" s="55">
        <v>5.3E-3</v>
      </c>
      <c r="W183" s="55">
        <v>0.33629999999999999</v>
      </c>
      <c r="X183" s="20">
        <f t="shared" si="134"/>
        <v>4.1351045987443663E-3</v>
      </c>
      <c r="Y183" s="20">
        <f t="shared" si="140"/>
        <v>5.2724663796842658E-3</v>
      </c>
      <c r="Z183" s="20">
        <f t="shared" si="141"/>
        <v>0</v>
      </c>
      <c r="AA183" s="20">
        <f t="shared" si="142"/>
        <v>8.6E-3</v>
      </c>
      <c r="AB183" s="21">
        <f t="shared" si="143"/>
        <v>6.6999999999999837E-3</v>
      </c>
    </row>
    <row r="184" spans="1:33" ht="14.4" customHeight="1">
      <c r="A184" s="233">
        <v>161</v>
      </c>
      <c r="B184" s="232" t="s">
        <v>244</v>
      </c>
      <c r="C184" s="12" t="s">
        <v>245</v>
      </c>
      <c r="D184" s="13" t="s">
        <v>23</v>
      </c>
      <c r="E184" s="23">
        <v>7496848078.4799995</v>
      </c>
      <c r="F184" s="24">
        <f t="shared" si="130"/>
        <v>4.8285072015107587E-2</v>
      </c>
      <c r="G184" s="13" t="s">
        <v>23</v>
      </c>
      <c r="H184" s="253">
        <v>2.6930999999999998</v>
      </c>
      <c r="I184" s="13" t="s">
        <v>23</v>
      </c>
      <c r="J184" s="253">
        <v>2.7410999999999999</v>
      </c>
      <c r="K184" s="201">
        <v>6573</v>
      </c>
      <c r="L184" s="196">
        <v>-2.7848947309790928E-3</v>
      </c>
      <c r="M184" s="196">
        <v>0.36308431012568843</v>
      </c>
      <c r="N184" s="13" t="s">
        <v>23</v>
      </c>
      <c r="O184" s="23">
        <v>7496848078.4799995</v>
      </c>
      <c r="P184" s="63">
        <f t="shared" si="131"/>
        <v>4.8641293897632838E-2</v>
      </c>
      <c r="Q184" s="13" t="s">
        <v>23</v>
      </c>
      <c r="R184" s="23">
        <v>2.6945000000000001</v>
      </c>
      <c r="S184" s="13" t="s">
        <v>23</v>
      </c>
      <c r="T184" s="23">
        <v>2.7431000000000001</v>
      </c>
      <c r="U184" s="25">
        <v>6644</v>
      </c>
      <c r="V184" s="55">
        <v>3.3E-3</v>
      </c>
      <c r="W184" s="55">
        <v>0.36730000000000002</v>
      </c>
      <c r="X184" s="20">
        <f t="shared" si="134"/>
        <v>0</v>
      </c>
      <c r="Y184" s="20">
        <f t="shared" si="140"/>
        <v>7.2963408850469657E-4</v>
      </c>
      <c r="Z184" s="20">
        <f t="shared" si="141"/>
        <v>1.0801764795375019E-2</v>
      </c>
      <c r="AA184" s="20">
        <f t="shared" si="142"/>
        <v>6.0848947309790928E-3</v>
      </c>
      <c r="AB184" s="21">
        <f t="shared" si="143"/>
        <v>4.21568987431159E-3</v>
      </c>
    </row>
    <row r="185" spans="1:33" ht="15.6" customHeight="1">
      <c r="A185" s="233">
        <v>162</v>
      </c>
      <c r="B185" s="232" t="s">
        <v>246</v>
      </c>
      <c r="C185" s="12" t="s">
        <v>35</v>
      </c>
      <c r="D185" s="13" t="s">
        <v>23</v>
      </c>
      <c r="E185" s="54">
        <v>1564981416.3099999</v>
      </c>
      <c r="F185" s="24">
        <f t="shared" si="130"/>
        <v>1.0079601400186626E-2</v>
      </c>
      <c r="G185" s="13" t="s">
        <v>23</v>
      </c>
      <c r="H185" s="253">
        <v>287.22289999999998</v>
      </c>
      <c r="I185" s="13" t="s">
        <v>23</v>
      </c>
      <c r="J185" s="253">
        <v>288.58949999999999</v>
      </c>
      <c r="K185" s="201">
        <v>261</v>
      </c>
      <c r="L185" s="196">
        <v>3.5199999999999999E-4</v>
      </c>
      <c r="M185" s="196">
        <v>0.3609</v>
      </c>
      <c r="N185" s="13" t="s">
        <v>23</v>
      </c>
      <c r="O185" s="54">
        <v>1726533672.6700001</v>
      </c>
      <c r="P185" s="63">
        <f t="shared" si="131"/>
        <v>1.1202152013400298E-2</v>
      </c>
      <c r="Q185" s="13" t="s">
        <v>23</v>
      </c>
      <c r="R185" s="23">
        <v>279.8186</v>
      </c>
      <c r="S185" s="13" t="s">
        <v>23</v>
      </c>
      <c r="T185" s="23">
        <v>281.01909999999998</v>
      </c>
      <c r="U185" s="25">
        <v>285</v>
      </c>
      <c r="V185" s="55">
        <v>1.2949999999999999E-3</v>
      </c>
      <c r="W185" s="55">
        <v>0.32579999999999998</v>
      </c>
      <c r="X185" s="20">
        <f t="shared" si="134"/>
        <v>0.10322950462946519</v>
      </c>
      <c r="Y185" s="20">
        <f t="shared" si="140"/>
        <v>-2.6232416633314819E-2</v>
      </c>
      <c r="Z185" s="20">
        <f t="shared" si="141"/>
        <v>9.1954022988505746E-2</v>
      </c>
      <c r="AA185" s="20">
        <f t="shared" si="142"/>
        <v>9.4299999999999994E-4</v>
      </c>
      <c r="AB185" s="21">
        <f t="shared" si="143"/>
        <v>-3.510000000000002E-2</v>
      </c>
    </row>
    <row r="186" spans="1:33" ht="13.95" customHeight="1">
      <c r="A186" s="233">
        <v>163</v>
      </c>
      <c r="B186" s="232" t="s">
        <v>247</v>
      </c>
      <c r="C186" s="12" t="s">
        <v>88</v>
      </c>
      <c r="D186" s="13" t="s">
        <v>23</v>
      </c>
      <c r="E186" s="54">
        <v>2963760139.8800001</v>
      </c>
      <c r="F186" s="24">
        <f t="shared" si="130"/>
        <v>1.9088738399328221E-2</v>
      </c>
      <c r="G186" s="13" t="s">
        <v>23</v>
      </c>
      <c r="H186" s="253">
        <v>206.27</v>
      </c>
      <c r="I186" s="13" t="s">
        <v>23</v>
      </c>
      <c r="J186" s="253">
        <v>206.92</v>
      </c>
      <c r="K186" s="201">
        <v>190</v>
      </c>
      <c r="L186" s="196">
        <v>-5.7000000000000002E-3</v>
      </c>
      <c r="M186" s="196">
        <v>0.24149999999999999</v>
      </c>
      <c r="N186" s="13" t="s">
        <v>23</v>
      </c>
      <c r="O186" s="54">
        <v>2964507117.9899998</v>
      </c>
      <c r="P186" s="63">
        <f t="shared" si="131"/>
        <v>1.9234411645835617E-2</v>
      </c>
      <c r="Q186" s="13" t="s">
        <v>23</v>
      </c>
      <c r="R186" s="23">
        <v>207.6</v>
      </c>
      <c r="S186" s="13" t="s">
        <v>23</v>
      </c>
      <c r="T186" s="23">
        <v>208.38</v>
      </c>
      <c r="U186" s="25">
        <v>190</v>
      </c>
      <c r="V186" s="55">
        <v>8.2000000000000007E-3</v>
      </c>
      <c r="W186" s="55">
        <v>0.24970000000000001</v>
      </c>
      <c r="X186" s="20">
        <f t="shared" si="134"/>
        <v>2.5203730219203944E-4</v>
      </c>
      <c r="Y186" s="20">
        <f t="shared" si="140"/>
        <v>7.0558670017398413E-3</v>
      </c>
      <c r="Z186" s="20">
        <f t="shared" si="141"/>
        <v>0</v>
      </c>
      <c r="AA186" s="20">
        <f t="shared" si="142"/>
        <v>1.3900000000000001E-2</v>
      </c>
      <c r="AB186" s="21">
        <f t="shared" si="143"/>
        <v>8.2000000000000128E-3</v>
      </c>
    </row>
    <row r="187" spans="1:33" ht="15.75" customHeight="1">
      <c r="A187" s="233">
        <v>164</v>
      </c>
      <c r="B187" s="232" t="s">
        <v>248</v>
      </c>
      <c r="C187" s="12" t="s">
        <v>91</v>
      </c>
      <c r="D187" s="13" t="s">
        <v>23</v>
      </c>
      <c r="E187" s="80">
        <v>986103250.75999999</v>
      </c>
      <c r="F187" s="24">
        <f t="shared" si="130"/>
        <v>6.3512113329275499E-3</v>
      </c>
      <c r="G187" s="13" t="s">
        <v>23</v>
      </c>
      <c r="H187" s="253">
        <v>2.2029700000000001</v>
      </c>
      <c r="I187" s="13" t="s">
        <v>23</v>
      </c>
      <c r="J187" s="253">
        <v>2.2279</v>
      </c>
      <c r="K187" s="201">
        <v>226</v>
      </c>
      <c r="L187" s="196">
        <v>-2.4396999999999999E-2</v>
      </c>
      <c r="M187" s="196">
        <v>0.39800000000000002</v>
      </c>
      <c r="N187" s="13" t="s">
        <v>23</v>
      </c>
      <c r="O187" s="35">
        <v>961733169.59000003</v>
      </c>
      <c r="P187" s="63">
        <f t="shared" si="131"/>
        <v>6.2399484774691982E-3</v>
      </c>
      <c r="Q187" s="13" t="s">
        <v>23</v>
      </c>
      <c r="R187" s="23">
        <v>2.2029700000000001</v>
      </c>
      <c r="S187" s="13" t="s">
        <v>23</v>
      </c>
      <c r="T187" s="23">
        <v>2.2279</v>
      </c>
      <c r="U187" s="25">
        <v>225</v>
      </c>
      <c r="V187" s="26">
        <v>2.2699999999999999E-4</v>
      </c>
      <c r="W187" s="26">
        <v>0.40429999999999999</v>
      </c>
      <c r="X187" s="20">
        <f t="shared" si="134"/>
        <v>-2.4713518742806782E-2</v>
      </c>
      <c r="Y187" s="20">
        <f t="shared" si="140"/>
        <v>0</v>
      </c>
      <c r="Z187" s="20">
        <f t="shared" si="141"/>
        <v>-4.4247787610619468E-3</v>
      </c>
      <c r="AA187" s="20">
        <f t="shared" si="142"/>
        <v>2.4624E-2</v>
      </c>
      <c r="AB187" s="21">
        <f t="shared" si="143"/>
        <v>6.2999999999999723E-3</v>
      </c>
      <c r="AD187" s="30"/>
    </row>
    <row r="188" spans="1:33" ht="16.95" customHeight="1">
      <c r="A188" s="233">
        <v>165</v>
      </c>
      <c r="B188" s="232" t="s">
        <v>345</v>
      </c>
      <c r="C188" s="12" t="s">
        <v>39</v>
      </c>
      <c r="D188" s="13" t="s">
        <v>23</v>
      </c>
      <c r="E188" s="23">
        <v>21395812655.209999</v>
      </c>
      <c r="F188" s="24">
        <f t="shared" si="130"/>
        <v>0.13780436045437749</v>
      </c>
      <c r="G188" s="13" t="s">
        <v>23</v>
      </c>
      <c r="H188" s="253">
        <v>592.33000000000004</v>
      </c>
      <c r="I188" s="13" t="s">
        <v>23</v>
      </c>
      <c r="J188" s="253">
        <v>597.23</v>
      </c>
      <c r="K188" s="201">
        <v>5909</v>
      </c>
      <c r="L188" s="196">
        <v>1.6000000000000001E-3</v>
      </c>
      <c r="M188" s="196">
        <v>0.38290000000000002</v>
      </c>
      <c r="N188" s="13" t="s">
        <v>23</v>
      </c>
      <c r="O188" s="23">
        <v>21389492713.57</v>
      </c>
      <c r="P188" s="63">
        <f t="shared" si="131"/>
        <v>0.13878000334414942</v>
      </c>
      <c r="Q188" s="13" t="s">
        <v>23</v>
      </c>
      <c r="R188" s="23">
        <v>592.65</v>
      </c>
      <c r="S188" s="13" t="s">
        <v>23</v>
      </c>
      <c r="T188" s="23">
        <v>597.54</v>
      </c>
      <c r="U188" s="25">
        <v>5936</v>
      </c>
      <c r="V188" s="55">
        <v>-5.0000000000000001E-4</v>
      </c>
      <c r="W188" s="55">
        <v>0.38369999999999999</v>
      </c>
      <c r="X188" s="20">
        <f t="shared" si="134"/>
        <v>-2.9538217322446262E-4</v>
      </c>
      <c r="Y188" s="20">
        <f t="shared" si="140"/>
        <v>5.1906300755143815E-4</v>
      </c>
      <c r="Z188" s="20">
        <f t="shared" si="141"/>
        <v>4.5693010661702485E-3</v>
      </c>
      <c r="AA188" s="20">
        <f t="shared" si="142"/>
        <v>-2.1000000000000003E-3</v>
      </c>
      <c r="AB188" s="21">
        <f t="shared" si="143"/>
        <v>7.999999999999674E-4</v>
      </c>
    </row>
    <row r="189" spans="1:33" ht="13.95" customHeight="1">
      <c r="A189" s="233">
        <v>166</v>
      </c>
      <c r="B189" s="232" t="s">
        <v>249</v>
      </c>
      <c r="C189" s="12" t="s">
        <v>101</v>
      </c>
      <c r="D189" s="13" t="s">
        <v>23</v>
      </c>
      <c r="E189" s="23">
        <v>5249073026.6199999</v>
      </c>
      <c r="F189" s="24">
        <f t="shared" si="130"/>
        <v>3.3807790480702031E-2</v>
      </c>
      <c r="G189" s="13" t="s">
        <v>23</v>
      </c>
      <c r="H189" s="253">
        <v>3.8290000000000002</v>
      </c>
      <c r="I189" s="13" t="s">
        <v>23</v>
      </c>
      <c r="J189" s="253">
        <v>3.9037999999999999</v>
      </c>
      <c r="K189" s="201">
        <v>10202</v>
      </c>
      <c r="L189" s="196">
        <v>-6.0363206699031247E-3</v>
      </c>
      <c r="M189" s="196">
        <v>0.25104264330283532</v>
      </c>
      <c r="N189" s="13" t="s">
        <v>23</v>
      </c>
      <c r="O189" s="23">
        <v>5255999404.5100002</v>
      </c>
      <c r="P189" s="63">
        <f t="shared" si="131"/>
        <v>3.4102146540014901E-2</v>
      </c>
      <c r="Q189" s="13" t="s">
        <v>23</v>
      </c>
      <c r="R189" s="23">
        <v>3.8340999999999998</v>
      </c>
      <c r="S189" s="13" t="s">
        <v>23</v>
      </c>
      <c r="T189" s="23">
        <v>3.9089</v>
      </c>
      <c r="U189" s="25">
        <v>10202</v>
      </c>
      <c r="V189" s="26">
        <v>1.2999999999999999E-3</v>
      </c>
      <c r="W189" s="26">
        <v>0.25269999999999998</v>
      </c>
      <c r="X189" s="20">
        <f t="shared" si="134"/>
        <v>1.3195430611984455E-3</v>
      </c>
      <c r="Y189" s="20">
        <f t="shared" si="140"/>
        <v>1.3064193862390759E-3</v>
      </c>
      <c r="Z189" s="20">
        <f t="shared" si="141"/>
        <v>0</v>
      </c>
      <c r="AA189" s="20">
        <f>V189-L189</f>
        <v>7.3363206699031246E-3</v>
      </c>
      <c r="AB189" s="21">
        <f>W189-M189</f>
        <v>1.6573566971646581E-3</v>
      </c>
    </row>
    <row r="190" spans="1:33" ht="16.2" customHeight="1">
      <c r="A190" s="233">
        <v>167</v>
      </c>
      <c r="B190" s="232" t="s">
        <v>250</v>
      </c>
      <c r="C190" s="12" t="s">
        <v>103</v>
      </c>
      <c r="D190" s="13" t="s">
        <v>23</v>
      </c>
      <c r="E190" s="23">
        <v>399957618.24000001</v>
      </c>
      <c r="F190" s="24">
        <f t="shared" si="130"/>
        <v>2.5760135723098248E-3</v>
      </c>
      <c r="G190" s="13" t="s">
        <v>23</v>
      </c>
      <c r="H190" s="253">
        <v>366.68922282</v>
      </c>
      <c r="I190" s="13" t="s">
        <v>23</v>
      </c>
      <c r="J190" s="253">
        <v>366.68922282</v>
      </c>
      <c r="K190" s="201">
        <v>38</v>
      </c>
      <c r="L190" s="196">
        <v>-1.0800000000000001E-2</v>
      </c>
      <c r="M190" s="196">
        <v>0.2964</v>
      </c>
      <c r="N190" s="13" t="s">
        <v>23</v>
      </c>
      <c r="O190" s="23">
        <v>398920068.06</v>
      </c>
      <c r="P190" s="63">
        <f t="shared" si="131"/>
        <v>2.5882861796106119E-3</v>
      </c>
      <c r="Q190" s="13" t="s">
        <v>23</v>
      </c>
      <c r="R190" s="23">
        <v>365.72889034999997</v>
      </c>
      <c r="S190" s="13" t="s">
        <v>23</v>
      </c>
      <c r="T190" s="23">
        <v>365.72889034999997</v>
      </c>
      <c r="U190" s="25">
        <v>38</v>
      </c>
      <c r="V190" s="26">
        <v>-2.5999999999999999E-3</v>
      </c>
      <c r="W190" s="26">
        <v>0.28170000000000001</v>
      </c>
      <c r="X190" s="20">
        <f t="shared" si="134"/>
        <v>-2.5941503116397972E-3</v>
      </c>
      <c r="Y190" s="20">
        <f t="shared" si="140"/>
        <v>-2.6189274465571971E-3</v>
      </c>
      <c r="Z190" s="20">
        <f t="shared" si="141"/>
        <v>0</v>
      </c>
      <c r="AA190" s="20">
        <f t="shared" si="142"/>
        <v>8.2000000000000007E-3</v>
      </c>
      <c r="AB190" s="21">
        <f t="shared" si="143"/>
        <v>-1.4699999999999991E-2</v>
      </c>
    </row>
    <row r="191" spans="1:33" ht="13.95" customHeight="1">
      <c r="A191" s="233">
        <v>168</v>
      </c>
      <c r="B191" s="232" t="s">
        <v>251</v>
      </c>
      <c r="C191" s="36" t="s">
        <v>105</v>
      </c>
      <c r="D191" s="13" t="s">
        <v>23</v>
      </c>
      <c r="E191" s="62">
        <v>123257292.29000001</v>
      </c>
      <c r="F191" s="24">
        <f t="shared" si="130"/>
        <v>7.9386525808009857E-4</v>
      </c>
      <c r="G191" s="13" t="s">
        <v>23</v>
      </c>
      <c r="H191" s="253">
        <v>1.5740000000000001</v>
      </c>
      <c r="I191" s="13" t="s">
        <v>23</v>
      </c>
      <c r="J191" s="253">
        <v>1.5740000000000001</v>
      </c>
      <c r="K191" s="201">
        <v>30</v>
      </c>
      <c r="L191" s="196">
        <v>2.8999999999999998E-3</v>
      </c>
      <c r="M191" s="196">
        <v>9.3399999999999997E-2</v>
      </c>
      <c r="N191" s="13" t="s">
        <v>23</v>
      </c>
      <c r="O191" s="62">
        <v>123227480.44</v>
      </c>
      <c r="P191" s="63">
        <f t="shared" si="131"/>
        <v>7.9952855247963429E-4</v>
      </c>
      <c r="Q191" s="13" t="s">
        <v>23</v>
      </c>
      <c r="R191" s="23">
        <v>1.5740000000000001</v>
      </c>
      <c r="S191" s="13" t="s">
        <v>23</v>
      </c>
      <c r="T191" s="23">
        <v>1.5740000000000001</v>
      </c>
      <c r="U191" s="25">
        <v>30</v>
      </c>
      <c r="V191" s="26">
        <v>-6.9399999999999996E-4</v>
      </c>
      <c r="W191" s="26">
        <v>9.3100000000000002E-2</v>
      </c>
      <c r="X191" s="20">
        <f t="shared" si="134"/>
        <v>-2.4186682545214086E-4</v>
      </c>
      <c r="Y191" s="20">
        <f t="shared" si="140"/>
        <v>0</v>
      </c>
      <c r="Z191" s="20">
        <f t="shared" si="141"/>
        <v>0</v>
      </c>
      <c r="AA191" s="20">
        <f t="shared" si="142"/>
        <v>-3.594E-3</v>
      </c>
      <c r="AB191" s="21">
        <f t="shared" si="143"/>
        <v>-2.9999999999999472E-4</v>
      </c>
    </row>
    <row r="192" spans="1:33" ht="13.5" customHeight="1">
      <c r="A192" s="233">
        <v>169</v>
      </c>
      <c r="B192" s="232" t="s">
        <v>252</v>
      </c>
      <c r="C192" s="12" t="s">
        <v>45</v>
      </c>
      <c r="D192" s="13" t="s">
        <v>23</v>
      </c>
      <c r="E192" s="80">
        <v>13997239590.34</v>
      </c>
      <c r="F192" s="24">
        <f t="shared" si="130"/>
        <v>9.0152249926520239E-2</v>
      </c>
      <c r="G192" s="13" t="s">
        <v>23</v>
      </c>
      <c r="H192" s="253">
        <v>7.8656110000000004</v>
      </c>
      <c r="I192" s="13" t="s">
        <v>23</v>
      </c>
      <c r="J192" s="253">
        <v>8.0221999999999998</v>
      </c>
      <c r="K192" s="201">
        <v>16470</v>
      </c>
      <c r="L192" s="196">
        <v>-7.3372558088622419E-3</v>
      </c>
      <c r="M192" s="196">
        <v>0.25734444066370221</v>
      </c>
      <c r="N192" s="13" t="s">
        <v>23</v>
      </c>
      <c r="O192" s="35">
        <v>13822682394.23</v>
      </c>
      <c r="P192" s="63">
        <f t="shared" si="131"/>
        <v>8.9684778156488593E-2</v>
      </c>
      <c r="Q192" s="13" t="s">
        <v>23</v>
      </c>
      <c r="R192" s="23">
        <v>7.7970709999999999</v>
      </c>
      <c r="S192" s="13" t="s">
        <v>23</v>
      </c>
      <c r="T192" s="23">
        <v>7.9646379999999999</v>
      </c>
      <c r="U192" s="25">
        <v>16668</v>
      </c>
      <c r="V192" s="26">
        <v>-1.3868007257777926E-3</v>
      </c>
      <c r="W192" s="26">
        <v>0.25560075448083719</v>
      </c>
      <c r="X192" s="20">
        <f t="shared" si="134"/>
        <v>-1.2470830050695769E-2</v>
      </c>
      <c r="Y192" s="20">
        <f t="shared" si="140"/>
        <v>-7.1753384358405293E-3</v>
      </c>
      <c r="Z192" s="20">
        <f t="shared" si="141"/>
        <v>1.2021857923497269E-2</v>
      </c>
      <c r="AA192" s="20">
        <f t="shared" si="142"/>
        <v>5.9504550830844494E-3</v>
      </c>
      <c r="AB192" s="21">
        <f t="shared" si="143"/>
        <v>-1.743686182865023E-3</v>
      </c>
      <c r="AD192" s="30"/>
    </row>
    <row r="193" spans="1:31" ht="13.5" customHeight="1">
      <c r="A193" s="233">
        <v>170</v>
      </c>
      <c r="B193" s="232" t="s">
        <v>253</v>
      </c>
      <c r="C193" s="12" t="s">
        <v>254</v>
      </c>
      <c r="D193" s="13" t="s">
        <v>23</v>
      </c>
      <c r="E193" s="80">
        <v>161890620.22</v>
      </c>
      <c r="F193" s="24">
        <f t="shared" si="130"/>
        <v>1.0426915650500982E-3</v>
      </c>
      <c r="G193" s="13" t="s">
        <v>23</v>
      </c>
      <c r="H193" s="253">
        <v>3.1392000000000002</v>
      </c>
      <c r="I193" s="13" t="s">
        <v>23</v>
      </c>
      <c r="J193" s="253">
        <v>3.1549999999999998</v>
      </c>
      <c r="K193" s="201">
        <v>154</v>
      </c>
      <c r="L193" s="196">
        <v>-2.0000000000000001E-4</v>
      </c>
      <c r="M193" s="196">
        <v>0.12570000000000001</v>
      </c>
      <c r="N193" s="13" t="s">
        <v>23</v>
      </c>
      <c r="O193" s="80">
        <v>161227137.59</v>
      </c>
      <c r="P193" s="63">
        <f t="shared" si="131"/>
        <v>1.0460791657631292E-3</v>
      </c>
      <c r="Q193" s="13" t="s">
        <v>23</v>
      </c>
      <c r="R193" s="23">
        <v>3.1377000000000002</v>
      </c>
      <c r="S193" s="13" t="s">
        <v>23</v>
      </c>
      <c r="T193" s="23">
        <v>3.1533000000000002</v>
      </c>
      <c r="U193" s="25">
        <v>158</v>
      </c>
      <c r="V193" s="55">
        <v>9.4000000000000004E-3</v>
      </c>
      <c r="W193" s="55">
        <v>0.12509999999999999</v>
      </c>
      <c r="X193" s="20">
        <f t="shared" si="134"/>
        <v>-4.0983389222819747E-3</v>
      </c>
      <c r="Y193" s="20">
        <f t="shared" si="140"/>
        <v>-5.3882725831999709E-4</v>
      </c>
      <c r="Z193" s="20">
        <f t="shared" si="141"/>
        <v>2.5974025974025976E-2</v>
      </c>
      <c r="AA193" s="20">
        <f t="shared" si="142"/>
        <v>9.6000000000000009E-3</v>
      </c>
      <c r="AB193" s="21">
        <f t="shared" si="143"/>
        <v>-6.0000000000001719E-4</v>
      </c>
    </row>
    <row r="194" spans="1:31" ht="15" customHeight="1">
      <c r="A194" s="233">
        <v>171</v>
      </c>
      <c r="B194" s="232" t="s">
        <v>255</v>
      </c>
      <c r="C194" s="12" t="s">
        <v>164</v>
      </c>
      <c r="D194" s="13" t="s">
        <v>23</v>
      </c>
      <c r="E194" s="80">
        <v>2237345135.0700002</v>
      </c>
      <c r="F194" s="24">
        <f t="shared" si="130"/>
        <v>1.441010539877566E-2</v>
      </c>
      <c r="G194" s="13" t="s">
        <v>23</v>
      </c>
      <c r="H194" s="253">
        <v>480.8</v>
      </c>
      <c r="I194" s="13" t="s">
        <v>23</v>
      </c>
      <c r="J194" s="253">
        <v>485.23</v>
      </c>
      <c r="K194" s="201">
        <v>148</v>
      </c>
      <c r="L194" s="196">
        <v>1.37E-2</v>
      </c>
      <c r="M194" s="196">
        <v>0.35110000000000002</v>
      </c>
      <c r="N194" s="13" t="s">
        <v>23</v>
      </c>
      <c r="O194" s="80">
        <v>2253928295.4000001</v>
      </c>
      <c r="P194" s="63">
        <f t="shared" si="131"/>
        <v>1.4624010983422584E-2</v>
      </c>
      <c r="Q194" s="13" t="s">
        <v>23</v>
      </c>
      <c r="R194" s="23">
        <v>480.8</v>
      </c>
      <c r="S194" s="13" t="s">
        <v>23</v>
      </c>
      <c r="T194" s="23">
        <v>488.02</v>
      </c>
      <c r="U194" s="25">
        <v>148</v>
      </c>
      <c r="V194" s="55">
        <v>1.37E-2</v>
      </c>
      <c r="W194" s="55">
        <v>0.35949999999999999</v>
      </c>
      <c r="X194" s="20">
        <f t="shared" si="134"/>
        <v>7.4119813121640184E-3</v>
      </c>
      <c r="Y194" s="20">
        <f t="shared" si="140"/>
        <v>5.7498505863198147E-3</v>
      </c>
      <c r="Z194" s="20">
        <f t="shared" si="141"/>
        <v>0</v>
      </c>
      <c r="AA194" s="20">
        <f t="shared" si="142"/>
        <v>0</v>
      </c>
      <c r="AB194" s="21">
        <f t="shared" si="143"/>
        <v>8.3999999999999631E-3</v>
      </c>
    </row>
    <row r="195" spans="1:31" ht="14.4" customHeight="1">
      <c r="A195" s="233">
        <v>172</v>
      </c>
      <c r="B195" s="232" t="s">
        <v>256</v>
      </c>
      <c r="C195" s="12" t="s">
        <v>112</v>
      </c>
      <c r="D195" s="13" t="s">
        <v>23</v>
      </c>
      <c r="E195" s="23">
        <v>57708585.18</v>
      </c>
      <c r="F195" s="24">
        <f t="shared" si="130"/>
        <v>3.7168462827797245E-4</v>
      </c>
      <c r="G195" s="13" t="s">
        <v>23</v>
      </c>
      <c r="H195" s="253">
        <v>1</v>
      </c>
      <c r="I195" s="13" t="s">
        <v>23</v>
      </c>
      <c r="J195" s="253">
        <v>1</v>
      </c>
      <c r="K195" s="201">
        <v>8</v>
      </c>
      <c r="L195" s="196">
        <v>-1.7743084293364575E-4</v>
      </c>
      <c r="M195" s="196">
        <v>0.2051</v>
      </c>
      <c r="N195" s="13" t="s">
        <v>23</v>
      </c>
      <c r="O195" s="23">
        <v>57708585.18</v>
      </c>
      <c r="P195" s="63">
        <f t="shared" si="131"/>
        <v>3.7442672210667065E-4</v>
      </c>
      <c r="Q195" s="13" t="s">
        <v>23</v>
      </c>
      <c r="R195" s="23">
        <v>1</v>
      </c>
      <c r="S195" s="13" t="s">
        <v>23</v>
      </c>
      <c r="T195" s="23">
        <v>1</v>
      </c>
      <c r="U195" s="25">
        <v>8</v>
      </c>
      <c r="V195" s="26">
        <v>0</v>
      </c>
      <c r="W195" s="26">
        <v>0.20506920000000001</v>
      </c>
      <c r="X195" s="20">
        <f t="shared" ref="X195" si="144">((O195-E195)/E195)</f>
        <v>0</v>
      </c>
      <c r="Y195" s="20">
        <f t="shared" ref="Y195" si="145">((T195-J195)/J195)</f>
        <v>0</v>
      </c>
      <c r="Z195" s="20">
        <f t="shared" ref="Z195" si="146">((U195-K195)/K195)</f>
        <v>0</v>
      </c>
      <c r="AA195" s="20">
        <f>V195-L195</f>
        <v>1.7743084293364575E-4</v>
      </c>
      <c r="AB195" s="21">
        <f t="shared" ref="AB195" si="147">W195-M195</f>
        <v>-3.0799999999997496E-5</v>
      </c>
    </row>
    <row r="196" spans="1:31" ht="16.95" customHeight="1">
      <c r="A196" s="233">
        <v>173</v>
      </c>
      <c r="B196" s="232" t="s">
        <v>257</v>
      </c>
      <c r="C196" s="12" t="s">
        <v>41</v>
      </c>
      <c r="D196" s="13" t="s">
        <v>23</v>
      </c>
      <c r="E196" s="80">
        <v>2945097977.8299999</v>
      </c>
      <c r="F196" s="24">
        <f t="shared" si="130"/>
        <v>1.8968540707030235E-2</v>
      </c>
      <c r="G196" s="13" t="s">
        <v>23</v>
      </c>
      <c r="H196" s="253">
        <v>552.22</v>
      </c>
      <c r="I196" s="13" t="s">
        <v>23</v>
      </c>
      <c r="J196" s="253">
        <v>552.22</v>
      </c>
      <c r="K196" s="201">
        <v>823</v>
      </c>
      <c r="L196" s="196">
        <v>-1.6039999999999999E-2</v>
      </c>
      <c r="M196" s="196">
        <v>0.36704999999999999</v>
      </c>
      <c r="N196" s="13" t="s">
        <v>23</v>
      </c>
      <c r="O196" s="197">
        <v>3015639216.7800002</v>
      </c>
      <c r="P196" s="63">
        <f t="shared" si="131"/>
        <v>1.9566168594730798E-2</v>
      </c>
      <c r="Q196" s="13" t="s">
        <v>23</v>
      </c>
      <c r="R196" s="23">
        <v>552.22</v>
      </c>
      <c r="S196" s="13" t="s">
        <v>23</v>
      </c>
      <c r="T196" s="23">
        <v>552.22</v>
      </c>
      <c r="U196" s="25">
        <v>823</v>
      </c>
      <c r="V196" s="26">
        <v>-1.6039999999999999E-2</v>
      </c>
      <c r="W196" s="26">
        <v>0.36704999999999999</v>
      </c>
      <c r="X196" s="20">
        <f t="shared" si="134"/>
        <v>2.3952085628735624E-2</v>
      </c>
      <c r="Y196" s="20">
        <f t="shared" ref="Y196:Z198" si="148">((T196-J196)/J196)</f>
        <v>0</v>
      </c>
      <c r="Z196" s="20">
        <f t="shared" si="148"/>
        <v>0</v>
      </c>
      <c r="AA196" s="20">
        <f t="shared" ref="AA196:AB198" si="149">V196-L196</f>
        <v>0</v>
      </c>
      <c r="AB196" s="21">
        <f t="shared" si="149"/>
        <v>0</v>
      </c>
    </row>
    <row r="197" spans="1:31" ht="16.2" customHeight="1">
      <c r="A197" s="233">
        <v>174</v>
      </c>
      <c r="B197" s="232" t="s">
        <v>258</v>
      </c>
      <c r="C197" s="12" t="s">
        <v>116</v>
      </c>
      <c r="D197" s="13" t="s">
        <v>23</v>
      </c>
      <c r="E197" s="23">
        <v>92388706.609999999</v>
      </c>
      <c r="F197" s="24">
        <f t="shared" si="130"/>
        <v>5.9504945349659157E-4</v>
      </c>
      <c r="G197" s="13" t="s">
        <v>23</v>
      </c>
      <c r="H197" s="253">
        <v>3.71</v>
      </c>
      <c r="I197" s="13" t="s">
        <v>23</v>
      </c>
      <c r="J197" s="253">
        <v>3.71</v>
      </c>
      <c r="K197" s="201">
        <v>10</v>
      </c>
      <c r="L197" s="196">
        <v>-2.5999999999999999E-3</v>
      </c>
      <c r="M197" s="196">
        <v>0.41539999999999999</v>
      </c>
      <c r="N197" s="13" t="s">
        <v>23</v>
      </c>
      <c r="O197" s="23">
        <v>92337885.670000002</v>
      </c>
      <c r="P197" s="63">
        <f t="shared" si="131"/>
        <v>5.9910967752612333E-4</v>
      </c>
      <c r="Q197" s="13" t="s">
        <v>23</v>
      </c>
      <c r="R197" s="23">
        <v>3.71</v>
      </c>
      <c r="S197" s="13" t="s">
        <v>23</v>
      </c>
      <c r="T197" s="23">
        <v>3.71</v>
      </c>
      <c r="U197" s="25">
        <v>11</v>
      </c>
      <c r="V197" s="55">
        <v>-2.5999999999999999E-3</v>
      </c>
      <c r="W197" s="55">
        <v>0.41539999999999999</v>
      </c>
      <c r="X197" s="20">
        <f t="shared" si="134"/>
        <v>-5.5007740518035178E-4</v>
      </c>
      <c r="Y197" s="20">
        <f t="shared" si="148"/>
        <v>0</v>
      </c>
      <c r="Z197" s="20">
        <f t="shared" si="148"/>
        <v>0.1</v>
      </c>
      <c r="AA197" s="20">
        <f t="shared" si="149"/>
        <v>0</v>
      </c>
      <c r="AB197" s="21">
        <f t="shared" si="149"/>
        <v>0</v>
      </c>
      <c r="AE197" s="10"/>
    </row>
    <row r="198" spans="1:31" ht="15.6" customHeight="1">
      <c r="A198" s="233">
        <v>175</v>
      </c>
      <c r="B198" s="232" t="s">
        <v>259</v>
      </c>
      <c r="C198" s="12" t="s">
        <v>51</v>
      </c>
      <c r="D198" s="13" t="s">
        <v>23</v>
      </c>
      <c r="E198" s="23">
        <v>620032057.13</v>
      </c>
      <c r="F198" s="24">
        <f t="shared" si="130"/>
        <v>3.9934506097484375E-3</v>
      </c>
      <c r="G198" s="13" t="s">
        <v>23</v>
      </c>
      <c r="H198" s="253">
        <v>4.28</v>
      </c>
      <c r="I198" s="13" t="s">
        <v>23</v>
      </c>
      <c r="J198" s="253">
        <v>4.3099999999999996</v>
      </c>
      <c r="K198" s="201">
        <v>150</v>
      </c>
      <c r="L198" s="196">
        <v>-1.5E-3</v>
      </c>
      <c r="M198" s="196">
        <v>-5.7000000000000002E-2</v>
      </c>
      <c r="N198" s="13" t="s">
        <v>23</v>
      </c>
      <c r="O198" s="23">
        <v>625497565.29999995</v>
      </c>
      <c r="P198" s="63">
        <f t="shared" si="131"/>
        <v>4.0583736775121919E-3</v>
      </c>
      <c r="Q198" s="13" t="s">
        <v>23</v>
      </c>
      <c r="R198" s="23">
        <v>4.32</v>
      </c>
      <c r="S198" s="13" t="s">
        <v>23</v>
      </c>
      <c r="T198" s="23">
        <v>4.3499999999999996</v>
      </c>
      <c r="U198" s="25">
        <v>155</v>
      </c>
      <c r="V198" s="26">
        <v>3.3500000000000002E-2</v>
      </c>
      <c r="W198" s="26">
        <v>0.18948999999999999</v>
      </c>
      <c r="X198" s="20">
        <f t="shared" si="134"/>
        <v>8.8148799842683347E-3</v>
      </c>
      <c r="Y198" s="20">
        <f t="shared" si="148"/>
        <v>9.28074245939676E-3</v>
      </c>
      <c r="Z198" s="20">
        <f t="shared" si="148"/>
        <v>3.3333333333333333E-2</v>
      </c>
      <c r="AA198" s="20">
        <f t="shared" si="149"/>
        <v>3.5000000000000003E-2</v>
      </c>
      <c r="AB198" s="21">
        <f t="shared" si="149"/>
        <v>0.24648999999999999</v>
      </c>
      <c r="AD198" s="30"/>
      <c r="AE198" s="30"/>
    </row>
    <row r="199" spans="1:31" ht="13.95" customHeight="1">
      <c r="A199" s="233">
        <v>176</v>
      </c>
      <c r="B199" s="232" t="s">
        <v>260</v>
      </c>
      <c r="C199" s="12" t="s">
        <v>261</v>
      </c>
      <c r="D199" s="13" t="s">
        <v>23</v>
      </c>
      <c r="E199" s="23">
        <v>318981758.95119721</v>
      </c>
      <c r="F199" s="24">
        <f t="shared" si="130"/>
        <v>2.0544710311892894E-3</v>
      </c>
      <c r="G199" s="13" t="s">
        <v>23</v>
      </c>
      <c r="H199" s="253">
        <v>154.93371491310901</v>
      </c>
      <c r="I199" s="13" t="s">
        <v>23</v>
      </c>
      <c r="J199" s="253">
        <v>156.11605172189084</v>
      </c>
      <c r="K199" s="201">
        <v>123</v>
      </c>
      <c r="L199" s="196">
        <v>-1.185165291568091E-2</v>
      </c>
      <c r="M199" s="196">
        <v>0.34408148841478425</v>
      </c>
      <c r="N199" s="13" t="s">
        <v>23</v>
      </c>
      <c r="O199" s="23">
        <v>318475408.88882387</v>
      </c>
      <c r="P199" s="24">
        <f t="shared" si="131"/>
        <v>2.0663425216522345E-3</v>
      </c>
      <c r="Q199" s="13" t="s">
        <v>23</v>
      </c>
      <c r="R199" s="23">
        <v>155.38439414297923</v>
      </c>
      <c r="S199" s="13" t="s">
        <v>23</v>
      </c>
      <c r="T199" s="23">
        <v>156.50395070551915</v>
      </c>
      <c r="U199" s="25">
        <v>125</v>
      </c>
      <c r="V199" s="26">
        <v>1.450198369872302E-2</v>
      </c>
      <c r="W199" s="26">
        <v>0.34799122239632152</v>
      </c>
      <c r="X199" s="20">
        <f t="shared" ref="X199" si="150">((O199-E199)/E199)</f>
        <v>-1.5873950411402975E-3</v>
      </c>
      <c r="Y199" s="20">
        <f t="shared" ref="Y199" si="151">((T199-J199)/J199)</f>
        <v>2.4846835373425742E-3</v>
      </c>
      <c r="Z199" s="20">
        <f t="shared" ref="Z199" si="152">((U199-K199)/K199)</f>
        <v>1.6260162601626018E-2</v>
      </c>
      <c r="AA199" s="20">
        <f t="shared" ref="AA199" si="153">V199-L199</f>
        <v>2.635363661440393E-2</v>
      </c>
      <c r="AB199" s="21">
        <f t="shared" ref="AB199" si="154">W199-M199</f>
        <v>3.9097339815372667E-3</v>
      </c>
    </row>
    <row r="200" spans="1:31" ht="14.4" customHeight="1">
      <c r="A200" s="233">
        <v>177</v>
      </c>
      <c r="B200" s="232" t="s">
        <v>262</v>
      </c>
      <c r="C200" s="12" t="s">
        <v>55</v>
      </c>
      <c r="D200" s="13" t="s">
        <v>23</v>
      </c>
      <c r="E200" s="80">
        <v>14626663782.01</v>
      </c>
      <c r="F200" s="24">
        <f t="shared" si="130"/>
        <v>9.4206192610790135E-2</v>
      </c>
      <c r="G200" s="13" t="s">
        <v>23</v>
      </c>
      <c r="H200" s="253">
        <v>13260.91</v>
      </c>
      <c r="I200" s="13" t="s">
        <v>23</v>
      </c>
      <c r="J200" s="253">
        <v>13389.67</v>
      </c>
      <c r="K200" s="201">
        <v>9580</v>
      </c>
      <c r="L200" s="196">
        <v>-3.86634369020442E-3</v>
      </c>
      <c r="M200" s="196">
        <v>0.37590877469169698</v>
      </c>
      <c r="N200" s="13" t="s">
        <v>23</v>
      </c>
      <c r="O200" s="80">
        <v>14469969170.4</v>
      </c>
      <c r="P200" s="24">
        <f t="shared" si="131"/>
        <v>9.3884525301707503E-2</v>
      </c>
      <c r="Q200" s="13" t="s">
        <v>23</v>
      </c>
      <c r="R200" s="23">
        <v>13197.62</v>
      </c>
      <c r="S200" s="13" t="s">
        <v>23</v>
      </c>
      <c r="T200" s="23">
        <v>13325.88</v>
      </c>
      <c r="U200" s="25">
        <v>9710</v>
      </c>
      <c r="V200" s="55">
        <v>-4.7641204002787799E-3</v>
      </c>
      <c r="W200" s="55">
        <v>0.36935377962926602</v>
      </c>
      <c r="X200" s="20">
        <f t="shared" si="134"/>
        <v>-1.0712942742467797E-2</v>
      </c>
      <c r="Y200" s="20">
        <f t="shared" ref="Y200:Z204" si="155">((T200-J200)/J200)</f>
        <v>-4.7641204002787877E-3</v>
      </c>
      <c r="Z200" s="20">
        <f t="shared" si="155"/>
        <v>1.3569937369519834E-2</v>
      </c>
      <c r="AA200" s="20">
        <f t="shared" ref="AA200:AB204" si="156">V200-L200</f>
        <v>-8.9777671007435986E-4</v>
      </c>
      <c r="AB200" s="21">
        <f t="shared" si="156"/>
        <v>-6.5549950624309572E-3</v>
      </c>
    </row>
    <row r="201" spans="1:31" ht="13.2" customHeight="1">
      <c r="A201" s="233">
        <v>178</v>
      </c>
      <c r="B201" s="232" t="s">
        <v>263</v>
      </c>
      <c r="C201" s="36" t="s">
        <v>130</v>
      </c>
      <c r="D201" s="13" t="s">
        <v>23</v>
      </c>
      <c r="E201" s="80">
        <v>361957726.00999999</v>
      </c>
      <c r="F201" s="24">
        <f t="shared" si="130"/>
        <v>2.3312670450113962E-3</v>
      </c>
      <c r="G201" s="13" t="s">
        <v>23</v>
      </c>
      <c r="H201" s="253">
        <v>1913.9456</v>
      </c>
      <c r="I201" s="13" t="s">
        <v>23</v>
      </c>
      <c r="J201" s="253">
        <v>1936.9839999999999</v>
      </c>
      <c r="K201" s="201">
        <v>217</v>
      </c>
      <c r="L201" s="196">
        <v>-8.0000000000000004E-4</v>
      </c>
      <c r="M201" s="196">
        <v>0.27260000000000001</v>
      </c>
      <c r="N201" s="13" t="s">
        <v>23</v>
      </c>
      <c r="O201" s="35">
        <v>370293935.29000002</v>
      </c>
      <c r="P201" s="24">
        <f t="shared" si="131"/>
        <v>2.4025531725332507E-3</v>
      </c>
      <c r="Q201" s="13" t="s">
        <v>23</v>
      </c>
      <c r="R201" s="23">
        <v>1921.0233000000001</v>
      </c>
      <c r="S201" s="13" t="s">
        <v>23</v>
      </c>
      <c r="T201" s="23">
        <v>1947.3474000000001</v>
      </c>
      <c r="U201" s="25">
        <v>223</v>
      </c>
      <c r="V201" s="26">
        <v>3.7000000000000002E-3</v>
      </c>
      <c r="W201" s="26">
        <v>0.27660000000000001</v>
      </c>
      <c r="X201" s="20">
        <f t="shared" si="134"/>
        <v>2.3030891954961951E-2</v>
      </c>
      <c r="Y201" s="20">
        <f t="shared" si="155"/>
        <v>5.3502765123512553E-3</v>
      </c>
      <c r="Z201" s="20">
        <f t="shared" si="155"/>
        <v>2.7649769585253458E-2</v>
      </c>
      <c r="AA201" s="20">
        <f t="shared" si="156"/>
        <v>4.5000000000000005E-3</v>
      </c>
      <c r="AB201" s="21">
        <f t="shared" si="156"/>
        <v>4.0000000000000036E-3</v>
      </c>
    </row>
    <row r="202" spans="1:31" ht="15" customHeight="1">
      <c r="A202" s="233">
        <v>179</v>
      </c>
      <c r="B202" s="232" t="s">
        <v>264</v>
      </c>
      <c r="C202" s="36" t="s">
        <v>105</v>
      </c>
      <c r="D202" s="13" t="s">
        <v>23</v>
      </c>
      <c r="E202" s="80">
        <v>884416194.07000005</v>
      </c>
      <c r="F202" s="24">
        <f t="shared" si="130"/>
        <v>5.6962738440146784E-3</v>
      </c>
      <c r="G202" s="13" t="s">
        <v>23</v>
      </c>
      <c r="H202" s="253">
        <v>1.665</v>
      </c>
      <c r="I202" s="13" t="s">
        <v>23</v>
      </c>
      <c r="J202" s="253">
        <v>1.665</v>
      </c>
      <c r="K202" s="201">
        <v>49</v>
      </c>
      <c r="L202" s="196">
        <v>2.0470000000000002E-3</v>
      </c>
      <c r="M202" s="196">
        <v>9.5699999999999993E-2</v>
      </c>
      <c r="N202" s="13" t="s">
        <v>23</v>
      </c>
      <c r="O202" s="35">
        <v>889282891.20000005</v>
      </c>
      <c r="P202" s="24">
        <f t="shared" si="131"/>
        <v>5.7698742212962196E-3</v>
      </c>
      <c r="Q202" s="13" t="s">
        <v>23</v>
      </c>
      <c r="R202" s="23">
        <v>1.68</v>
      </c>
      <c r="S202" s="13" t="s">
        <v>23</v>
      </c>
      <c r="T202" s="23">
        <v>1.68</v>
      </c>
      <c r="U202" s="201">
        <v>49</v>
      </c>
      <c r="V202" s="26">
        <v>2.0470000000000002E-3</v>
      </c>
      <c r="W202" s="26">
        <v>0.1018</v>
      </c>
      <c r="X202" s="20">
        <f t="shared" si="134"/>
        <v>5.5027227708302276E-3</v>
      </c>
      <c r="Y202" s="20">
        <f t="shared" si="155"/>
        <v>9.00900900900895E-3</v>
      </c>
      <c r="Z202" s="20">
        <f t="shared" si="155"/>
        <v>0</v>
      </c>
      <c r="AA202" s="20">
        <f t="shared" si="156"/>
        <v>0</v>
      </c>
      <c r="AB202" s="21">
        <f t="shared" si="156"/>
        <v>6.1000000000000082E-3</v>
      </c>
    </row>
    <row r="203" spans="1:31" ht="15" customHeight="1">
      <c r="A203" s="233">
        <v>180</v>
      </c>
      <c r="B203" s="232" t="s">
        <v>265</v>
      </c>
      <c r="C203" s="12" t="s">
        <v>58</v>
      </c>
      <c r="D203" s="13" t="s">
        <v>23</v>
      </c>
      <c r="E203" s="80">
        <v>9256287694.3600006</v>
      </c>
      <c r="F203" s="24">
        <f t="shared" si="130"/>
        <v>5.9617123521241856E-2</v>
      </c>
      <c r="G203" s="13" t="s">
        <v>23</v>
      </c>
      <c r="H203" s="253">
        <v>2.7588200000000001</v>
      </c>
      <c r="I203" s="13" t="s">
        <v>23</v>
      </c>
      <c r="J203" s="253">
        <v>2.77536</v>
      </c>
      <c r="K203" s="201">
        <v>3656</v>
      </c>
      <c r="L203" s="196">
        <v>-6.3E-3</v>
      </c>
      <c r="M203" s="196">
        <v>0.3679</v>
      </c>
      <c r="N203" s="13" t="s">
        <v>23</v>
      </c>
      <c r="O203" s="80">
        <v>9284159486.9099998</v>
      </c>
      <c r="P203" s="63">
        <f t="shared" si="131"/>
        <v>6.023778599590441E-2</v>
      </c>
      <c r="Q203" s="13" t="s">
        <v>23</v>
      </c>
      <c r="R203" s="23">
        <v>2.7662900000000001</v>
      </c>
      <c r="S203" s="13" t="s">
        <v>23</v>
      </c>
      <c r="T203" s="23">
        <v>2.79291</v>
      </c>
      <c r="U203" s="25">
        <v>4137</v>
      </c>
      <c r="V203" s="55">
        <v>2.7000000000000001E-3</v>
      </c>
      <c r="W203" s="55">
        <v>0.37159999999999999</v>
      </c>
      <c r="X203" s="20">
        <f t="shared" si="134"/>
        <v>3.0111199511421789E-3</v>
      </c>
      <c r="Y203" s="20">
        <f t="shared" si="155"/>
        <v>6.3235039778623148E-3</v>
      </c>
      <c r="Z203" s="20">
        <f t="shared" si="155"/>
        <v>0.13156455142231949</v>
      </c>
      <c r="AA203" s="20">
        <f t="shared" si="156"/>
        <v>9.0000000000000011E-3</v>
      </c>
      <c r="AB203" s="21">
        <f t="shared" si="156"/>
        <v>3.6999999999999811E-3</v>
      </c>
    </row>
    <row r="204" spans="1:31" ht="14.4" customHeight="1">
      <c r="A204" s="233">
        <v>181</v>
      </c>
      <c r="B204" s="232" t="s">
        <v>266</v>
      </c>
      <c r="C204" s="12" t="s">
        <v>58</v>
      </c>
      <c r="D204" s="13" t="s">
        <v>23</v>
      </c>
      <c r="E204" s="80">
        <v>5052407827.0100002</v>
      </c>
      <c r="F204" s="24">
        <f t="shared" si="130"/>
        <v>3.2541125713505675E-2</v>
      </c>
      <c r="G204" s="13" t="s">
        <v>23</v>
      </c>
      <c r="H204" s="253">
        <v>2.1736200000000001</v>
      </c>
      <c r="I204" s="13" t="s">
        <v>23</v>
      </c>
      <c r="J204" s="253">
        <v>2.1897199999999999</v>
      </c>
      <c r="K204" s="201">
        <v>2876</v>
      </c>
      <c r="L204" s="196">
        <v>8.8000000000000005E-3</v>
      </c>
      <c r="M204" s="196">
        <v>0.38140000000000002</v>
      </c>
      <c r="N204" s="13" t="s">
        <v>23</v>
      </c>
      <c r="O204" s="80">
        <v>5012051923.5299997</v>
      </c>
      <c r="P204" s="63">
        <f t="shared" si="131"/>
        <v>3.2519358547818955E-2</v>
      </c>
      <c r="Q204" s="13" t="s">
        <v>23</v>
      </c>
      <c r="R204" s="23">
        <v>2.17075</v>
      </c>
      <c r="S204" s="13" t="s">
        <v>23</v>
      </c>
      <c r="T204" s="23">
        <v>2.18689</v>
      </c>
      <c r="U204" s="25">
        <v>2897</v>
      </c>
      <c r="V204" s="55">
        <v>-1.2999999999999999E-3</v>
      </c>
      <c r="W204" s="55">
        <v>0.37959999999999999</v>
      </c>
      <c r="X204" s="20">
        <f t="shared" si="134"/>
        <v>-7.9874596156429035E-3</v>
      </c>
      <c r="Y204" s="20">
        <f t="shared" si="155"/>
        <v>-1.2924026816213436E-3</v>
      </c>
      <c r="Z204" s="20">
        <f t="shared" si="155"/>
        <v>7.3018080667593879E-3</v>
      </c>
      <c r="AA204" s="20">
        <f t="shared" si="156"/>
        <v>-1.0100000000000001E-2</v>
      </c>
      <c r="AB204" s="21">
        <f t="shared" si="156"/>
        <v>-1.8000000000000238E-3</v>
      </c>
    </row>
    <row r="205" spans="1:31" ht="14.4" customHeight="1">
      <c r="A205" s="233">
        <v>182</v>
      </c>
      <c r="B205" s="232" t="s">
        <v>267</v>
      </c>
      <c r="C205" s="12" t="s">
        <v>135</v>
      </c>
      <c r="D205" s="13" t="s">
        <v>23</v>
      </c>
      <c r="E205" s="67">
        <v>12131435130.459999</v>
      </c>
      <c r="F205" s="24">
        <f t="shared" ref="F205" si="157">(E205/$E$207)</f>
        <v>7.8135132630249668E-2</v>
      </c>
      <c r="G205" s="13" t="s">
        <v>23</v>
      </c>
      <c r="H205" s="253">
        <v>821.85</v>
      </c>
      <c r="I205" s="13" t="s">
        <v>23</v>
      </c>
      <c r="J205" s="253">
        <v>821.85</v>
      </c>
      <c r="K205" s="201">
        <v>44</v>
      </c>
      <c r="L205" s="196">
        <v>-1.4999999999999999E-2</v>
      </c>
      <c r="M205" s="196">
        <v>0.19489999999999999</v>
      </c>
      <c r="N205" s="13" t="s">
        <v>23</v>
      </c>
      <c r="O205" s="67">
        <v>12266527620.34</v>
      </c>
      <c r="P205" s="63">
        <f t="shared" ref="P205" si="158">(O205/$O$207)</f>
        <v>7.9588084063904704E-2</v>
      </c>
      <c r="Q205" s="13" t="s">
        <v>23</v>
      </c>
      <c r="R205" s="23">
        <v>830.97</v>
      </c>
      <c r="S205" s="13" t="s">
        <v>23</v>
      </c>
      <c r="T205" s="23">
        <v>839.93</v>
      </c>
      <c r="U205" s="25">
        <v>44</v>
      </c>
      <c r="V205" s="55">
        <v>1.1135733861269426E-2</v>
      </c>
      <c r="W205" s="55">
        <v>0.20819667832423083</v>
      </c>
      <c r="X205" s="20">
        <f t="shared" ref="X205" si="159">((O205-E205)/E205)</f>
        <v>1.1135738552548204E-2</v>
      </c>
      <c r="Y205" s="20">
        <f t="shared" ref="Y205" si="160">((T205-J205)/J205)</f>
        <v>2.1999148263064948E-2</v>
      </c>
      <c r="Z205" s="20">
        <f t="shared" ref="Z205" si="161">((U205-K205)/K205)</f>
        <v>0</v>
      </c>
      <c r="AA205" s="20">
        <f t="shared" ref="AA205" si="162">V205-L205</f>
        <v>2.6135733861269425E-2</v>
      </c>
      <c r="AB205" s="21">
        <f t="shared" ref="AB205" si="163">W205-M205</f>
        <v>1.3296678324230843E-2</v>
      </c>
    </row>
    <row r="206" spans="1:31" ht="14.4" customHeight="1">
      <c r="A206" s="233">
        <v>183</v>
      </c>
      <c r="B206" s="232" t="s">
        <v>268</v>
      </c>
      <c r="C206" s="12" t="s">
        <v>140</v>
      </c>
      <c r="D206" s="13" t="s">
        <v>23</v>
      </c>
      <c r="E206" s="23">
        <v>7886956946.3699999</v>
      </c>
      <c r="F206" s="24">
        <f>(E206/$E$207)</f>
        <v>5.0797652579981444E-2</v>
      </c>
      <c r="G206" s="13" t="s">
        <v>23</v>
      </c>
      <c r="H206" s="253">
        <v>45.2044</v>
      </c>
      <c r="I206" s="13" t="s">
        <v>23</v>
      </c>
      <c r="J206" s="253">
        <v>45.700800000000001</v>
      </c>
      <c r="K206" s="201">
        <v>6333</v>
      </c>
      <c r="L206" s="196">
        <v>-8.0999999999999996E-3</v>
      </c>
      <c r="M206" s="196">
        <v>0.33610000000000001</v>
      </c>
      <c r="N206" s="13" t="s">
        <v>23</v>
      </c>
      <c r="O206" s="23">
        <v>7895165400.8000002</v>
      </c>
      <c r="P206" s="63">
        <f>(O206/$O$207)</f>
        <v>5.1225669322699945E-2</v>
      </c>
      <c r="Q206" s="13" t="s">
        <v>23</v>
      </c>
      <c r="R206" s="23">
        <v>45.23</v>
      </c>
      <c r="S206" s="13" t="s">
        <v>23</v>
      </c>
      <c r="T206" s="23">
        <v>45.725900000000003</v>
      </c>
      <c r="U206" s="25">
        <v>6332</v>
      </c>
      <c r="V206" s="55">
        <v>6.1000000000000004E-3</v>
      </c>
      <c r="W206" s="55">
        <v>0.33229999999999998</v>
      </c>
      <c r="X206" s="20">
        <f>((O206-E206)/E206)</f>
        <v>1.0407631848146802E-3</v>
      </c>
      <c r="Y206" s="20">
        <f>((T206-J206)/J206)</f>
        <v>5.4922452123380553E-4</v>
      </c>
      <c r="Z206" s="20">
        <f>((U206-K206)/K206)</f>
        <v>-1.5790304752881732E-4</v>
      </c>
      <c r="AA206" s="20">
        <f>V206-L206</f>
        <v>1.4200000000000001E-2</v>
      </c>
      <c r="AB206" s="21">
        <f>W206-M206</f>
        <v>-3.8000000000000256E-3</v>
      </c>
    </row>
    <row r="207" spans="1:31">
      <c r="B207" s="43"/>
      <c r="C207" s="44" t="s">
        <v>63</v>
      </c>
      <c r="D207" s="45" t="s">
        <v>23</v>
      </c>
      <c r="E207" s="97">
        <f>SUM(E176:E206)</f>
        <v>155262232520.52646</v>
      </c>
      <c r="F207" s="47">
        <f>(E207/$E$243)</f>
        <v>1.6367911825603376E-2</v>
      </c>
      <c r="G207" s="13"/>
      <c r="H207" s="48"/>
      <c r="I207" s="13" t="s">
        <v>23</v>
      </c>
      <c r="J207" s="98"/>
      <c r="K207" s="50">
        <f>SUM(K176:K206)</f>
        <v>106337</v>
      </c>
      <c r="L207" s="99"/>
      <c r="M207" s="99"/>
      <c r="N207" s="13" t="s">
        <v>23</v>
      </c>
      <c r="O207" s="97">
        <f>SUM(O176:O206)</f>
        <v>154125177966.22263</v>
      </c>
      <c r="P207" s="47">
        <f>(O207/$O$243)</f>
        <v>1.6229483610547105E-2</v>
      </c>
      <c r="Q207" s="13" t="s">
        <v>23</v>
      </c>
      <c r="R207" s="48"/>
      <c r="S207" s="13" t="s">
        <v>23</v>
      </c>
      <c r="T207" s="98"/>
      <c r="U207" s="50">
        <f>SUM(U176:U206)</f>
        <v>107417</v>
      </c>
      <c r="V207" s="99"/>
      <c r="W207" s="99"/>
      <c r="X207" s="20">
        <f t="shared" ref="X207" si="164">((O207-E207)/E207)</f>
        <v>-7.3234458621706895E-3</v>
      </c>
      <c r="Y207" s="20" t="e">
        <f t="shared" ref="Y207" si="165">((T207-J207)/J207)</f>
        <v>#DIV/0!</v>
      </c>
      <c r="Z207" s="20">
        <f t="shared" ref="Z207" si="166">((U207-K207)/K207)</f>
        <v>1.0156389591581482E-2</v>
      </c>
      <c r="AA207" s="20">
        <f t="shared" ref="AA207" si="167">V207-L207</f>
        <v>0</v>
      </c>
      <c r="AB207" s="21">
        <f t="shared" ref="AB207" si="168">W207-M207</f>
        <v>0</v>
      </c>
    </row>
    <row r="208" spans="1:31" ht="5.25" customHeight="1">
      <c r="B208" s="239"/>
      <c r="C208" s="239"/>
      <c r="D208" s="239"/>
      <c r="E208" s="239"/>
      <c r="F208" s="239"/>
      <c r="G208" s="239"/>
      <c r="H208" s="239"/>
      <c r="I208" s="239"/>
      <c r="J208" s="239"/>
      <c r="K208" s="239"/>
      <c r="L208" s="239"/>
      <c r="M208" s="239"/>
      <c r="N208" s="239"/>
      <c r="O208" s="239"/>
      <c r="P208" s="239"/>
      <c r="Q208" s="239"/>
      <c r="R208" s="239"/>
      <c r="S208" s="239"/>
      <c r="T208" s="239"/>
      <c r="U208" s="239"/>
      <c r="V208" s="239"/>
      <c r="W208" s="239"/>
      <c r="X208" s="239"/>
      <c r="Y208" s="239"/>
      <c r="Z208" s="239"/>
      <c r="AA208" s="239"/>
      <c r="AB208" s="239"/>
    </row>
    <row r="209" spans="1:30" ht="15" customHeight="1">
      <c r="A209" s="11"/>
      <c r="B209" s="241" t="s">
        <v>269</v>
      </c>
      <c r="C209" s="241"/>
      <c r="D209" s="241"/>
      <c r="E209" s="241"/>
      <c r="F209" s="241"/>
      <c r="G209" s="241"/>
      <c r="H209" s="241"/>
      <c r="I209" s="241"/>
      <c r="J209" s="241"/>
      <c r="K209" s="241"/>
      <c r="L209" s="241"/>
      <c r="M209" s="241"/>
      <c r="N209" s="241"/>
      <c r="O209" s="241"/>
      <c r="P209" s="241"/>
      <c r="Q209" s="241"/>
      <c r="R209" s="241"/>
      <c r="S209" s="241"/>
      <c r="T209" s="241"/>
      <c r="U209" s="241"/>
      <c r="V209" s="241"/>
      <c r="W209" s="241"/>
      <c r="X209" s="241"/>
      <c r="Y209" s="241"/>
      <c r="Z209" s="241"/>
      <c r="AA209" s="241"/>
      <c r="AB209" s="241"/>
    </row>
    <row r="210" spans="1:30" ht="15" customHeight="1">
      <c r="A210" s="233">
        <v>184</v>
      </c>
      <c r="B210" s="232" t="s">
        <v>270</v>
      </c>
      <c r="C210" s="12" t="s">
        <v>149</v>
      </c>
      <c r="D210" s="13" t="s">
        <v>23</v>
      </c>
      <c r="E210" s="226">
        <v>632895306.49000001</v>
      </c>
      <c r="F210" s="24">
        <v>0</v>
      </c>
      <c r="G210" s="13" t="s">
        <v>23</v>
      </c>
      <c r="H210" s="104">
        <v>1094.2116595</v>
      </c>
      <c r="I210" s="13" t="s">
        <v>23</v>
      </c>
      <c r="J210" s="104">
        <v>1094.2116595</v>
      </c>
      <c r="K210" s="25">
        <v>32</v>
      </c>
      <c r="L210" s="55">
        <v>2.0219999999999999E-3</v>
      </c>
      <c r="M210" s="55">
        <v>9.3035999999999994E-2</v>
      </c>
      <c r="N210" s="13" t="s">
        <v>23</v>
      </c>
      <c r="O210" s="226">
        <v>634897173.70000005</v>
      </c>
      <c r="P210" s="63">
        <f>(O210/$O$213)</f>
        <v>3.3083798642177864E-2</v>
      </c>
      <c r="Q210" s="13" t="s">
        <v>23</v>
      </c>
      <c r="R210" s="101">
        <v>1097.3</v>
      </c>
      <c r="S210" s="13" t="s">
        <v>23</v>
      </c>
      <c r="T210" s="104">
        <v>1097.3</v>
      </c>
      <c r="U210" s="25">
        <v>33</v>
      </c>
      <c r="V210" s="26">
        <v>2.016E-3</v>
      </c>
      <c r="W210" s="26">
        <v>9.6123E-2</v>
      </c>
      <c r="X210" s="20">
        <f>((O210-E210)/E210)</f>
        <v>3.1630305825813046E-3</v>
      </c>
      <c r="Y210" s="20">
        <f t="shared" ref="Y210" si="169">((T210-J210)/J210)</f>
        <v>2.822434282423179E-3</v>
      </c>
      <c r="Z210" s="20">
        <f t="shared" ref="Z210" si="170">((U210-K210)/K210)</f>
        <v>3.125E-2</v>
      </c>
      <c r="AA210" s="20">
        <f t="shared" ref="AA210" si="171">V210-L210</f>
        <v>-5.999999999999929E-6</v>
      </c>
      <c r="AB210" s="21">
        <f t="shared" ref="AB210" si="172">W210-M210</f>
        <v>3.0870000000000064E-3</v>
      </c>
    </row>
    <row r="211" spans="1:30">
      <c r="A211" s="233">
        <v>185</v>
      </c>
      <c r="B211" s="232" t="s">
        <v>271</v>
      </c>
      <c r="C211" s="12" t="s">
        <v>272</v>
      </c>
      <c r="D211" s="13" t="s">
        <v>23</v>
      </c>
      <c r="E211" s="226">
        <v>1950754059.72</v>
      </c>
      <c r="F211" s="24">
        <f>(E211/$E$213)</f>
        <v>0.10153932182847177</v>
      </c>
      <c r="G211" s="13" t="s">
        <v>23</v>
      </c>
      <c r="H211" s="104">
        <v>52.8506</v>
      </c>
      <c r="I211" s="13" t="s">
        <v>23</v>
      </c>
      <c r="J211" s="104">
        <v>53.320999999999998</v>
      </c>
      <c r="K211" s="25">
        <v>1368</v>
      </c>
      <c r="L211" s="55">
        <v>-5.7000000000000002E-3</v>
      </c>
      <c r="M211" s="55">
        <v>0.32119999999999999</v>
      </c>
      <c r="N211" s="13" t="s">
        <v>23</v>
      </c>
      <c r="O211" s="226">
        <v>1954489829.5699999</v>
      </c>
      <c r="P211" s="63">
        <f>(O211/$O$213)</f>
        <v>0.10184633141906584</v>
      </c>
      <c r="Q211" s="13" t="s">
        <v>23</v>
      </c>
      <c r="R211" s="104">
        <v>52.933</v>
      </c>
      <c r="S211" s="13" t="s">
        <v>23</v>
      </c>
      <c r="T211" s="104">
        <v>53.403700000000001</v>
      </c>
      <c r="U211" s="25">
        <v>1370</v>
      </c>
      <c r="V211" s="55">
        <v>6.0000000000000001E-3</v>
      </c>
      <c r="W211" s="55">
        <v>0.32329999999999998</v>
      </c>
      <c r="X211" s="20">
        <f>((O211-E211)/E211)</f>
        <v>1.9150388699107029E-3</v>
      </c>
      <c r="Y211" s="20">
        <f t="shared" ref="Y211:Z213" si="173">((T211-J211)/J211)</f>
        <v>1.5509836649725748E-3</v>
      </c>
      <c r="Z211" s="20">
        <f t="shared" si="173"/>
        <v>1.4619883040935672E-3</v>
      </c>
      <c r="AA211" s="20">
        <f t="shared" ref="AA211:AB213" si="174">V211-L211</f>
        <v>1.17E-2</v>
      </c>
      <c r="AB211" s="21">
        <f t="shared" si="174"/>
        <v>2.0999999999999908E-3</v>
      </c>
    </row>
    <row r="212" spans="1:30">
      <c r="A212" s="233">
        <v>186</v>
      </c>
      <c r="B212" s="232" t="s">
        <v>350</v>
      </c>
      <c r="C212" s="12" t="s">
        <v>55</v>
      </c>
      <c r="D212" s="13" t="s">
        <v>23</v>
      </c>
      <c r="E212" s="198">
        <v>16628159660.99</v>
      </c>
      <c r="F212" s="24">
        <f>(E212/$E$213)</f>
        <v>0.8655176426877822</v>
      </c>
      <c r="G212" s="13" t="s">
        <v>23</v>
      </c>
      <c r="H212" s="104">
        <v>6.56</v>
      </c>
      <c r="I212" s="13" t="s">
        <v>23</v>
      </c>
      <c r="J212" s="104">
        <v>6.66</v>
      </c>
      <c r="K212" s="25">
        <v>17956</v>
      </c>
      <c r="L212" s="55">
        <v>-8.9285714285713708E-3</v>
      </c>
      <c r="M212" s="55">
        <v>0.47019867549668798</v>
      </c>
      <c r="N212" s="13" t="s">
        <v>23</v>
      </c>
      <c r="O212" s="198">
        <v>16601189646.25</v>
      </c>
      <c r="P212" s="63">
        <f>(O212/$O$213)</f>
        <v>0.86506986993875623</v>
      </c>
      <c r="Q212" s="13" t="s">
        <v>23</v>
      </c>
      <c r="R212" s="104">
        <v>6.59</v>
      </c>
      <c r="S212" s="13" t="s">
        <v>23</v>
      </c>
      <c r="T212" s="104">
        <v>6.69</v>
      </c>
      <c r="U212" s="25">
        <v>18025</v>
      </c>
      <c r="V212" s="55">
        <v>4.50450450450454E-3</v>
      </c>
      <c r="W212" s="55">
        <v>0.47682119205298001</v>
      </c>
      <c r="X212" s="20">
        <f>((O212-E212)/E212)</f>
        <v>-1.6219482666666939E-3</v>
      </c>
      <c r="Y212" s="20">
        <f t="shared" si="173"/>
        <v>4.5045045045045418E-3</v>
      </c>
      <c r="Z212" s="20">
        <f t="shared" si="173"/>
        <v>3.8427266651815551E-3</v>
      </c>
      <c r="AA212" s="20">
        <f t="shared" si="174"/>
        <v>1.3433075933075911E-2</v>
      </c>
      <c r="AB212" s="21">
        <f t="shared" si="174"/>
        <v>6.6225165562920352E-3</v>
      </c>
    </row>
    <row r="213" spans="1:30">
      <c r="B213" s="43"/>
      <c r="C213" s="89" t="s">
        <v>63</v>
      </c>
      <c r="D213" s="89"/>
      <c r="E213" s="97">
        <f>SUM(E210:E212)</f>
        <v>19211809027.200001</v>
      </c>
      <c r="F213" s="47">
        <f>(E213/$E$243)</f>
        <v>2.0253296056783657E-3</v>
      </c>
      <c r="G213" s="45"/>
      <c r="H213" s="48"/>
      <c r="I213" s="48"/>
      <c r="J213" s="98"/>
      <c r="K213" s="50">
        <f>SUM(K210:K212)</f>
        <v>19356</v>
      </c>
      <c r="L213" s="99"/>
      <c r="M213" s="99"/>
      <c r="N213" s="13" t="s">
        <v>23</v>
      </c>
      <c r="O213" s="97">
        <f>SUM(O210:O212)</f>
        <v>19190576649.52</v>
      </c>
      <c r="P213" s="47">
        <f>(O213/$O$243)</f>
        <v>2.0207804676701784E-3</v>
      </c>
      <c r="Q213" s="13" t="s">
        <v>23</v>
      </c>
      <c r="R213" s="48"/>
      <c r="S213" s="13" t="s">
        <v>23</v>
      </c>
      <c r="T213" s="98"/>
      <c r="U213" s="50">
        <f>SUM(U210:U212)</f>
        <v>19428</v>
      </c>
      <c r="V213" s="99"/>
      <c r="W213" s="99"/>
      <c r="X213" s="20">
        <f>((O213-E213)/E213)</f>
        <v>-1.105173263482871E-3</v>
      </c>
      <c r="Y213" s="20" t="e">
        <f t="shared" si="173"/>
        <v>#DIV/0!</v>
      </c>
      <c r="Z213" s="20">
        <f t="shared" si="173"/>
        <v>3.7197768133911966E-3</v>
      </c>
      <c r="AA213" s="20">
        <f t="shared" si="174"/>
        <v>0</v>
      </c>
      <c r="AB213" s="21">
        <f t="shared" si="174"/>
        <v>0</v>
      </c>
    </row>
    <row r="214" spans="1:30" ht="6" customHeight="1">
      <c r="B214" s="239"/>
      <c r="C214" s="239"/>
      <c r="D214" s="239"/>
      <c r="E214" s="239"/>
      <c r="F214" s="239"/>
      <c r="G214" s="239"/>
      <c r="H214" s="239"/>
      <c r="I214" s="239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  <c r="Z214" s="239"/>
      <c r="AA214" s="239"/>
      <c r="AB214" s="239"/>
    </row>
    <row r="215" spans="1:30" ht="15" customHeight="1">
      <c r="A215" s="11"/>
      <c r="B215" s="237" t="s">
        <v>273</v>
      </c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</row>
    <row r="216" spans="1:30">
      <c r="A216" s="73"/>
      <c r="B216" s="240" t="s">
        <v>274</v>
      </c>
      <c r="C216" s="240"/>
      <c r="D216" s="240"/>
      <c r="E216" s="240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</row>
    <row r="217" spans="1:30">
      <c r="A217" s="233">
        <v>187</v>
      </c>
      <c r="B217" s="232" t="s">
        <v>275</v>
      </c>
      <c r="C217" s="12" t="s">
        <v>276</v>
      </c>
      <c r="D217" s="13" t="s">
        <v>23</v>
      </c>
      <c r="E217" s="59">
        <v>16695663843.490004</v>
      </c>
      <c r="F217" s="24">
        <f>(E217/$E$242)</f>
        <v>0.11358419557664047</v>
      </c>
      <c r="G217" s="13" t="s">
        <v>23</v>
      </c>
      <c r="H217" s="102">
        <v>3.72</v>
      </c>
      <c r="I217" s="13" t="s">
        <v>23</v>
      </c>
      <c r="J217" s="102">
        <v>3.72</v>
      </c>
      <c r="K217" s="60">
        <v>17375</v>
      </c>
      <c r="L217" s="61">
        <v>-1.1969133819515467E-2</v>
      </c>
      <c r="M217" s="61">
        <v>0.34553545698924737</v>
      </c>
      <c r="N217" s="13" t="s">
        <v>23</v>
      </c>
      <c r="O217" s="59">
        <v>16926970831.350004</v>
      </c>
      <c r="P217" s="24">
        <f>(O217/$O$242)</f>
        <v>0.11469268474563082</v>
      </c>
      <c r="Q217" s="13" t="s">
        <v>23</v>
      </c>
      <c r="R217" s="102">
        <v>3.7843002676328488</v>
      </c>
      <c r="S217" s="13" t="s">
        <v>23</v>
      </c>
      <c r="T217" s="102">
        <v>3.8522657048548488</v>
      </c>
      <c r="U217" s="60">
        <v>17407</v>
      </c>
      <c r="V217" s="61">
        <v>9.5425636058340934E-3</v>
      </c>
      <c r="W217" s="61">
        <v>0.36703057459677424</v>
      </c>
      <c r="X217" s="27">
        <f>((O217-E217)/E217)</f>
        <v>1.385431511009921E-2</v>
      </c>
      <c r="Y217" s="27">
        <f>((T217-J217)/J217)</f>
        <v>3.555529700399155E-2</v>
      </c>
      <c r="Z217" s="27">
        <f>((U217-K217)/K217)</f>
        <v>1.8417266187050359E-3</v>
      </c>
      <c r="AA217" s="27">
        <f>V217-L217</f>
        <v>2.1511697425349561E-2</v>
      </c>
      <c r="AB217" s="56">
        <f>W217-M217</f>
        <v>2.149511760752687E-2</v>
      </c>
    </row>
    <row r="218" spans="1:30">
      <c r="A218" s="233">
        <v>188</v>
      </c>
      <c r="B218" s="232" t="s">
        <v>277</v>
      </c>
      <c r="C218" s="12" t="s">
        <v>55</v>
      </c>
      <c r="D218" s="13" t="s">
        <v>23</v>
      </c>
      <c r="E218" s="59">
        <v>33696621296.169998</v>
      </c>
      <c r="F218" s="24">
        <f>(E218/$E$242)</f>
        <v>0.22924536930399134</v>
      </c>
      <c r="G218" s="13" t="s">
        <v>23</v>
      </c>
      <c r="H218" s="102">
        <v>1439.84</v>
      </c>
      <c r="I218" s="13" t="s">
        <v>23</v>
      </c>
      <c r="J218" s="102">
        <v>1459.43</v>
      </c>
      <c r="K218" s="60">
        <v>11615</v>
      </c>
      <c r="L218" s="61">
        <v>-2.8900154407442901E-3</v>
      </c>
      <c r="M218" s="61">
        <v>0.53494951619688602</v>
      </c>
      <c r="N218" s="13" t="s">
        <v>23</v>
      </c>
      <c r="O218" s="59">
        <v>33300834101.549999</v>
      </c>
      <c r="P218" s="24">
        <f>(O218/$O$242)</f>
        <v>0.22563765870629876</v>
      </c>
      <c r="Q218" s="13" t="s">
        <v>23</v>
      </c>
      <c r="R218" s="102">
        <v>1438.88</v>
      </c>
      <c r="S218" s="13" t="s">
        <v>23</v>
      </c>
      <c r="T218" s="102">
        <v>1458.66</v>
      </c>
      <c r="U218" s="60">
        <v>11773</v>
      </c>
      <c r="V218" s="61">
        <v>-5.2760324236173102E-4</v>
      </c>
      <c r="W218" s="61">
        <v>0.534139671855279</v>
      </c>
      <c r="X218" s="27">
        <f>((O218-E218)/E218)</f>
        <v>-1.1745604734115721E-2</v>
      </c>
      <c r="Y218" s="27">
        <f>((T218-J218)/J218)</f>
        <v>-5.2760324236173146E-4</v>
      </c>
      <c r="Z218" s="27">
        <f>((U218-K218)/K218)</f>
        <v>1.3603099440378821E-2</v>
      </c>
      <c r="AA218" s="27">
        <f>V218-L218</f>
        <v>2.362412198382559E-3</v>
      </c>
      <c r="AB218" s="56">
        <f>W218-M218</f>
        <v>-8.0984434160702445E-4</v>
      </c>
    </row>
    <row r="219" spans="1:30" ht="6" customHeight="1">
      <c r="B219" s="239"/>
      <c r="C219" s="239"/>
      <c r="D219" s="239"/>
      <c r="E219" s="239"/>
      <c r="F219" s="239"/>
      <c r="G219" s="239"/>
      <c r="H219" s="239"/>
      <c r="I219" s="239"/>
      <c r="J219" s="239"/>
      <c r="K219" s="239"/>
      <c r="L219" s="239"/>
      <c r="M219" s="239"/>
      <c r="N219" s="239"/>
      <c r="O219" s="239"/>
      <c r="P219" s="239"/>
      <c r="Q219" s="239"/>
      <c r="R219" s="239"/>
      <c r="S219" s="239"/>
      <c r="T219" s="239"/>
      <c r="U219" s="239"/>
      <c r="V219" s="239"/>
      <c r="W219" s="239"/>
      <c r="X219" s="239"/>
      <c r="Y219" s="239"/>
      <c r="Z219" s="239"/>
      <c r="AA219" s="239"/>
      <c r="AB219" s="239"/>
    </row>
    <row r="220" spans="1:30" ht="15" customHeight="1">
      <c r="A220" s="73"/>
      <c r="B220" s="240" t="s">
        <v>204</v>
      </c>
      <c r="C220" s="240"/>
      <c r="D220" s="240"/>
      <c r="E220" s="240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</row>
    <row r="221" spans="1:30">
      <c r="A221" s="233">
        <v>189</v>
      </c>
      <c r="B221" s="232" t="s">
        <v>342</v>
      </c>
      <c r="C221" s="192" t="s">
        <v>68</v>
      </c>
      <c r="D221" s="13" t="s">
        <v>23</v>
      </c>
      <c r="E221" s="197">
        <v>493401255.58999997</v>
      </c>
      <c r="F221" s="24">
        <f>(E221/$E$242)</f>
        <v>3.3567149673145061E-3</v>
      </c>
      <c r="G221" s="13" t="s">
        <v>23</v>
      </c>
      <c r="H221" s="104">
        <v>1.01</v>
      </c>
      <c r="I221" s="13" t="s">
        <v>23</v>
      </c>
      <c r="J221" s="104">
        <v>1.01</v>
      </c>
      <c r="K221" s="201">
        <v>67</v>
      </c>
      <c r="L221" s="196">
        <v>0.18970000000000001</v>
      </c>
      <c r="M221" s="196">
        <v>0.19370000000000001</v>
      </c>
      <c r="N221" s="13" t="s">
        <v>23</v>
      </c>
      <c r="O221" s="197">
        <v>478115636.43000001</v>
      </c>
      <c r="P221" s="24">
        <f t="shared" ref="P221:P235" si="175">(O221/$O$242)</f>
        <v>3.2395853048592499E-3</v>
      </c>
      <c r="Q221" s="13" t="s">
        <v>23</v>
      </c>
      <c r="R221" s="104">
        <v>1.01</v>
      </c>
      <c r="S221" s="13" t="s">
        <v>23</v>
      </c>
      <c r="T221" s="104">
        <v>1.01</v>
      </c>
      <c r="U221" s="201">
        <v>76</v>
      </c>
      <c r="V221" s="196">
        <v>0.2334</v>
      </c>
      <c r="W221" s="196">
        <v>0.2087</v>
      </c>
      <c r="X221" s="20">
        <f>((O221-E221)/E221)</f>
        <v>-3.0980097814549964E-2</v>
      </c>
      <c r="Y221" s="20">
        <f t="shared" ref="Y221:Z223" si="176">((T221-J221)/J221)</f>
        <v>0</v>
      </c>
      <c r="Z221" s="20">
        <f t="shared" si="176"/>
        <v>0.13432835820895522</v>
      </c>
      <c r="AA221" s="20">
        <f t="shared" ref="AA221:AB223" si="177">V221-L221</f>
        <v>4.3699999999999989E-2</v>
      </c>
      <c r="AB221" s="21">
        <f t="shared" si="177"/>
        <v>1.4999999999999986E-2</v>
      </c>
      <c r="AD221" s="103"/>
    </row>
    <row r="222" spans="1:30">
      <c r="A222" s="233">
        <v>190</v>
      </c>
      <c r="B222" s="232" t="s">
        <v>278</v>
      </c>
      <c r="C222" s="12" t="s">
        <v>27</v>
      </c>
      <c r="D222" s="13" t="s">
        <v>23</v>
      </c>
      <c r="E222" s="80">
        <v>1961090213.55</v>
      </c>
      <c r="F222" s="24">
        <f>(E222/$E$242)</f>
        <v>1.334171893058049E-2</v>
      </c>
      <c r="G222" s="13" t="s">
        <v>23</v>
      </c>
      <c r="H222" s="104">
        <v>1.231348179</v>
      </c>
      <c r="I222" s="13" t="s">
        <v>23</v>
      </c>
      <c r="J222" s="104">
        <v>1.231348179</v>
      </c>
      <c r="K222" s="25">
        <v>955</v>
      </c>
      <c r="L222" s="55">
        <v>0.13339999999999999</v>
      </c>
      <c r="M222" s="55">
        <v>0.40110000000000001</v>
      </c>
      <c r="N222" s="13" t="s">
        <v>23</v>
      </c>
      <c r="O222" s="80">
        <v>1874875714.21</v>
      </c>
      <c r="P222" s="24">
        <f t="shared" ref="P222" si="178">(O222/$O$242)</f>
        <v>1.2703662774019029E-2</v>
      </c>
      <c r="Q222" s="13" t="s">
        <v>23</v>
      </c>
      <c r="R222" s="104">
        <v>1.2343481789999999</v>
      </c>
      <c r="S222" s="13" t="s">
        <v>23</v>
      </c>
      <c r="T222" s="104">
        <v>1.2343481789999999</v>
      </c>
      <c r="U222" s="25">
        <v>968</v>
      </c>
      <c r="V222" s="55">
        <v>0.127</v>
      </c>
      <c r="W222" s="55">
        <v>0.1336</v>
      </c>
      <c r="X222" s="20">
        <f>((O222-E222)/E222)</f>
        <v>-4.3962536116037676E-2</v>
      </c>
      <c r="Y222" s="20">
        <f t="shared" si="176"/>
        <v>2.4363539502175943E-3</v>
      </c>
      <c r="Z222" s="20">
        <f t="shared" si="176"/>
        <v>1.3612565445026177E-2</v>
      </c>
      <c r="AA222" s="20">
        <f t="shared" si="177"/>
        <v>-6.399999999999989E-3</v>
      </c>
      <c r="AB222" s="21">
        <f t="shared" si="177"/>
        <v>-0.26750000000000002</v>
      </c>
      <c r="AD222" s="103"/>
    </row>
    <row r="223" spans="1:30" ht="15" customHeight="1">
      <c r="A223" s="233">
        <v>191</v>
      </c>
      <c r="B223" s="232" t="s">
        <v>279</v>
      </c>
      <c r="C223" s="12" t="s">
        <v>280</v>
      </c>
      <c r="D223" s="13" t="s">
        <v>23</v>
      </c>
      <c r="E223" s="80">
        <v>276340576.56</v>
      </c>
      <c r="F223" s="24">
        <f>(E223/$E$242)</f>
        <v>1.8800044363609686E-3</v>
      </c>
      <c r="G223" s="13" t="s">
        <v>23</v>
      </c>
      <c r="H223" s="104">
        <v>1162.33</v>
      </c>
      <c r="I223" s="13" t="s">
        <v>23</v>
      </c>
      <c r="J223" s="104">
        <v>1162.33</v>
      </c>
      <c r="K223" s="25">
        <v>15</v>
      </c>
      <c r="L223" s="55">
        <v>2.2000000000000001E-3</v>
      </c>
      <c r="M223" s="55">
        <v>9.2600000000000002E-2</v>
      </c>
      <c r="N223" s="13" t="s">
        <v>23</v>
      </c>
      <c r="O223" s="35">
        <v>276840142.55000001</v>
      </c>
      <c r="P223" s="24">
        <f t="shared" si="175"/>
        <v>1.8757957056094435E-3</v>
      </c>
      <c r="Q223" s="13" t="s">
        <v>23</v>
      </c>
      <c r="R223" s="101">
        <v>1164.43</v>
      </c>
      <c r="S223" s="13" t="s">
        <v>23</v>
      </c>
      <c r="T223" s="101">
        <v>1154.43</v>
      </c>
      <c r="U223" s="25">
        <v>15</v>
      </c>
      <c r="V223" s="26">
        <v>2.5000000000000001E-3</v>
      </c>
      <c r="W223" s="26">
        <v>9.4799999999999995E-2</v>
      </c>
      <c r="X223" s="20">
        <f>((O223-E223)/E223)</f>
        <v>1.807790937613326E-3</v>
      </c>
      <c r="Y223" s="20">
        <f t="shared" si="176"/>
        <v>-6.7966928497069368E-3</v>
      </c>
      <c r="Z223" s="20">
        <f t="shared" si="176"/>
        <v>0</v>
      </c>
      <c r="AA223" s="20">
        <f t="shared" si="177"/>
        <v>2.9999999999999992E-4</v>
      </c>
      <c r="AB223" s="21">
        <f t="shared" si="177"/>
        <v>2.1999999999999936E-3</v>
      </c>
      <c r="AD223" s="103"/>
    </row>
    <row r="224" spans="1:30">
      <c r="A224" s="233">
        <v>192</v>
      </c>
      <c r="B224" s="232" t="s">
        <v>281</v>
      </c>
      <c r="C224" s="12" t="s">
        <v>83</v>
      </c>
      <c r="D224" s="13" t="s">
        <v>23</v>
      </c>
      <c r="E224" s="80">
        <v>387819743.10000002</v>
      </c>
      <c r="F224" s="24">
        <f>(E224/$E$242)</f>
        <v>2.6384212069488315E-3</v>
      </c>
      <c r="G224" s="13" t="s">
        <v>23</v>
      </c>
      <c r="H224" s="104">
        <v>128.80000000000001</v>
      </c>
      <c r="I224" s="13" t="s">
        <v>23</v>
      </c>
      <c r="J224" s="104">
        <v>128.80000000000001</v>
      </c>
      <c r="K224" s="25">
        <v>91</v>
      </c>
      <c r="L224" s="55">
        <v>2.8E-3</v>
      </c>
      <c r="M224" s="55">
        <v>0.161</v>
      </c>
      <c r="N224" s="13" t="s">
        <v>23</v>
      </c>
      <c r="O224" s="80">
        <v>389124666.81</v>
      </c>
      <c r="P224" s="24">
        <f t="shared" si="175"/>
        <v>2.6366059929949399E-3</v>
      </c>
      <c r="Q224" s="13" t="s">
        <v>23</v>
      </c>
      <c r="R224" s="104">
        <v>129.18</v>
      </c>
      <c r="S224" s="13" t="s">
        <v>23</v>
      </c>
      <c r="T224" s="104">
        <v>129.18</v>
      </c>
      <c r="U224" s="25">
        <v>92</v>
      </c>
      <c r="V224" s="55">
        <v>3.0000000000000001E-3</v>
      </c>
      <c r="W224" s="55">
        <v>0.161</v>
      </c>
      <c r="X224" s="20">
        <f t="shared" ref="X224:X243" si="179">((O224-E224)/E224)</f>
        <v>3.3647686411454858E-3</v>
      </c>
      <c r="Y224" s="20">
        <f t="shared" ref="Y224:Y242" si="180">((T224-J224)/J224)</f>
        <v>2.9503105590061758E-3</v>
      </c>
      <c r="Z224" s="20">
        <f t="shared" ref="Z224:Z242" si="181">((U224-K224)/K224)</f>
        <v>1.098901098901099E-2</v>
      </c>
      <c r="AA224" s="20">
        <f t="shared" ref="AA224:AA242" si="182">V224-L224</f>
        <v>2.0000000000000009E-4</v>
      </c>
      <c r="AB224" s="21">
        <f t="shared" ref="AB224:AB242" si="183">W224-M224</f>
        <v>0</v>
      </c>
    </row>
    <row r="225" spans="1:32">
      <c r="A225" s="233">
        <v>193</v>
      </c>
      <c r="B225" s="232" t="s">
        <v>282</v>
      </c>
      <c r="C225" s="12" t="s">
        <v>283</v>
      </c>
      <c r="D225" s="13" t="s">
        <v>23</v>
      </c>
      <c r="E225" s="80">
        <v>55957164.808530137</v>
      </c>
      <c r="F225" s="24">
        <v>0</v>
      </c>
      <c r="G225" s="13" t="s">
        <v>23</v>
      </c>
      <c r="H225" s="104">
        <v>110.14</v>
      </c>
      <c r="I225" s="13" t="s">
        <v>23</v>
      </c>
      <c r="J225" s="104">
        <v>110.14</v>
      </c>
      <c r="K225" s="25">
        <v>11</v>
      </c>
      <c r="L225" s="55">
        <v>3.0999999999999999E-3</v>
      </c>
      <c r="M225" s="55">
        <v>0.1014</v>
      </c>
      <c r="N225" s="13" t="s">
        <v>23</v>
      </c>
      <c r="O225" s="35">
        <v>56669459.910273969</v>
      </c>
      <c r="P225" s="24">
        <f t="shared" si="175"/>
        <v>3.8397729664403553E-4</v>
      </c>
      <c r="Q225" s="13" t="s">
        <v>23</v>
      </c>
      <c r="R225" s="104">
        <v>110.43</v>
      </c>
      <c r="S225" s="13" t="s">
        <v>23</v>
      </c>
      <c r="T225" s="104">
        <v>110.43</v>
      </c>
      <c r="U225" s="25">
        <v>11</v>
      </c>
      <c r="V225" s="26">
        <v>2.8999999999999998E-3</v>
      </c>
      <c r="W225" s="26">
        <v>0.1043</v>
      </c>
      <c r="X225" s="20">
        <f t="shared" si="179"/>
        <v>1.272929220379746E-2</v>
      </c>
      <c r="Y225" s="20">
        <f t="shared" si="180"/>
        <v>2.6330125295079558E-3</v>
      </c>
      <c r="Z225" s="20">
        <f t="shared" si="181"/>
        <v>0</v>
      </c>
      <c r="AA225" s="20">
        <f t="shared" si="182"/>
        <v>-2.0000000000000009E-4</v>
      </c>
      <c r="AB225" s="21">
        <f t="shared" si="183"/>
        <v>2.8999999999999998E-3</v>
      </c>
    </row>
    <row r="226" spans="1:32">
      <c r="A226" s="233">
        <v>194</v>
      </c>
      <c r="B226" s="232" t="s">
        <v>284</v>
      </c>
      <c r="C226" s="12" t="s">
        <v>88</v>
      </c>
      <c r="D226" s="13" t="s">
        <v>23</v>
      </c>
      <c r="E226" s="54">
        <v>578950073.97000003</v>
      </c>
      <c r="F226" s="24">
        <f>(E226/$E$242)</f>
        <v>3.9387219967632501E-3</v>
      </c>
      <c r="G226" s="13" t="s">
        <v>23</v>
      </c>
      <c r="H226" s="104">
        <v>104.66</v>
      </c>
      <c r="I226" s="13" t="s">
        <v>23</v>
      </c>
      <c r="J226" s="104">
        <v>104.66</v>
      </c>
      <c r="K226" s="25">
        <v>20</v>
      </c>
      <c r="L226" s="55">
        <v>-8.0000000000000004E-4</v>
      </c>
      <c r="M226" s="55">
        <v>7.7899999999999997E-2</v>
      </c>
      <c r="N226" s="13" t="s">
        <v>23</v>
      </c>
      <c r="O226" s="54">
        <v>580552802.96000004</v>
      </c>
      <c r="P226" s="24">
        <f t="shared" si="175"/>
        <v>3.9336724964848975E-3</v>
      </c>
      <c r="Q226" s="13" t="s">
        <v>23</v>
      </c>
      <c r="R226" s="104">
        <v>104.95</v>
      </c>
      <c r="S226" s="13" t="s">
        <v>23</v>
      </c>
      <c r="T226" s="104">
        <v>104.95</v>
      </c>
      <c r="U226" s="25">
        <v>20</v>
      </c>
      <c r="V226" s="55">
        <v>2.5999999999999999E-3</v>
      </c>
      <c r="W226" s="55">
        <v>8.0500000000000002E-2</v>
      </c>
      <c r="X226" s="20">
        <f t="shared" si="179"/>
        <v>2.7683371365853898E-3</v>
      </c>
      <c r="Y226" s="20">
        <f t="shared" si="180"/>
        <v>2.7708771259316476E-3</v>
      </c>
      <c r="Z226" s="20">
        <f t="shared" si="181"/>
        <v>0</v>
      </c>
      <c r="AA226" s="20">
        <f t="shared" si="182"/>
        <v>3.3999999999999998E-3</v>
      </c>
      <c r="AB226" s="21">
        <f t="shared" si="183"/>
        <v>2.6000000000000051E-3</v>
      </c>
    </row>
    <row r="227" spans="1:32">
      <c r="A227" s="233">
        <v>195</v>
      </c>
      <c r="B227" s="232" t="s">
        <v>285</v>
      </c>
      <c r="C227" s="12" t="s">
        <v>91</v>
      </c>
      <c r="D227" s="13" t="s">
        <v>23</v>
      </c>
      <c r="E227" s="54">
        <v>366403046.27999997</v>
      </c>
      <c r="F227" s="24">
        <v>0</v>
      </c>
      <c r="G227" s="13" t="s">
        <v>23</v>
      </c>
      <c r="H227" s="104">
        <v>1.25536</v>
      </c>
      <c r="I227" s="13" t="s">
        <v>23</v>
      </c>
      <c r="J227" s="104">
        <v>1.25536</v>
      </c>
      <c r="K227" s="25">
        <v>60</v>
      </c>
      <c r="L227" s="55">
        <v>1.2769999999999999E-3</v>
      </c>
      <c r="M227" s="55">
        <v>0.1381</v>
      </c>
      <c r="N227" s="13" t="s">
        <v>23</v>
      </c>
      <c r="O227" s="53">
        <v>369498569.14999998</v>
      </c>
      <c r="P227" s="24">
        <f t="shared" si="175"/>
        <v>2.5036247375693453E-3</v>
      </c>
      <c r="Q227" s="13" t="s">
        <v>23</v>
      </c>
      <c r="R227" s="101">
        <v>1.25536</v>
      </c>
      <c r="S227" s="13" t="s">
        <v>23</v>
      </c>
      <c r="T227" s="104">
        <v>1.25536</v>
      </c>
      <c r="U227" s="25">
        <v>61</v>
      </c>
      <c r="V227" s="26">
        <v>1.91E-3</v>
      </c>
      <c r="W227" s="26">
        <v>0.13819999999999999</v>
      </c>
      <c r="X227" s="20">
        <f t="shared" ref="X227:X228" si="184">((O227-E227)/E227)</f>
        <v>8.4484092079148559E-3</v>
      </c>
      <c r="Y227" s="20">
        <f t="shared" ref="Y227:Y228" si="185">((T227-J227)/J227)</f>
        <v>0</v>
      </c>
      <c r="Z227" s="20">
        <f t="shared" ref="Z227" si="186">((U227-K227)/K227)</f>
        <v>1.6666666666666666E-2</v>
      </c>
      <c r="AA227" s="20">
        <f t="shared" ref="AA227" si="187">V227-L227</f>
        <v>6.330000000000001E-4</v>
      </c>
      <c r="AB227" s="21">
        <f t="shared" ref="AB227" si="188">W227-M227</f>
        <v>9.9999999999988987E-5</v>
      </c>
    </row>
    <row r="228" spans="1:32">
      <c r="A228" s="233">
        <v>196</v>
      </c>
      <c r="B228" s="232" t="s">
        <v>286</v>
      </c>
      <c r="C228" s="12" t="s">
        <v>39</v>
      </c>
      <c r="D228" s="13" t="s">
        <v>23</v>
      </c>
      <c r="E228" s="80">
        <v>6391469313.75</v>
      </c>
      <c r="F228" s="24">
        <f t="shared" ref="F228:F235" si="189">(E228/$E$242)</f>
        <v>4.3482541776147896E-2</v>
      </c>
      <c r="G228" s="13" t="s">
        <v>23</v>
      </c>
      <c r="H228" s="104">
        <v>154.93</v>
      </c>
      <c r="I228" s="13" t="s">
        <v>23</v>
      </c>
      <c r="J228" s="104">
        <v>154.93</v>
      </c>
      <c r="K228" s="25">
        <v>1050</v>
      </c>
      <c r="L228" s="55">
        <v>-2.5999999999999999E-3</v>
      </c>
      <c r="M228" s="55">
        <v>8.8800000000000004E-2</v>
      </c>
      <c r="N228" s="13" t="s">
        <v>23</v>
      </c>
      <c r="O228" s="80">
        <v>6355430581.9399996</v>
      </c>
      <c r="P228" s="24">
        <f t="shared" si="175"/>
        <v>4.3062719456405572E-2</v>
      </c>
      <c r="Q228" s="13" t="s">
        <v>23</v>
      </c>
      <c r="R228" s="104">
        <v>155.33000000000001</v>
      </c>
      <c r="S228" s="13" t="s">
        <v>23</v>
      </c>
      <c r="T228" s="104">
        <v>155.33000000000001</v>
      </c>
      <c r="U228" s="25">
        <v>1117</v>
      </c>
      <c r="V228" s="55">
        <v>-2.5999999999999999E-3</v>
      </c>
      <c r="W228" s="55">
        <v>9.1600000000000001E-2</v>
      </c>
      <c r="X228" s="20">
        <f t="shared" si="184"/>
        <v>-5.6385676033005611E-3</v>
      </c>
      <c r="Y228" s="20">
        <f t="shared" si="185"/>
        <v>2.5818111405151081E-3</v>
      </c>
      <c r="Z228" s="20">
        <f t="shared" si="181"/>
        <v>6.3809523809523816E-2</v>
      </c>
      <c r="AA228" s="20">
        <f t="shared" si="182"/>
        <v>0</v>
      </c>
      <c r="AB228" s="21">
        <f t="shared" si="183"/>
        <v>2.7999999999999969E-3</v>
      </c>
    </row>
    <row r="229" spans="1:32">
      <c r="A229" s="233">
        <v>197</v>
      </c>
      <c r="B229" s="232" t="s">
        <v>287</v>
      </c>
      <c r="C229" s="12" t="s">
        <v>81</v>
      </c>
      <c r="D229" s="13" t="s">
        <v>23</v>
      </c>
      <c r="E229" s="80">
        <v>1063069908.91567</v>
      </c>
      <c r="F229" s="24">
        <f t="shared" si="189"/>
        <v>7.2322934612151423E-3</v>
      </c>
      <c r="G229" s="13" t="s">
        <v>23</v>
      </c>
      <c r="H229" s="34">
        <v>1432.5282913206499</v>
      </c>
      <c r="I229" s="13" t="s">
        <v>23</v>
      </c>
      <c r="J229" s="34">
        <v>1432.5282913206499</v>
      </c>
      <c r="K229" s="25">
        <v>330</v>
      </c>
      <c r="L229" s="55">
        <v>0.12566867915245489</v>
      </c>
      <c r="M229" s="55">
        <v>0.1273104878574918</v>
      </c>
      <c r="N229" s="13" t="s">
        <v>23</v>
      </c>
      <c r="O229" s="35">
        <v>1063793376.44277</v>
      </c>
      <c r="P229" s="24">
        <f t="shared" si="175"/>
        <v>7.2079830215616902E-3</v>
      </c>
      <c r="Q229" s="13" t="s">
        <v>23</v>
      </c>
      <c r="R229" s="34">
        <v>1435.9572762637799</v>
      </c>
      <c r="S229" s="13" t="s">
        <v>23</v>
      </c>
      <c r="T229" s="34">
        <v>1435.9572762637799</v>
      </c>
      <c r="U229" s="25">
        <v>333</v>
      </c>
      <c r="V229" s="26">
        <v>0.12481224497828373</v>
      </c>
      <c r="W229" s="26">
        <v>0.12753347220753086</v>
      </c>
      <c r="X229" s="20">
        <f t="shared" si="179"/>
        <v>6.8054557939458847E-4</v>
      </c>
      <c r="Y229" s="20">
        <f t="shared" si="180"/>
        <v>2.3936594927342087E-3</v>
      </c>
      <c r="Z229" s="20">
        <f t="shared" si="181"/>
        <v>9.0909090909090905E-3</v>
      </c>
      <c r="AA229" s="20">
        <f t="shared" si="182"/>
        <v>-8.5643417417115286E-4</v>
      </c>
      <c r="AB229" s="21">
        <f t="shared" si="183"/>
        <v>2.229843500390627E-4</v>
      </c>
    </row>
    <row r="230" spans="1:32">
      <c r="A230" s="233">
        <v>198</v>
      </c>
      <c r="B230" s="252" t="s">
        <v>352</v>
      </c>
      <c r="C230" s="12" t="s">
        <v>276</v>
      </c>
      <c r="D230" s="13" t="s">
        <v>23</v>
      </c>
      <c r="E230" s="80">
        <v>52805448346.779991</v>
      </c>
      <c r="F230" s="24">
        <f t="shared" si="189"/>
        <v>0.35924683371434435</v>
      </c>
      <c r="G230" s="13" t="s">
        <v>23</v>
      </c>
      <c r="H230" s="34">
        <v>1311.3222000000001</v>
      </c>
      <c r="I230" s="13" t="s">
        <v>23</v>
      </c>
      <c r="J230" s="34">
        <v>1311.3222000000001</v>
      </c>
      <c r="K230" s="25">
        <v>14429</v>
      </c>
      <c r="L230" s="55">
        <v>3.835070385919969E-3</v>
      </c>
      <c r="M230" s="55">
        <v>0.1006394160583941</v>
      </c>
      <c r="N230" s="13" t="s">
        <v>23</v>
      </c>
      <c r="O230" s="35">
        <v>53353838271.389992</v>
      </c>
      <c r="P230" s="24">
        <f t="shared" si="175"/>
        <v>0.36151151991687241</v>
      </c>
      <c r="Q230" s="13" t="s">
        <v>23</v>
      </c>
      <c r="R230" s="34">
        <v>1317.7022999999999</v>
      </c>
      <c r="S230" s="13" t="s">
        <v>23</v>
      </c>
      <c r="T230" s="34">
        <v>1317.7022999999999</v>
      </c>
      <c r="U230" s="25">
        <v>14533</v>
      </c>
      <c r="V230" s="26">
        <v>1.2959757956858475E-3</v>
      </c>
      <c r="W230" s="26">
        <v>0.10554152900499407</v>
      </c>
      <c r="X230" s="20">
        <f t="shared" si="179"/>
        <v>1.0385101192752978E-2</v>
      </c>
      <c r="Y230" s="20">
        <f t="shared" si="180"/>
        <v>4.8653946375649378E-3</v>
      </c>
      <c r="Z230" s="20">
        <f t="shared" si="181"/>
        <v>7.2077067017811353E-3</v>
      </c>
      <c r="AA230" s="20">
        <f t="shared" si="182"/>
        <v>-2.5390945902341215E-3</v>
      </c>
      <c r="AB230" s="21">
        <f t="shared" si="183"/>
        <v>4.9021129465999652E-3</v>
      </c>
    </row>
    <row r="231" spans="1:32">
      <c r="A231" s="233">
        <v>199</v>
      </c>
      <c r="B231" s="232" t="s">
        <v>288</v>
      </c>
      <c r="C231" s="12" t="s">
        <v>289</v>
      </c>
      <c r="D231" s="13" t="s">
        <v>23</v>
      </c>
      <c r="E231" s="193">
        <v>586076187.76156425</v>
      </c>
      <c r="F231" s="24">
        <f t="shared" si="189"/>
        <v>3.9872024830853343E-3</v>
      </c>
      <c r="G231" s="13" t="s">
        <v>23</v>
      </c>
      <c r="H231" s="102">
        <v>141.80000000000001</v>
      </c>
      <c r="I231" s="13" t="s">
        <v>23</v>
      </c>
      <c r="J231" s="102">
        <v>141.80000000000001</v>
      </c>
      <c r="K231" s="60">
        <v>144</v>
      </c>
      <c r="L231" s="55">
        <v>2.5000000000000001E-3</v>
      </c>
      <c r="M231" s="55">
        <v>0.16589999999999999</v>
      </c>
      <c r="N231" s="13" t="s">
        <v>23</v>
      </c>
      <c r="O231" s="193">
        <v>587480527.08038831</v>
      </c>
      <c r="P231" s="24">
        <f t="shared" si="175"/>
        <v>3.9806129258423356E-3</v>
      </c>
      <c r="Q231" s="13" t="s">
        <v>23</v>
      </c>
      <c r="R231" s="102">
        <v>141.99</v>
      </c>
      <c r="S231" s="13" t="s">
        <v>23</v>
      </c>
      <c r="T231" s="102">
        <v>142.46</v>
      </c>
      <c r="U231" s="60">
        <v>144</v>
      </c>
      <c r="V231" s="55">
        <v>1.6000000000000001E-3</v>
      </c>
      <c r="W231" s="55">
        <v>0.1678</v>
      </c>
      <c r="X231" s="20">
        <f>((O231-E231)/E231)</f>
        <v>2.3961719451317922E-3</v>
      </c>
      <c r="Y231" s="20">
        <f t="shared" si="180"/>
        <v>4.6544428772919361E-3</v>
      </c>
      <c r="Z231" s="20">
        <f t="shared" si="181"/>
        <v>0</v>
      </c>
      <c r="AA231" s="20">
        <f t="shared" si="182"/>
        <v>-8.9999999999999998E-4</v>
      </c>
      <c r="AB231" s="21">
        <f t="shared" si="183"/>
        <v>1.9000000000000128E-3</v>
      </c>
    </row>
    <row r="232" spans="1:32">
      <c r="A232" s="233">
        <v>200</v>
      </c>
      <c r="B232" s="232" t="s">
        <v>290</v>
      </c>
      <c r="C232" s="12" t="s">
        <v>289</v>
      </c>
      <c r="D232" s="13" t="s">
        <v>23</v>
      </c>
      <c r="E232" s="193">
        <v>1245522466.2201874</v>
      </c>
      <c r="F232" s="24">
        <f t="shared" si="189"/>
        <v>8.4735574892049696E-3</v>
      </c>
      <c r="G232" s="13" t="s">
        <v>23</v>
      </c>
      <c r="H232" s="102">
        <v>156.04</v>
      </c>
      <c r="I232" s="13" t="s">
        <v>23</v>
      </c>
      <c r="J232" s="102">
        <v>156.04</v>
      </c>
      <c r="K232" s="60">
        <v>157</v>
      </c>
      <c r="L232" s="55">
        <v>4.8999999999999998E-3</v>
      </c>
      <c r="M232" s="55">
        <v>0.15060000000000001</v>
      </c>
      <c r="N232" s="13" t="s">
        <v>23</v>
      </c>
      <c r="O232" s="193">
        <v>1318217101.5300663</v>
      </c>
      <c r="P232" s="24">
        <f t="shared" si="175"/>
        <v>8.9318910015531126E-3</v>
      </c>
      <c r="Q232" s="13" t="s">
        <v>23</v>
      </c>
      <c r="R232" s="102">
        <v>156.71</v>
      </c>
      <c r="S232" s="13" t="s">
        <v>23</v>
      </c>
      <c r="T232" s="102">
        <v>156.71</v>
      </c>
      <c r="U232" s="60">
        <v>160</v>
      </c>
      <c r="V232" s="55">
        <v>4.3E-3</v>
      </c>
      <c r="W232" s="55">
        <v>0.1555</v>
      </c>
      <c r="X232" s="20">
        <f t="shared" si="179"/>
        <v>5.8364772440024089E-2</v>
      </c>
      <c r="Y232" s="20">
        <f t="shared" si="180"/>
        <v>4.2937708279929248E-3</v>
      </c>
      <c r="Z232" s="20">
        <f t="shared" si="181"/>
        <v>1.9108280254777069E-2</v>
      </c>
      <c r="AA232" s="20">
        <f t="shared" si="182"/>
        <v>-5.9999999999999984E-4</v>
      </c>
      <c r="AB232" s="21">
        <f t="shared" si="183"/>
        <v>4.8999999999999877E-3</v>
      </c>
    </row>
    <row r="233" spans="1:32" ht="13.5" customHeight="1">
      <c r="A233" s="233">
        <v>201</v>
      </c>
      <c r="B233" s="232" t="s">
        <v>291</v>
      </c>
      <c r="C233" s="12" t="s">
        <v>114</v>
      </c>
      <c r="D233" s="13" t="s">
        <v>23</v>
      </c>
      <c r="E233" s="80">
        <v>4907476620</v>
      </c>
      <c r="F233" s="24">
        <f t="shared" si="189"/>
        <v>3.3386619988232294E-2</v>
      </c>
      <c r="G233" s="13" t="s">
        <v>23</v>
      </c>
      <c r="H233" s="66">
        <v>108.02</v>
      </c>
      <c r="I233" s="13" t="s">
        <v>23</v>
      </c>
      <c r="J233" s="66">
        <v>108.02</v>
      </c>
      <c r="K233" s="25">
        <v>1110</v>
      </c>
      <c r="L233" s="55">
        <v>3.0000000000000001E-3</v>
      </c>
      <c r="M233" s="55">
        <v>0.18140000000000001</v>
      </c>
      <c r="N233" s="13" t="s">
        <v>23</v>
      </c>
      <c r="O233" s="80">
        <v>5375631059</v>
      </c>
      <c r="P233" s="24">
        <f t="shared" si="175"/>
        <v>3.6423856607398442E-2</v>
      </c>
      <c r="Q233" s="13" t="s">
        <v>23</v>
      </c>
      <c r="R233" s="66">
        <v>108.39</v>
      </c>
      <c r="S233" s="13" t="s">
        <v>23</v>
      </c>
      <c r="T233" s="66">
        <v>108.39</v>
      </c>
      <c r="U233" s="25">
        <v>1127</v>
      </c>
      <c r="V233" s="55">
        <v>3.3999999999999998E-3</v>
      </c>
      <c r="W233" s="55">
        <v>0.18160000000000001</v>
      </c>
      <c r="X233" s="20">
        <f t="shared" si="179"/>
        <v>9.5396162885845806E-2</v>
      </c>
      <c r="Y233" s="20">
        <f t="shared" si="180"/>
        <v>3.4252916126643637E-3</v>
      </c>
      <c r="Z233" s="20">
        <f t="shared" si="181"/>
        <v>1.5315315315315315E-2</v>
      </c>
      <c r="AA233" s="20">
        <f t="shared" si="182"/>
        <v>3.9999999999999975E-4</v>
      </c>
      <c r="AB233" s="21">
        <f t="shared" si="183"/>
        <v>2.0000000000000573E-4</v>
      </c>
    </row>
    <row r="234" spans="1:32" ht="15.75" customHeight="1">
      <c r="A234" s="233">
        <v>202</v>
      </c>
      <c r="B234" s="232" t="s">
        <v>292</v>
      </c>
      <c r="C234" s="192" t="s">
        <v>55</v>
      </c>
      <c r="D234" s="13" t="s">
        <v>23</v>
      </c>
      <c r="E234" s="80">
        <v>2909827594.9699998</v>
      </c>
      <c r="F234" s="24">
        <f t="shared" si="189"/>
        <v>1.9796183592319445E-2</v>
      </c>
      <c r="G234" s="13" t="s">
        <v>23</v>
      </c>
      <c r="H234" s="66">
        <v>159.28</v>
      </c>
      <c r="I234" s="13" t="s">
        <v>23</v>
      </c>
      <c r="J234" s="66">
        <v>159.28</v>
      </c>
      <c r="K234" s="25">
        <v>4060</v>
      </c>
      <c r="L234" s="55">
        <v>6.6995322968019296E-3</v>
      </c>
      <c r="M234" s="55">
        <v>0.16120000000000001</v>
      </c>
      <c r="N234" s="13" t="s">
        <v>23</v>
      </c>
      <c r="O234" s="80">
        <v>2982143456.2199998</v>
      </c>
      <c r="P234" s="24">
        <f t="shared" si="175"/>
        <v>2.020621661715287E-2</v>
      </c>
      <c r="Q234" s="13" t="s">
        <v>23</v>
      </c>
      <c r="R234" s="66">
        <v>159.62</v>
      </c>
      <c r="S234" s="13" t="s">
        <v>23</v>
      </c>
      <c r="T234" s="66">
        <v>159.62</v>
      </c>
      <c r="U234" s="25">
        <v>4162</v>
      </c>
      <c r="V234" s="55">
        <v>2.1346057257659598E-3</v>
      </c>
      <c r="W234" s="55">
        <v>0.16009999999999999</v>
      </c>
      <c r="X234" s="20">
        <f t="shared" si="179"/>
        <v>2.4852283817435435E-2</v>
      </c>
      <c r="Y234" s="20">
        <f t="shared" si="180"/>
        <v>2.1346057257659681E-3</v>
      </c>
      <c r="Z234" s="20">
        <f t="shared" si="181"/>
        <v>2.5123152709359605E-2</v>
      </c>
      <c r="AA234" s="20">
        <f t="shared" si="182"/>
        <v>-4.5649265710359698E-3</v>
      </c>
      <c r="AB234" s="21">
        <f t="shared" si="183"/>
        <v>-1.1000000000000176E-3</v>
      </c>
    </row>
    <row r="235" spans="1:32">
      <c r="A235" s="233">
        <v>203</v>
      </c>
      <c r="B235" s="232" t="s">
        <v>293</v>
      </c>
      <c r="C235" s="12" t="s">
        <v>58</v>
      </c>
      <c r="D235" s="13" t="s">
        <v>23</v>
      </c>
      <c r="E235" s="80">
        <v>4157941516.3299999</v>
      </c>
      <c r="F235" s="24">
        <f t="shared" si="189"/>
        <v>2.828737130876113E-2</v>
      </c>
      <c r="G235" s="13" t="s">
        <v>23</v>
      </c>
      <c r="H235" s="66">
        <v>1.1752100000000001</v>
      </c>
      <c r="I235" s="13" t="s">
        <v>23</v>
      </c>
      <c r="J235" s="66">
        <v>1.1752100000000001</v>
      </c>
      <c r="K235" s="25">
        <v>2459</v>
      </c>
      <c r="L235" s="55">
        <v>2.2000000000000001E-3</v>
      </c>
      <c r="M235" s="55">
        <v>0.1229</v>
      </c>
      <c r="N235" s="13" t="s">
        <v>23</v>
      </c>
      <c r="O235" s="80">
        <v>4149964147.6599998</v>
      </c>
      <c r="P235" s="24">
        <f t="shared" si="175"/>
        <v>2.8119061256471609E-2</v>
      </c>
      <c r="Q235" s="13" t="s">
        <v>23</v>
      </c>
      <c r="R235" s="66">
        <v>1.1777899999999999</v>
      </c>
      <c r="S235" s="13" t="s">
        <v>23</v>
      </c>
      <c r="T235" s="66">
        <v>1.1777899999999999</v>
      </c>
      <c r="U235" s="25">
        <v>2465</v>
      </c>
      <c r="V235" s="55">
        <v>2.2000000000000001E-3</v>
      </c>
      <c r="W235" s="55">
        <v>0.1234</v>
      </c>
      <c r="X235" s="20">
        <f t="shared" si="179"/>
        <v>-1.9185860692531548E-3</v>
      </c>
      <c r="Y235" s="20">
        <f t="shared" si="180"/>
        <v>2.1953523200107252E-3</v>
      </c>
      <c r="Z235" s="20">
        <f t="shared" si="181"/>
        <v>2.4400162667751117E-3</v>
      </c>
      <c r="AA235" s="20">
        <f t="shared" si="182"/>
        <v>0</v>
      </c>
      <c r="AB235" s="21">
        <f t="shared" si="183"/>
        <v>5.0000000000000044E-4</v>
      </c>
    </row>
    <row r="236" spans="1:32" ht="4.95" customHeight="1">
      <c r="B236" s="239"/>
      <c r="C236" s="239"/>
      <c r="D236" s="239"/>
      <c r="E236" s="239"/>
      <c r="F236" s="239"/>
      <c r="G236" s="239"/>
      <c r="H236" s="239"/>
      <c r="I236" s="239"/>
      <c r="J236" s="239"/>
      <c r="K236" s="239"/>
      <c r="L236" s="239"/>
      <c r="M236" s="239"/>
      <c r="N236" s="239"/>
      <c r="O236" s="239"/>
      <c r="P236" s="239"/>
      <c r="Q236" s="239"/>
      <c r="R236" s="239"/>
      <c r="S236" s="239"/>
      <c r="T236" s="239"/>
      <c r="U236" s="239"/>
      <c r="V236" s="239"/>
      <c r="W236" s="239"/>
      <c r="X236" s="239"/>
      <c r="Y236" s="239"/>
      <c r="Z236" s="239"/>
      <c r="AA236" s="239"/>
      <c r="AB236" s="239"/>
    </row>
    <row r="237" spans="1:32">
      <c r="A237" s="73"/>
      <c r="B237" s="240" t="s">
        <v>294</v>
      </c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</row>
    <row r="238" spans="1:32">
      <c r="A238" s="233">
        <v>204</v>
      </c>
      <c r="B238" s="232" t="s">
        <v>295</v>
      </c>
      <c r="C238" s="12" t="s">
        <v>22</v>
      </c>
      <c r="D238" s="13" t="s">
        <v>23</v>
      </c>
      <c r="E238" s="100">
        <v>655468428.98000002</v>
      </c>
      <c r="F238" s="24">
        <f>(E238/$E$213)</f>
        <v>3.4117996283014811E-2</v>
      </c>
      <c r="G238" s="13" t="s">
        <v>23</v>
      </c>
      <c r="H238" s="104">
        <v>118.3254</v>
      </c>
      <c r="I238" s="13" t="s">
        <v>23</v>
      </c>
      <c r="J238" s="104">
        <v>118.3254</v>
      </c>
      <c r="K238" s="18">
        <v>105</v>
      </c>
      <c r="L238" s="19">
        <v>-3.0999999999999999E-3</v>
      </c>
      <c r="M238" s="19">
        <v>0.12820000000000001</v>
      </c>
      <c r="N238" s="13" t="s">
        <v>23</v>
      </c>
      <c r="O238" s="100">
        <v>655965335.32000005</v>
      </c>
      <c r="P238" s="24">
        <f t="shared" ref="P238:P240" si="190">(O238/$O$242)</f>
        <v>4.4446479028946544E-3</v>
      </c>
      <c r="Q238" s="13" t="s">
        <v>23</v>
      </c>
      <c r="R238" s="104">
        <v>118.47709999999999</v>
      </c>
      <c r="S238" s="13" t="s">
        <v>23</v>
      </c>
      <c r="T238" s="104">
        <v>118.47709999999999</v>
      </c>
      <c r="U238" s="16">
        <v>105</v>
      </c>
      <c r="V238" s="19">
        <v>1.2999999999999999E-3</v>
      </c>
      <c r="W238" s="19">
        <v>0.12959999999999999</v>
      </c>
      <c r="X238" s="20">
        <f>((O238-E238)/E238)</f>
        <v>7.5809347640631408E-4</v>
      </c>
      <c r="Y238" s="20">
        <f t="shared" ref="Y238" si="191">((T238-J238)/J238)</f>
        <v>1.2820577830287584E-3</v>
      </c>
      <c r="Z238" s="20">
        <f t="shared" ref="Z238" si="192">((U238-K238)/K238)</f>
        <v>0</v>
      </c>
      <c r="AA238" s="20">
        <f t="shared" ref="AA238" si="193">V238-L238</f>
        <v>4.3999999999999994E-3</v>
      </c>
      <c r="AB238" s="21">
        <f t="shared" ref="AB238" si="194">W238-M238</f>
        <v>1.3999999999999846E-3</v>
      </c>
      <c r="AD238" s="105"/>
      <c r="AE238" s="106"/>
    </row>
    <row r="239" spans="1:32">
      <c r="A239" s="233">
        <v>205</v>
      </c>
      <c r="B239" s="232" t="s">
        <v>296</v>
      </c>
      <c r="C239" s="12" t="s">
        <v>27</v>
      </c>
      <c r="D239" s="13" t="s">
        <v>23</v>
      </c>
      <c r="E239" s="100">
        <v>17128913819.35</v>
      </c>
      <c r="F239" s="24">
        <f>(E239/$E$213)</f>
        <v>0.89158255711885093</v>
      </c>
      <c r="G239" s="13" t="s">
        <v>23</v>
      </c>
      <c r="H239" s="104">
        <v>144.95910000000001</v>
      </c>
      <c r="I239" s="13" t="s">
        <v>23</v>
      </c>
      <c r="J239" s="104">
        <v>149.31501890000001</v>
      </c>
      <c r="K239" s="18">
        <v>8331</v>
      </c>
      <c r="L239" s="19">
        <v>0.6139</v>
      </c>
      <c r="M239" s="19">
        <v>-0.48980000000000001</v>
      </c>
      <c r="N239" s="13" t="s">
        <v>23</v>
      </c>
      <c r="O239" s="100">
        <v>16857952316.01</v>
      </c>
      <c r="P239" s="24">
        <f t="shared" si="190"/>
        <v>0.11422503351019291</v>
      </c>
      <c r="Q239" s="13" t="s">
        <v>23</v>
      </c>
      <c r="R239" s="104">
        <v>144.9091</v>
      </c>
      <c r="S239" s="13" t="s">
        <v>23</v>
      </c>
      <c r="T239" s="104">
        <v>149.2634189</v>
      </c>
      <c r="U239" s="18">
        <v>8343</v>
      </c>
      <c r="V239" s="19">
        <v>-1.7999999999999999E-2</v>
      </c>
      <c r="W239" s="19">
        <v>0.59530000000000005</v>
      </c>
      <c r="X239" s="20">
        <f>((O239-E239)/E239)</f>
        <v>-1.5818954207937188E-2</v>
      </c>
      <c r="Y239" s="20">
        <f t="shared" ref="Y239" si="195">((T239-J239)/J239)</f>
        <v>-3.455780964309119E-4</v>
      </c>
      <c r="Z239" s="20">
        <f t="shared" ref="Z239" si="196">((U239-K239)/K239)</f>
        <v>1.4404033129276198E-3</v>
      </c>
      <c r="AA239" s="20">
        <f t="shared" ref="AA239" si="197">V239-L239</f>
        <v>-0.63190000000000002</v>
      </c>
      <c r="AB239" s="21">
        <f t="shared" ref="AB239" si="198">W239-M239</f>
        <v>1.0851000000000002</v>
      </c>
      <c r="AC239" s="30"/>
      <c r="AD239" s="30"/>
      <c r="AE239" s="30"/>
      <c r="AF239" s="9"/>
    </row>
    <row r="240" spans="1:32">
      <c r="A240" s="233">
        <v>206</v>
      </c>
      <c r="B240" s="232" t="s">
        <v>297</v>
      </c>
      <c r="C240" s="12" t="s">
        <v>276</v>
      </c>
      <c r="D240" s="13" t="s">
        <v>23</v>
      </c>
      <c r="E240" s="80">
        <v>406852637.01999998</v>
      </c>
      <c r="F240" s="24">
        <f t="shared" ref="F240" si="199">(E240/$E$242)</f>
        <v>2.7679060819238194E-3</v>
      </c>
      <c r="G240" s="13" t="s">
        <v>23</v>
      </c>
      <c r="H240" s="34">
        <v>1562.2823705804226</v>
      </c>
      <c r="I240" s="13" t="s">
        <v>23</v>
      </c>
      <c r="J240" s="34">
        <v>1562.2823705804226</v>
      </c>
      <c r="K240" s="25">
        <v>284</v>
      </c>
      <c r="L240" s="55">
        <v>-1.9768646150499201E-2</v>
      </c>
      <c r="M240" s="55">
        <v>0.25178166274031966</v>
      </c>
      <c r="N240" s="13" t="s">
        <v>23</v>
      </c>
      <c r="O240" s="35">
        <v>409774507.46999997</v>
      </c>
      <c r="P240" s="24">
        <f t="shared" si="190"/>
        <v>2.7765238606667188E-3</v>
      </c>
      <c r="Q240" s="13" t="s">
        <v>23</v>
      </c>
      <c r="R240" s="34">
        <v>1573.5021250512052</v>
      </c>
      <c r="S240" s="13" t="s">
        <v>23</v>
      </c>
      <c r="T240" s="34">
        <v>1573.5021250512052</v>
      </c>
      <c r="U240" s="25">
        <v>287</v>
      </c>
      <c r="V240" s="26">
        <v>9.5239551908791152E-3</v>
      </c>
      <c r="W240" s="26">
        <v>0.26077151193240677</v>
      </c>
      <c r="X240" s="20">
        <f t="shared" ref="X240" si="200">((O240-E240)/E240)</f>
        <v>7.1816431408710654E-3</v>
      </c>
      <c r="Y240" s="20">
        <f t="shared" ref="Y240" si="201">((T240-J240)/J240)</f>
        <v>7.1816431408710264E-3</v>
      </c>
      <c r="Z240" s="20">
        <f t="shared" ref="Z240" si="202">((U240-K240)/K240)</f>
        <v>1.0563380281690141E-2</v>
      </c>
      <c r="AA240" s="20">
        <f t="shared" ref="AA240" si="203">V240-L240</f>
        <v>2.9292601341378316E-2</v>
      </c>
      <c r="AB240" s="21">
        <f t="shared" ref="AB240" si="204">W240-M240</f>
        <v>8.9898491920871182E-3</v>
      </c>
      <c r="AD240" s="107"/>
    </row>
    <row r="241" spans="1:33">
      <c r="A241" s="233">
        <v>207</v>
      </c>
      <c r="B241" s="232" t="s">
        <v>298</v>
      </c>
      <c r="C241" s="192" t="s">
        <v>299</v>
      </c>
      <c r="D241" s="13" t="s">
        <v>23</v>
      </c>
      <c r="E241" s="80">
        <v>219007468.91</v>
      </c>
      <c r="F241" s="24">
        <f t="shared" ref="F241" si="205">(E241/$E$242)</f>
        <v>1.4899549616362244E-3</v>
      </c>
      <c r="G241" s="13" t="s">
        <v>23</v>
      </c>
      <c r="H241" s="34">
        <v>140.18</v>
      </c>
      <c r="I241" s="13" t="s">
        <v>23</v>
      </c>
      <c r="J241" s="34">
        <v>143.07</v>
      </c>
      <c r="K241" s="25">
        <v>357</v>
      </c>
      <c r="L241" s="55">
        <v>1.37E-2</v>
      </c>
      <c r="M241" s="55">
        <v>0.2382</v>
      </c>
      <c r="N241" s="13" t="s">
        <v>23</v>
      </c>
      <c r="O241" s="35">
        <v>221771653.22</v>
      </c>
      <c r="P241" s="24">
        <f t="shared" ref="P241" si="206">(O241/$O$242)</f>
        <v>1.5026661628771895E-3</v>
      </c>
      <c r="Q241" s="13" t="s">
        <v>23</v>
      </c>
      <c r="R241" s="34">
        <v>140.34</v>
      </c>
      <c r="S241" s="13" t="s">
        <v>23</v>
      </c>
      <c r="T241" s="34">
        <v>143.22999999999999</v>
      </c>
      <c r="U241" s="25">
        <v>359</v>
      </c>
      <c r="V241" s="26">
        <v>1.1000000000000001E-3</v>
      </c>
      <c r="W241" s="26">
        <v>0.23830000000000001</v>
      </c>
      <c r="X241" s="20">
        <f t="shared" ref="X241" si="207">((O241-E241)/E241)</f>
        <v>1.2621415715899306E-2</v>
      </c>
      <c r="Y241" s="20">
        <f t="shared" ref="Y241" si="208">((T241-J241)/J241)</f>
        <v>1.1183336828125853E-3</v>
      </c>
      <c r="Z241" s="20">
        <f t="shared" ref="Z241" si="209">((U241-K241)/K241)</f>
        <v>5.6022408963585435E-3</v>
      </c>
      <c r="AA241" s="20">
        <f t="shared" ref="AA241" si="210">V241-L241</f>
        <v>-1.26E-2</v>
      </c>
      <c r="AB241" s="21">
        <f t="shared" ref="AB241" si="211">W241-M241</f>
        <v>1.0000000000001674E-4</v>
      </c>
    </row>
    <row r="242" spans="1:33">
      <c r="A242" s="108"/>
      <c r="B242" s="93"/>
      <c r="C242" s="89" t="s">
        <v>63</v>
      </c>
      <c r="D242" s="45" t="s">
        <v>23</v>
      </c>
      <c r="E242" s="64">
        <f>SUM(E217:E241)</f>
        <v>146989321522.50595</v>
      </c>
      <c r="F242" s="47">
        <f>(E242/$E$243)</f>
        <v>1.5495772635290225E-2</v>
      </c>
      <c r="G242" s="45" t="s">
        <v>23</v>
      </c>
      <c r="H242" s="48"/>
      <c r="I242" s="45" t="s">
        <v>23</v>
      </c>
      <c r="J242" s="94"/>
      <c r="K242" s="109">
        <f>SUM(K217:K241)</f>
        <v>63025</v>
      </c>
      <c r="L242" s="95"/>
      <c r="M242" s="95"/>
      <c r="N242" s="13" t="s">
        <v>23</v>
      </c>
      <c r="O242" s="64">
        <f>SUM(O217:O241)</f>
        <v>147585444258.20349</v>
      </c>
      <c r="P242" s="47">
        <f>(O242/$O$243)</f>
        <v>1.5540845307369284E-2</v>
      </c>
      <c r="Q242" s="13" t="s">
        <v>23</v>
      </c>
      <c r="R242" s="48"/>
      <c r="S242" s="13" t="s">
        <v>23</v>
      </c>
      <c r="T242" s="94"/>
      <c r="U242" s="50">
        <f>SUM(U217:U241)</f>
        <v>63558</v>
      </c>
      <c r="V242" s="95"/>
      <c r="W242" s="95"/>
      <c r="X242" s="20">
        <f t="shared" si="179"/>
        <v>4.0555513116390992E-3</v>
      </c>
      <c r="Y242" s="20" t="e">
        <f t="shared" si="180"/>
        <v>#DIV/0!</v>
      </c>
      <c r="Z242" s="20">
        <f t="shared" si="181"/>
        <v>8.4569615232050772E-3</v>
      </c>
      <c r="AA242" s="20">
        <f t="shared" si="182"/>
        <v>0</v>
      </c>
      <c r="AB242" s="21">
        <f t="shared" si="183"/>
        <v>0</v>
      </c>
    </row>
    <row r="243" spans="1:33">
      <c r="A243" s="110"/>
      <c r="B243" s="111"/>
      <c r="C243" s="112" t="s">
        <v>300</v>
      </c>
      <c r="D243" s="112"/>
      <c r="E243" s="113">
        <f>SUM(E28,E79,E120,E164,E173,E207,E213,E242)</f>
        <v>9485769117943.2402</v>
      </c>
      <c r="F243" s="114"/>
      <c r="G243" s="114"/>
      <c r="H243" s="114"/>
      <c r="I243" s="114"/>
      <c r="J243" s="115"/>
      <c r="K243" s="113">
        <f>SUM(K28,K79,K120,K164,K173,K207,K213,K242)</f>
        <v>1528217</v>
      </c>
      <c r="L243" s="116"/>
      <c r="M243" s="116"/>
      <c r="N243" s="116"/>
      <c r="O243" s="113">
        <f>SUM(O28,O79,O120,O164,O173,O207,O213,O242)</f>
        <v>9496616261164.3926</v>
      </c>
      <c r="P243" s="114"/>
      <c r="Q243" s="114"/>
      <c r="R243" s="114"/>
      <c r="S243" s="114"/>
      <c r="T243" s="115"/>
      <c r="U243" s="113">
        <f>SUM(U28,U79,U120,U164,U173,U207,U213,U242)</f>
        <v>1538902</v>
      </c>
      <c r="V243" s="117"/>
      <c r="W243" s="113"/>
      <c r="X243" s="118">
        <f t="shared" si="179"/>
        <v>1.1435175246500501E-3</v>
      </c>
      <c r="Y243" s="118"/>
      <c r="Z243" s="118"/>
      <c r="AA243" s="118"/>
      <c r="AB243" s="118"/>
    </row>
    <row r="244" spans="1:33" ht="6.75" customHeight="1">
      <c r="B244" s="239"/>
      <c r="C244" s="239"/>
      <c r="D244" s="239"/>
      <c r="E244" s="239"/>
      <c r="F244" s="239"/>
      <c r="G244" s="239"/>
      <c r="H244" s="239"/>
      <c r="I244" s="239"/>
      <c r="J244" s="239"/>
      <c r="K244" s="239"/>
      <c r="L244" s="239"/>
      <c r="M244" s="239"/>
      <c r="N244" s="239"/>
      <c r="O244" s="239"/>
      <c r="P244" s="239"/>
      <c r="Q244" s="239"/>
      <c r="R244" s="239"/>
      <c r="S244" s="239"/>
      <c r="T244" s="239"/>
      <c r="U244" s="239"/>
      <c r="V244" s="239"/>
      <c r="W244" s="239"/>
      <c r="X244" s="239"/>
      <c r="Y244" s="239"/>
      <c r="Z244" s="239"/>
      <c r="AA244" s="239"/>
      <c r="AB244" s="43"/>
    </row>
    <row r="245" spans="1:33" ht="14.4" customHeight="1">
      <c r="A245" s="11"/>
      <c r="B245" s="237" t="s">
        <v>301</v>
      </c>
      <c r="C245" s="237"/>
      <c r="D245" s="237"/>
      <c r="E245" s="237"/>
      <c r="F245" s="237"/>
      <c r="G245" s="237"/>
      <c r="H245" s="237"/>
      <c r="I245" s="237"/>
      <c r="J245" s="237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  <c r="AA245" s="237"/>
      <c r="AB245" s="237"/>
    </row>
    <row r="246" spans="1:33" ht="14.4" customHeight="1">
      <c r="A246" s="233">
        <v>1</v>
      </c>
      <c r="B246" s="232" t="s">
        <v>302</v>
      </c>
      <c r="C246" s="12" t="s">
        <v>27</v>
      </c>
      <c r="D246" s="77">
        <v>2094627.8</v>
      </c>
      <c r="E246" s="35">
        <v>2826993463.9920001</v>
      </c>
      <c r="F246" s="24">
        <f t="shared" ref="F246" si="212">(E246/$E$242)</f>
        <v>1.923264516571805E-2</v>
      </c>
      <c r="G246" s="78">
        <v>1.066336111</v>
      </c>
      <c r="H246" s="34">
        <v>1439.1698688500401</v>
      </c>
      <c r="I246" s="78">
        <v>1.066336111</v>
      </c>
      <c r="J246" s="34">
        <v>1439.1698688500401</v>
      </c>
      <c r="K246" s="25">
        <v>68</v>
      </c>
      <c r="L246" s="55">
        <v>4.4900000000000002E-2</v>
      </c>
      <c r="M246" s="55">
        <v>2.9399999999999999E-2</v>
      </c>
      <c r="N246" s="78">
        <v>2097480.9300000002</v>
      </c>
      <c r="O246" s="35">
        <f>N246*1339.69</f>
        <v>2809974227.1117005</v>
      </c>
      <c r="P246" s="24">
        <f t="shared" ref="P246:P251" si="213">(O246/$O$252)</f>
        <v>5.2529046954116615E-2</v>
      </c>
      <c r="Q246" s="78">
        <v>1.0678361110000001</v>
      </c>
      <c r="R246" s="34">
        <f>Q246*1339.69</f>
        <v>1430.5693595455903</v>
      </c>
      <c r="S246" s="78">
        <v>1.0678361110000001</v>
      </c>
      <c r="T246" s="34">
        <f>S246*1339.69</f>
        <v>1430.5693595455903</v>
      </c>
      <c r="U246" s="25">
        <v>68</v>
      </c>
      <c r="V246" s="55">
        <v>7.3300000000000004E-2</v>
      </c>
      <c r="W246" s="55">
        <v>4.58E-2</v>
      </c>
      <c r="X246" s="20">
        <f t="shared" ref="X246" si="214">((O246-E246)/E246)</f>
        <v>-6.0202604275804332E-3</v>
      </c>
      <c r="Y246" s="20">
        <f t="shared" ref="Y246" si="215">((T246-J246)/J246)</f>
        <v>-5.9760209622245633E-3</v>
      </c>
      <c r="Z246" s="20">
        <f t="shared" ref="Z246" si="216">((U246-K246)/K246)</f>
        <v>0</v>
      </c>
      <c r="AA246" s="20">
        <f t="shared" ref="AA246" si="217">V246-L246</f>
        <v>2.8400000000000002E-2</v>
      </c>
      <c r="AB246" s="21">
        <f t="shared" ref="AB246" si="218">W246-M246</f>
        <v>1.6400000000000001E-2</v>
      </c>
    </row>
    <row r="247" spans="1:33" ht="14.4" customHeight="1">
      <c r="A247" s="233">
        <v>2</v>
      </c>
      <c r="B247" s="232" t="s">
        <v>303</v>
      </c>
      <c r="C247" s="12" t="s">
        <v>227</v>
      </c>
      <c r="D247" s="119" t="s">
        <v>23</v>
      </c>
      <c r="E247" s="35">
        <v>15734494447.58</v>
      </c>
      <c r="F247" s="24">
        <f t="shared" ref="F247" si="219">(E247/$E$242)</f>
        <v>0.10704515324380789</v>
      </c>
      <c r="G247" s="119" t="s">
        <v>23</v>
      </c>
      <c r="H247" s="34">
        <v>123.2</v>
      </c>
      <c r="I247" s="119" t="s">
        <v>23</v>
      </c>
      <c r="J247" s="34">
        <v>123.2</v>
      </c>
      <c r="K247" s="25">
        <v>11</v>
      </c>
      <c r="L247" s="55">
        <v>3.6128007848686564E-3</v>
      </c>
      <c r="M247" s="55">
        <v>2.8251534248401922</v>
      </c>
      <c r="N247" s="119" t="s">
        <v>23</v>
      </c>
      <c r="O247" s="35">
        <v>15801796391.57</v>
      </c>
      <c r="P247" s="24">
        <f t="shared" si="213"/>
        <v>0.29539534441401666</v>
      </c>
      <c r="Q247" s="119" t="s">
        <v>23</v>
      </c>
      <c r="R247" s="34">
        <v>123.2</v>
      </c>
      <c r="S247" s="119" t="s">
        <v>23</v>
      </c>
      <c r="T247" s="34">
        <v>123.2</v>
      </c>
      <c r="U247" s="25">
        <v>11</v>
      </c>
      <c r="V247" s="26">
        <v>4.2773502646823811E-3</v>
      </c>
      <c r="W247" s="26">
        <v>2.8415149458543834</v>
      </c>
      <c r="X247" s="20">
        <f t="shared" ref="X247" si="220">((O247-E247)/E247)</f>
        <v>4.2773502646823811E-3</v>
      </c>
      <c r="Y247" s="20">
        <f t="shared" ref="Y247" si="221">((T247-J247)/J247)</f>
        <v>0</v>
      </c>
      <c r="Z247" s="20">
        <f t="shared" ref="Z247" si="222">((U247-K247)/K247)</f>
        <v>0</v>
      </c>
      <c r="AA247" s="20">
        <f t="shared" ref="AA247" si="223">V247-L247</f>
        <v>6.6454947981372473E-4</v>
      </c>
      <c r="AB247" s="21">
        <f t="shared" ref="AB247" si="224">W247-M247</f>
        <v>1.6361521014191194E-2</v>
      </c>
      <c r="AD247" s="10"/>
      <c r="AE247" s="120"/>
      <c r="AG247" s="10"/>
    </row>
    <row r="248" spans="1:33" ht="14.4" customHeight="1">
      <c r="A248" s="233">
        <v>3</v>
      </c>
      <c r="B248" s="232" t="s">
        <v>304</v>
      </c>
      <c r="C248" s="12" t="s">
        <v>37</v>
      </c>
      <c r="D248" s="119" t="s">
        <v>23</v>
      </c>
      <c r="E248" s="35">
        <v>32169667637.200001</v>
      </c>
      <c r="F248" s="24">
        <f>(E248/$E$242)</f>
        <v>0.2188571748205152</v>
      </c>
      <c r="G248" s="119" t="s">
        <v>23</v>
      </c>
      <c r="H248" s="34">
        <v>1.113</v>
      </c>
      <c r="I248" s="119" t="s">
        <v>23</v>
      </c>
      <c r="J248" s="34">
        <v>1.113</v>
      </c>
      <c r="K248" s="25">
        <v>57</v>
      </c>
      <c r="L248" s="55">
        <v>4.99E-2</v>
      </c>
      <c r="M248" s="55">
        <v>0.15770000000000001</v>
      </c>
      <c r="N248" s="119" t="s">
        <v>23</v>
      </c>
      <c r="O248" s="80">
        <v>32294913936.34</v>
      </c>
      <c r="P248" s="24">
        <f t="shared" si="213"/>
        <v>0.60371409608438509</v>
      </c>
      <c r="Q248" s="119" t="s">
        <v>23</v>
      </c>
      <c r="R248" s="34">
        <v>1.55</v>
      </c>
      <c r="S248" s="119" t="s">
        <v>23</v>
      </c>
      <c r="T248" s="34">
        <v>1.55</v>
      </c>
      <c r="U248" s="25">
        <v>57</v>
      </c>
      <c r="V248" s="55">
        <v>5.3999999999999999E-2</v>
      </c>
      <c r="W248" s="55">
        <v>0.15770000000000001</v>
      </c>
      <c r="X248" s="20">
        <f>((O248-E248)/E248)</f>
        <v>3.8933041072257914E-3</v>
      </c>
      <c r="Y248" s="20">
        <f>((T248-J248)/J248)</f>
        <v>0.39263252470799648</v>
      </c>
      <c r="Z248" s="20">
        <f>((U248-K248)/K248)</f>
        <v>0</v>
      </c>
      <c r="AA248" s="20">
        <f>V248-L248</f>
        <v>4.0999999999999995E-3</v>
      </c>
      <c r="AB248" s="21">
        <f>W248-M248</f>
        <v>0</v>
      </c>
      <c r="AD248" s="96"/>
      <c r="AE248" s="120"/>
      <c r="AG248" s="96"/>
    </row>
    <row r="249" spans="1:33" ht="14.4" customHeight="1">
      <c r="A249" s="233">
        <v>4</v>
      </c>
      <c r="B249" s="232" t="s">
        <v>305</v>
      </c>
      <c r="C249" s="12" t="s">
        <v>39</v>
      </c>
      <c r="D249" s="77">
        <v>927185.05</v>
      </c>
      <c r="E249" s="35">
        <v>1263233999.5220001</v>
      </c>
      <c r="F249" s="24">
        <f>(E249/$E$242)</f>
        <v>8.5940528634155418E-3</v>
      </c>
      <c r="G249" s="34">
        <v>113.16</v>
      </c>
      <c r="H249" s="34">
        <v>154173.71040000001</v>
      </c>
      <c r="I249" s="34">
        <v>113.16</v>
      </c>
      <c r="J249" s="34">
        <v>154173.71040000001</v>
      </c>
      <c r="K249" s="25">
        <v>18</v>
      </c>
      <c r="L249" s="55">
        <v>5.7999999999999996E-3</v>
      </c>
      <c r="M249" s="61">
        <v>1.23E-2</v>
      </c>
      <c r="N249" s="78">
        <v>930151.15</v>
      </c>
      <c r="O249" s="35">
        <f>N249*1339.33</f>
        <v>1245779339.7295001</v>
      </c>
      <c r="P249" s="24">
        <f t="shared" si="213"/>
        <v>2.3288327985265176E-2</v>
      </c>
      <c r="Q249" s="34">
        <v>113.52</v>
      </c>
      <c r="R249" s="34">
        <f>Q249*1339.33</f>
        <v>152040.74159999998</v>
      </c>
      <c r="S249" s="34">
        <v>113.52</v>
      </c>
      <c r="T249" s="34">
        <f>S249*1339.33</f>
        <v>152040.74159999998</v>
      </c>
      <c r="U249" s="25">
        <v>18</v>
      </c>
      <c r="V249" s="55">
        <v>-3.2000000000000002E-3</v>
      </c>
      <c r="W249" s="61">
        <v>1.55E-2</v>
      </c>
      <c r="X249" s="20">
        <f t="shared" ref="X249" si="225">((O249-E249)/E249)</f>
        <v>-1.3817439840207557E-2</v>
      </c>
      <c r="Y249" s="20">
        <f t="shared" ref="Y249" si="226">((T249-J249)/J249)</f>
        <v>-1.3834841196116348E-2</v>
      </c>
      <c r="Z249" s="20">
        <f t="shared" ref="Z249" si="227">((U249-K249)/K249)</f>
        <v>0</v>
      </c>
      <c r="AA249" s="20">
        <f t="shared" ref="AA249" si="228">V249-L249</f>
        <v>-8.9999999999999993E-3</v>
      </c>
      <c r="AB249" s="21">
        <f t="shared" ref="AB249" si="229">W249-M249</f>
        <v>3.1999999999999997E-3</v>
      </c>
      <c r="AD249" s="30"/>
    </row>
    <row r="250" spans="1:33" ht="14.4" customHeight="1">
      <c r="A250" s="233">
        <v>5</v>
      </c>
      <c r="B250" s="232" t="s">
        <v>306</v>
      </c>
      <c r="C250" s="12" t="s">
        <v>58</v>
      </c>
      <c r="D250" s="119" t="s">
        <v>23</v>
      </c>
      <c r="E250" s="35">
        <v>484635971.01999998</v>
      </c>
      <c r="F250" s="24">
        <f t="shared" ref="F250" si="230">(E250/$E$242)</f>
        <v>3.2970828492857283E-3</v>
      </c>
      <c r="G250" s="119" t="s">
        <v>23</v>
      </c>
      <c r="H250" s="34">
        <v>1.46255</v>
      </c>
      <c r="I250" s="119" t="s">
        <v>23</v>
      </c>
      <c r="J250" s="34">
        <v>1.46255</v>
      </c>
      <c r="K250" s="25">
        <v>61</v>
      </c>
      <c r="L250" s="55">
        <v>-8.3000000000000001E-3</v>
      </c>
      <c r="M250" s="55">
        <v>0.374</v>
      </c>
      <c r="N250" s="119" t="s">
        <v>23</v>
      </c>
      <c r="O250" s="80">
        <v>488702912.23000002</v>
      </c>
      <c r="P250" s="24">
        <f t="shared" si="213"/>
        <v>9.1357059347586464E-3</v>
      </c>
      <c r="Q250" s="119" t="s">
        <v>23</v>
      </c>
      <c r="R250" s="34">
        <v>1.46126</v>
      </c>
      <c r="S250" s="119" t="s">
        <v>23</v>
      </c>
      <c r="T250" s="34">
        <v>1.46126</v>
      </c>
      <c r="U250" s="25">
        <v>61</v>
      </c>
      <c r="V250" s="55">
        <v>-1.1000000000000001E-3</v>
      </c>
      <c r="W250" s="55">
        <v>0.37290000000000001</v>
      </c>
      <c r="X250" s="20">
        <f t="shared" ref="X250:X252" si="231">((O250-E250)/E250)</f>
        <v>8.3917444292062326E-3</v>
      </c>
      <c r="Y250" s="20">
        <f t="shared" ref="Y250" si="232">((T250-J250)/J250)</f>
        <v>-8.8202112748283026E-4</v>
      </c>
      <c r="Z250" s="20">
        <f t="shared" ref="Z250" si="233">((U250-K250)/K250)</f>
        <v>0</v>
      </c>
      <c r="AA250" s="20">
        <f t="shared" ref="AA250" si="234">V250-L250</f>
        <v>7.1999999999999998E-3</v>
      </c>
      <c r="AB250" s="21">
        <f t="shared" ref="AB250" si="235">W250-M250</f>
        <v>-1.0999999999999899E-3</v>
      </c>
      <c r="AD250" s="103"/>
    </row>
    <row r="251" spans="1:33" ht="14.4" customHeight="1">
      <c r="A251" s="233">
        <v>6</v>
      </c>
      <c r="B251" s="232" t="s">
        <v>307</v>
      </c>
      <c r="C251" s="12" t="s">
        <v>135</v>
      </c>
      <c r="D251" s="77">
        <v>636729.93999999994</v>
      </c>
      <c r="E251" s="35">
        <v>857351324.65952182</v>
      </c>
      <c r="F251" s="24">
        <v>0</v>
      </c>
      <c r="G251" s="78">
        <v>10.0029</v>
      </c>
      <c r="H251" s="34">
        <v>13468.81782477</v>
      </c>
      <c r="I251" s="78">
        <v>10.0029</v>
      </c>
      <c r="J251" s="34">
        <v>13468.81782477</v>
      </c>
      <c r="K251" s="25">
        <v>13</v>
      </c>
      <c r="L251" s="55">
        <v>5.0000000000000001E-4</v>
      </c>
      <c r="M251" s="55">
        <v>2.9999999999999997E-4</v>
      </c>
      <c r="N251" s="78">
        <v>637525.72000000009</v>
      </c>
      <c r="O251" s="35">
        <f>637525.72*C274</f>
        <v>852555048.77935588</v>
      </c>
      <c r="P251" s="24">
        <f t="shared" si="213"/>
        <v>1.5937478627457796E-2</v>
      </c>
      <c r="Q251" s="78">
        <v>10.015372308604924</v>
      </c>
      <c r="R251" s="34">
        <f>10.0154*C274</f>
        <v>13393.467224419999</v>
      </c>
      <c r="S251" s="78">
        <v>10.015372308604924</v>
      </c>
      <c r="T251" s="34">
        <f>10.0154*C274</f>
        <v>13393.467224419999</v>
      </c>
      <c r="U251" s="25">
        <v>13</v>
      </c>
      <c r="V251" s="55">
        <v>1.2468692684044491E-3</v>
      </c>
      <c r="W251" s="55">
        <v>1.5372308604924001E-3</v>
      </c>
      <c r="X251" s="20">
        <f t="shared" ref="X251" si="236">((O251-E251)/E251)</f>
        <v>-5.5942945933753234E-3</v>
      </c>
      <c r="Y251" s="20">
        <f t="shared" ref="Y251" si="237">((T251-J251)/J251)</f>
        <v>-5.5944479560356168E-3</v>
      </c>
      <c r="Z251" s="20">
        <f t="shared" ref="Z251" si="238">((U251-K251)/K251)</f>
        <v>0</v>
      </c>
      <c r="AA251" s="20">
        <f t="shared" ref="AA251" si="239">V251-L251</f>
        <v>7.4686926840444911E-4</v>
      </c>
      <c r="AB251" s="21">
        <f t="shared" ref="AB251" si="240">W251-M251</f>
        <v>1.2372308604924002E-3</v>
      </c>
    </row>
    <row r="252" spans="1:33" ht="14.4" customHeight="1">
      <c r="A252" s="110"/>
      <c r="B252" s="121"/>
      <c r="C252" s="121" t="s">
        <v>63</v>
      </c>
      <c r="D252" s="121"/>
      <c r="E252" s="121">
        <f>SUM(E246:E251)</f>
        <v>53336376843.973526</v>
      </c>
      <c r="F252" s="121"/>
      <c r="G252" s="121"/>
      <c r="H252" s="121"/>
      <c r="I252" s="121"/>
      <c r="J252" s="121"/>
      <c r="K252" s="121">
        <f>SUM(K246:K251)</f>
        <v>228</v>
      </c>
      <c r="L252" s="121"/>
      <c r="M252" s="121"/>
      <c r="N252" s="121"/>
      <c r="O252" s="121">
        <f>SUM(O246:O251)</f>
        <v>53493721855.760559</v>
      </c>
      <c r="P252" s="121"/>
      <c r="Q252" s="121"/>
      <c r="R252" s="121"/>
      <c r="S252" s="121"/>
      <c r="T252" s="121"/>
      <c r="U252" s="121">
        <f>SUM(U246:U251)</f>
        <v>228</v>
      </c>
      <c r="V252" s="121"/>
      <c r="W252" s="121"/>
      <c r="X252" s="118">
        <f t="shared" si="231"/>
        <v>2.9500506239356879E-3</v>
      </c>
      <c r="Y252" s="121"/>
      <c r="Z252" s="121"/>
      <c r="AA252" s="121"/>
      <c r="AB252" s="121"/>
    </row>
    <row r="253" spans="1:33" ht="6" customHeight="1">
      <c r="B253" s="45"/>
      <c r="C253" s="89"/>
      <c r="D253" s="89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3"/>
    </row>
    <row r="254" spans="1:33" ht="15.6">
      <c r="A254" s="11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</row>
    <row r="255" spans="1:33">
      <c r="A255" s="233">
        <v>1</v>
      </c>
      <c r="B255" s="232" t="s">
        <v>308</v>
      </c>
      <c r="C255" s="12" t="s">
        <v>309</v>
      </c>
      <c r="D255" s="119" t="s">
        <v>23</v>
      </c>
      <c r="E255" s="80">
        <v>132435862471.06</v>
      </c>
      <c r="F255" s="24">
        <f>(E255/$E$257)</f>
        <v>0.90691998982883715</v>
      </c>
      <c r="G255" s="119" t="s">
        <v>23</v>
      </c>
      <c r="H255" s="62">
        <v>147.69999999999999</v>
      </c>
      <c r="I255" s="119" t="s">
        <v>23</v>
      </c>
      <c r="J255" s="62">
        <v>147.69999999999999</v>
      </c>
      <c r="K255" s="25">
        <v>9001</v>
      </c>
      <c r="L255" s="55" t="s">
        <v>310</v>
      </c>
      <c r="M255" s="55">
        <v>0.45129999999999998</v>
      </c>
      <c r="N255" s="119" t="s">
        <v>23</v>
      </c>
      <c r="O255" s="80">
        <v>132435862471.06</v>
      </c>
      <c r="P255" s="24">
        <f>(O255/$O$257)</f>
        <v>0.90665541344665235</v>
      </c>
      <c r="Q255" s="119" t="s">
        <v>23</v>
      </c>
      <c r="R255" s="62">
        <v>147.69999999999999</v>
      </c>
      <c r="S255" s="119" t="s">
        <v>23</v>
      </c>
      <c r="T255" s="62">
        <v>147.69999999999999</v>
      </c>
      <c r="U255" s="25">
        <v>9001</v>
      </c>
      <c r="V255" s="26" t="s">
        <v>310</v>
      </c>
      <c r="W255" s="26">
        <v>0.45129999999999998</v>
      </c>
      <c r="X255" s="20">
        <f>((O255-E255)/E255)</f>
        <v>0</v>
      </c>
      <c r="Y255" s="20">
        <f>((T255-J255)/J255)</f>
        <v>0</v>
      </c>
      <c r="Z255" s="20">
        <f>((U255-K255)/K255)</f>
        <v>0</v>
      </c>
      <c r="AA255" s="20" t="e">
        <f>V255-L255</f>
        <v>#VALUE!</v>
      </c>
      <c r="AB255" s="21">
        <f>W255-M255</f>
        <v>0</v>
      </c>
    </row>
    <row r="256" spans="1:33" ht="14.4" customHeight="1">
      <c r="A256" s="233">
        <v>2</v>
      </c>
      <c r="B256" s="232" t="s">
        <v>311</v>
      </c>
      <c r="C256" s="12" t="s">
        <v>58</v>
      </c>
      <c r="D256" s="119" t="s">
        <v>23</v>
      </c>
      <c r="E256" s="80">
        <v>13592303140.389999</v>
      </c>
      <c r="F256" s="24">
        <f>(E256/$E$257)</f>
        <v>9.3080010171162714E-2</v>
      </c>
      <c r="G256" s="119" t="s">
        <v>23</v>
      </c>
      <c r="H256" s="37">
        <v>1000000</v>
      </c>
      <c r="I256" s="119" t="s">
        <v>23</v>
      </c>
      <c r="J256" s="37">
        <v>1000000</v>
      </c>
      <c r="K256" s="25">
        <v>26</v>
      </c>
      <c r="L256" s="55">
        <v>0.18179999999999999</v>
      </c>
      <c r="M256" s="55">
        <v>0.18179999999999999</v>
      </c>
      <c r="N256" s="119" t="s">
        <v>23</v>
      </c>
      <c r="O256" s="80">
        <v>13634916467.549999</v>
      </c>
      <c r="P256" s="24">
        <f>(O256/$O$257)</f>
        <v>9.3344586553347708E-2</v>
      </c>
      <c r="Q256" s="119" t="s">
        <v>23</v>
      </c>
      <c r="R256" s="37">
        <v>1000000</v>
      </c>
      <c r="S256" s="119" t="s">
        <v>23</v>
      </c>
      <c r="T256" s="37">
        <v>1000000</v>
      </c>
      <c r="U256" s="25">
        <v>26</v>
      </c>
      <c r="V256" s="55">
        <v>0.1817</v>
      </c>
      <c r="W256" s="55">
        <v>0.1817</v>
      </c>
      <c r="X256" s="20">
        <f>((O256-E256)/E256)</f>
        <v>3.1351071793986754E-3</v>
      </c>
      <c r="Y256" s="20">
        <f>((T256-J256)/J256)</f>
        <v>0</v>
      </c>
      <c r="Z256" s="20">
        <f>((U256-K256)/K256)</f>
        <v>0</v>
      </c>
      <c r="AA256" s="20">
        <f>V256-L256</f>
        <v>-9.9999999999988987E-5</v>
      </c>
      <c r="AB256" s="21">
        <f>W256-M256</f>
        <v>-9.9999999999988987E-5</v>
      </c>
    </row>
    <row r="257" spans="1:32" ht="15" customHeight="1">
      <c r="A257" s="110"/>
      <c r="B257" s="111"/>
      <c r="C257" s="112" t="s">
        <v>312</v>
      </c>
      <c r="D257" s="112"/>
      <c r="E257" s="121">
        <f>SUM(E255:E256)</f>
        <v>146028165611.45001</v>
      </c>
      <c r="F257" s="122"/>
      <c r="G257" s="122"/>
      <c r="H257" s="123"/>
      <c r="I257" s="123"/>
      <c r="J257" s="123"/>
      <c r="K257" s="121">
        <f>SUM(K255:K256)</f>
        <v>9027</v>
      </c>
      <c r="L257" s="124"/>
      <c r="M257" s="124"/>
      <c r="N257" s="124"/>
      <c r="O257" s="121">
        <f>SUM(O255:O256)</f>
        <v>146070778938.60999</v>
      </c>
      <c r="P257" s="122"/>
      <c r="Q257" s="122"/>
      <c r="R257" s="123"/>
      <c r="S257" s="123"/>
      <c r="T257" s="123"/>
      <c r="U257" s="121">
        <f>SUM(U255:U256)</f>
        <v>9027</v>
      </c>
      <c r="V257" s="124"/>
      <c r="W257" s="121"/>
      <c r="X257" s="118">
        <f>((O257-E257)/E257)</f>
        <v>2.9181580814593104E-4</v>
      </c>
      <c r="Y257" s="125"/>
      <c r="Z257" s="125"/>
      <c r="AA257" s="118"/>
      <c r="AB257" s="126"/>
    </row>
    <row r="258" spans="1:32" ht="4.5" customHeight="1">
      <c r="B258" s="238"/>
      <c r="C258" s="238"/>
      <c r="D258" s="238"/>
      <c r="E258" s="238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</row>
    <row r="259" spans="1:32" ht="15.6">
      <c r="A259" s="11"/>
      <c r="B259" s="237"/>
      <c r="C259" s="237"/>
      <c r="D259" s="237"/>
      <c r="E259" s="237"/>
      <c r="F259" s="237"/>
      <c r="G259" s="237"/>
      <c r="H259" s="237"/>
      <c r="I259" s="237"/>
      <c r="J259" s="237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  <c r="AA259" s="237"/>
      <c r="AB259" s="237"/>
      <c r="AD259" s="222"/>
      <c r="AE259" s="223"/>
      <c r="AF259" s="127"/>
    </row>
    <row r="260" spans="1:32">
      <c r="A260" s="233">
        <v>1</v>
      </c>
      <c r="B260" s="232" t="s">
        <v>313</v>
      </c>
      <c r="C260" s="12" t="s">
        <v>103</v>
      </c>
      <c r="D260" s="119" t="s">
        <v>23</v>
      </c>
      <c r="E260" s="128">
        <v>2347021748.8099999</v>
      </c>
      <c r="F260" s="129">
        <f t="shared" ref="F260:F271" si="241">(E260/$E$272)</f>
        <v>7.3983218854708294E-2</v>
      </c>
      <c r="G260" s="119" t="s">
        <v>23</v>
      </c>
      <c r="H260" s="130">
        <v>573.40429168000003</v>
      </c>
      <c r="I260" s="119" t="s">
        <v>23</v>
      </c>
      <c r="J260" s="130">
        <v>573.40429168000003</v>
      </c>
      <c r="K260" s="263">
        <v>2474</v>
      </c>
      <c r="L260" s="264">
        <v>-7.1000000000000004E-3</v>
      </c>
      <c r="M260" s="264">
        <v>0.62470000000000003</v>
      </c>
      <c r="N260" s="119" t="s">
        <v>23</v>
      </c>
      <c r="O260" s="128">
        <v>2368743358.9299998</v>
      </c>
      <c r="P260" s="129">
        <f t="shared" ref="P260:P271" si="242">(O260/$O$272)</f>
        <v>7.3959026815945295E-2</v>
      </c>
      <c r="Q260" s="119" t="s">
        <v>23</v>
      </c>
      <c r="R260" s="130">
        <v>578.71112978999997</v>
      </c>
      <c r="S260" s="119" t="s">
        <v>23</v>
      </c>
      <c r="T260" s="130">
        <v>578.71112978999997</v>
      </c>
      <c r="U260" s="131">
        <v>2438</v>
      </c>
      <c r="V260" s="51">
        <v>9.2999999999999992E-3</v>
      </c>
      <c r="W260" s="51">
        <v>0.63980000000000004</v>
      </c>
      <c r="X260" s="20">
        <f>((O260-E260)/E260)</f>
        <v>9.2549675481334148E-3</v>
      </c>
      <c r="Y260" s="20">
        <f>((T260-J260)/J260)</f>
        <v>9.254967545589167E-3</v>
      </c>
      <c r="Z260" s="20">
        <f>((U260-K260)/K260)</f>
        <v>-1.4551333872271624E-2</v>
      </c>
      <c r="AA260" s="20">
        <f>V260-L260</f>
        <v>1.6399999999999998E-2</v>
      </c>
      <c r="AB260" s="268">
        <f>W260-M260</f>
        <v>1.5100000000000002E-2</v>
      </c>
      <c r="AC260" s="269"/>
      <c r="AD260" s="267"/>
      <c r="AE260" s="132"/>
      <c r="AF260" s="221"/>
    </row>
    <row r="261" spans="1:32">
      <c r="A261" s="233">
        <v>2</v>
      </c>
      <c r="B261" s="232" t="s">
        <v>314</v>
      </c>
      <c r="C261" s="12" t="s">
        <v>276</v>
      </c>
      <c r="D261" s="119" t="s">
        <v>23</v>
      </c>
      <c r="E261" s="128">
        <v>3298590210.0199995</v>
      </c>
      <c r="F261" s="129">
        <f t="shared" si="241"/>
        <v>0.10397872177522109</v>
      </c>
      <c r="G261" s="119" t="s">
        <v>23</v>
      </c>
      <c r="H261" s="37">
        <v>93.822176632305371</v>
      </c>
      <c r="I261" s="119" t="s">
        <v>23</v>
      </c>
      <c r="J261" s="37">
        <v>103.69819522517963</v>
      </c>
      <c r="K261" s="263">
        <v>3606</v>
      </c>
      <c r="L261" s="264">
        <v>-1.3518374900704559E-2</v>
      </c>
      <c r="M261" s="264">
        <v>0.60005109829425796</v>
      </c>
      <c r="N261" s="119" t="s">
        <v>23</v>
      </c>
      <c r="O261" s="128">
        <v>3326069020.6199994</v>
      </c>
      <c r="P261" s="129">
        <f t="shared" si="242"/>
        <v>0.10384950609374517</v>
      </c>
      <c r="Q261" s="119" t="s">
        <v>23</v>
      </c>
      <c r="R261" s="37">
        <v>94.603759568532922</v>
      </c>
      <c r="S261" s="119" t="s">
        <v>23</v>
      </c>
      <c r="T261" s="37">
        <v>104.56205004943112</v>
      </c>
      <c r="U261" s="131">
        <v>3606</v>
      </c>
      <c r="V261" s="51">
        <v>1.0653554988087181E-2</v>
      </c>
      <c r="W261" s="51">
        <v>0.57730000000000004</v>
      </c>
      <c r="X261" s="20">
        <f t="shared" ref="X261:X272" si="243">((O261-E261)/E261)</f>
        <v>8.3304711559891824E-3</v>
      </c>
      <c r="Y261" s="20">
        <f t="shared" ref="Y261:Y272" si="244">((T261-J261)/J261)</f>
        <v>8.3304711559891442E-3</v>
      </c>
      <c r="Z261" s="20">
        <f t="shared" ref="Z261:Z272" si="245">((U261-K261)/K261)</f>
        <v>0</v>
      </c>
      <c r="AA261" s="20">
        <f t="shared" ref="AA261:AA272" si="246">V261-L261</f>
        <v>2.417192988879174E-2</v>
      </c>
      <c r="AB261" s="268">
        <f t="shared" ref="AB261:AB272" si="247">W261-M261</f>
        <v>-2.2751098294257921E-2</v>
      </c>
      <c r="AC261" s="269"/>
      <c r="AD261" s="267"/>
      <c r="AE261" s="132"/>
    </row>
    <row r="262" spans="1:32">
      <c r="A262" s="234">
        <v>3</v>
      </c>
      <c r="B262" s="232" t="s">
        <v>315</v>
      </c>
      <c r="C262" s="12" t="s">
        <v>49</v>
      </c>
      <c r="D262" s="119" t="s">
        <v>23</v>
      </c>
      <c r="E262" s="128">
        <v>825498140.91999996</v>
      </c>
      <c r="F262" s="129">
        <f t="shared" si="241"/>
        <v>2.6021492836529856E-2</v>
      </c>
      <c r="G262" s="119" t="s">
        <v>23</v>
      </c>
      <c r="H262" s="37">
        <v>60.837158000000002</v>
      </c>
      <c r="I262" s="119" t="s">
        <v>23</v>
      </c>
      <c r="J262" s="37">
        <v>61.136688999999997</v>
      </c>
      <c r="K262" s="263">
        <v>1831</v>
      </c>
      <c r="L262" s="264">
        <v>-1.3599999999999999E-2</v>
      </c>
      <c r="M262" s="264">
        <v>0.70120000000000005</v>
      </c>
      <c r="N262" s="119" t="s">
        <v>23</v>
      </c>
      <c r="O262" s="128">
        <v>807390222.13999999</v>
      </c>
      <c r="P262" s="129">
        <f t="shared" si="242"/>
        <v>2.5209060688262144E-2</v>
      </c>
      <c r="Q262" s="119" t="s">
        <v>23</v>
      </c>
      <c r="R262" s="37">
        <v>59.727170999999998</v>
      </c>
      <c r="S262" s="119" t="s">
        <v>23</v>
      </c>
      <c r="T262" s="37">
        <v>60.038843</v>
      </c>
      <c r="U262" s="131">
        <v>1831</v>
      </c>
      <c r="V262" s="51">
        <v>-2.3099999999999999E-2</v>
      </c>
      <c r="W262" s="51">
        <v>0.4718</v>
      </c>
      <c r="X262" s="20">
        <f t="shared" si="243"/>
        <v>-2.1935747498860608E-2</v>
      </c>
      <c r="Y262" s="20">
        <f t="shared" si="244"/>
        <v>-1.7957236774794872E-2</v>
      </c>
      <c r="Z262" s="20">
        <f t="shared" si="245"/>
        <v>0</v>
      </c>
      <c r="AA262" s="20">
        <f t="shared" si="246"/>
        <v>-9.4999999999999998E-3</v>
      </c>
      <c r="AB262" s="268">
        <f t="shared" si="247"/>
        <v>-0.22940000000000005</v>
      </c>
      <c r="AC262" s="269"/>
      <c r="AD262" s="267"/>
      <c r="AE262" s="132"/>
    </row>
    <row r="263" spans="1:32">
      <c r="A263" s="234">
        <v>4</v>
      </c>
      <c r="B263" s="232" t="s">
        <v>316</v>
      </c>
      <c r="C263" s="12" t="s">
        <v>49</v>
      </c>
      <c r="D263" s="119" t="s">
        <v>23</v>
      </c>
      <c r="E263" s="128">
        <v>1493602658.27</v>
      </c>
      <c r="F263" s="129">
        <f t="shared" si="241"/>
        <v>4.7081597094185683E-2</v>
      </c>
      <c r="G263" s="119" t="s">
        <v>23</v>
      </c>
      <c r="H263" s="37">
        <v>126.833388</v>
      </c>
      <c r="I263" s="119" t="s">
        <v>23</v>
      </c>
      <c r="J263" s="37">
        <v>127.411458</v>
      </c>
      <c r="K263" s="263">
        <v>1469</v>
      </c>
      <c r="L263" s="264">
        <v>-1.9E-3</v>
      </c>
      <c r="M263" s="264">
        <v>0.52249999999999996</v>
      </c>
      <c r="N263" s="119" t="s">
        <v>23</v>
      </c>
      <c r="O263" s="128">
        <v>1550463827.28</v>
      </c>
      <c r="P263" s="129">
        <f t="shared" si="242"/>
        <v>4.8409970352699318E-2</v>
      </c>
      <c r="Q263" s="119" t="s">
        <v>23</v>
      </c>
      <c r="R263" s="37">
        <v>131.571417</v>
      </c>
      <c r="S263" s="119" t="s">
        <v>23</v>
      </c>
      <c r="T263" s="37">
        <v>132.175186</v>
      </c>
      <c r="U263" s="131">
        <v>1469</v>
      </c>
      <c r="V263" s="51">
        <v>3.7400000000000003E-2</v>
      </c>
      <c r="W263" s="51">
        <v>0.57940000000000003</v>
      </c>
      <c r="X263" s="20">
        <f t="shared" si="243"/>
        <v>3.8069809728285275E-2</v>
      </c>
      <c r="Y263" s="20">
        <f t="shared" si="244"/>
        <v>3.7388536908509441E-2</v>
      </c>
      <c r="Z263" s="20">
        <f t="shared" si="245"/>
        <v>0</v>
      </c>
      <c r="AA263" s="20">
        <f t="shared" si="246"/>
        <v>3.9300000000000002E-2</v>
      </c>
      <c r="AB263" s="268">
        <f t="shared" si="247"/>
        <v>5.6900000000000062E-2</v>
      </c>
      <c r="AC263" s="269"/>
      <c r="AD263" s="267"/>
      <c r="AE263" s="132"/>
    </row>
    <row r="264" spans="1:32">
      <c r="A264" s="234">
        <v>5</v>
      </c>
      <c r="B264" s="232" t="s">
        <v>317</v>
      </c>
      <c r="C264" s="12" t="s">
        <v>318</v>
      </c>
      <c r="D264" s="119" t="s">
        <v>23</v>
      </c>
      <c r="E264" s="128">
        <v>2052901216.98</v>
      </c>
      <c r="F264" s="129">
        <f t="shared" si="241"/>
        <v>6.4711901412901479E-2</v>
      </c>
      <c r="G264" s="119" t="s">
        <v>23</v>
      </c>
      <c r="H264" s="37">
        <v>56280</v>
      </c>
      <c r="I264" s="119" t="s">
        <v>23</v>
      </c>
      <c r="J264" s="37">
        <v>62680</v>
      </c>
      <c r="K264" s="263">
        <v>1234</v>
      </c>
      <c r="L264" s="264">
        <v>3.6999999999999998E-2</v>
      </c>
      <c r="M264" s="264">
        <v>-0.02</v>
      </c>
      <c r="N264" s="119" t="s">
        <v>23</v>
      </c>
      <c r="O264" s="128">
        <v>2024828319.46</v>
      </c>
      <c r="P264" s="129">
        <f t="shared" si="242"/>
        <v>6.3221003411814969E-2</v>
      </c>
      <c r="Q264" s="119" t="s">
        <v>23</v>
      </c>
      <c r="R264" s="37">
        <v>53400</v>
      </c>
      <c r="S264" s="119" t="s">
        <v>23</v>
      </c>
      <c r="T264" s="37">
        <v>57970</v>
      </c>
      <c r="U264" s="131">
        <v>1234</v>
      </c>
      <c r="V264" s="51">
        <v>-1.4E-2</v>
      </c>
      <c r="W264" s="51">
        <v>-0.03</v>
      </c>
      <c r="X264" s="20">
        <f t="shared" si="243"/>
        <v>-1.3674743474163704E-2</v>
      </c>
      <c r="Y264" s="20">
        <f t="shared" si="244"/>
        <v>-7.5143586470963628E-2</v>
      </c>
      <c r="Z264" s="20">
        <f t="shared" si="245"/>
        <v>0</v>
      </c>
      <c r="AA264" s="20">
        <f t="shared" si="246"/>
        <v>-5.0999999999999997E-2</v>
      </c>
      <c r="AB264" s="268">
        <f t="shared" si="247"/>
        <v>-9.9999999999999985E-3</v>
      </c>
      <c r="AC264" s="269"/>
      <c r="AD264" s="267"/>
      <c r="AE264" s="132"/>
    </row>
    <row r="265" spans="1:32">
      <c r="A265" s="234">
        <v>6</v>
      </c>
      <c r="B265" s="232" t="s">
        <v>319</v>
      </c>
      <c r="C265" s="12" t="s">
        <v>320</v>
      </c>
      <c r="D265" s="119" t="s">
        <v>23</v>
      </c>
      <c r="E265" s="128">
        <v>1820711754.1800001</v>
      </c>
      <c r="F265" s="129">
        <f t="shared" si="241"/>
        <v>5.7392785665124839E-2</v>
      </c>
      <c r="G265" s="119" t="s">
        <v>23</v>
      </c>
      <c r="H265" s="37">
        <v>2069.1</v>
      </c>
      <c r="I265" s="119" t="s">
        <v>23</v>
      </c>
      <c r="J265" s="37">
        <v>2069.1</v>
      </c>
      <c r="K265" s="263">
        <v>2048</v>
      </c>
      <c r="L265" s="264">
        <v>-1.88212191614116E-2</v>
      </c>
      <c r="M265" s="264">
        <v>0.65711754652000698</v>
      </c>
      <c r="N265" s="119" t="s">
        <v>23</v>
      </c>
      <c r="O265" s="128">
        <v>1847608579.8599999</v>
      </c>
      <c r="P265" s="129">
        <f t="shared" si="242"/>
        <v>5.7687689967798862E-2</v>
      </c>
      <c r="Q265" s="119" t="s">
        <v>23</v>
      </c>
      <c r="R265" s="37">
        <v>1726.78</v>
      </c>
      <c r="S265" s="119" t="s">
        <v>23</v>
      </c>
      <c r="T265" s="37">
        <v>1726.78</v>
      </c>
      <c r="U265" s="131">
        <v>2048</v>
      </c>
      <c r="V265" s="51">
        <v>1.47707572831954E-2</v>
      </c>
      <c r="W265" s="51">
        <v>-0.1163</v>
      </c>
      <c r="X265" s="20">
        <f t="shared" si="243"/>
        <v>1.4772698434142553E-2</v>
      </c>
      <c r="Y265" s="20">
        <f t="shared" si="244"/>
        <v>-0.16544391281233384</v>
      </c>
      <c r="Z265" s="20">
        <f t="shared" si="245"/>
        <v>0</v>
      </c>
      <c r="AA265" s="20">
        <f t="shared" si="246"/>
        <v>3.3591976444607E-2</v>
      </c>
      <c r="AB265" s="268">
        <f t="shared" si="247"/>
        <v>-0.77341754652000694</v>
      </c>
      <c r="AC265" s="269"/>
      <c r="AD265" s="267"/>
      <c r="AE265" s="132"/>
    </row>
    <row r="266" spans="1:32">
      <c r="A266" s="234">
        <v>7</v>
      </c>
      <c r="B266" s="232" t="s">
        <v>321</v>
      </c>
      <c r="C266" s="12" t="s">
        <v>320</v>
      </c>
      <c r="D266" s="119" t="s">
        <v>23</v>
      </c>
      <c r="E266" s="128">
        <v>2079428728.74</v>
      </c>
      <c r="F266" s="129">
        <f t="shared" si="241"/>
        <v>6.5548106151611732E-2</v>
      </c>
      <c r="G266" s="119" t="s">
        <v>23</v>
      </c>
      <c r="H266" s="37">
        <v>1870</v>
      </c>
      <c r="I266" s="119" t="s">
        <v>23</v>
      </c>
      <c r="J266" s="37">
        <v>1870</v>
      </c>
      <c r="K266" s="263">
        <v>9811</v>
      </c>
      <c r="L266" s="264">
        <v>-6.2020794026734598E-3</v>
      </c>
      <c r="M266" s="264">
        <v>0.55301584298770801</v>
      </c>
      <c r="N266" s="119" t="s">
        <v>23</v>
      </c>
      <c r="O266" s="128">
        <v>2100472413.4400001</v>
      </c>
      <c r="P266" s="129">
        <f t="shared" si="242"/>
        <v>6.5582831067835023E-2</v>
      </c>
      <c r="Q266" s="119" t="s">
        <v>23</v>
      </c>
      <c r="R266" s="37">
        <v>1668</v>
      </c>
      <c r="S266" s="119" t="s">
        <v>23</v>
      </c>
      <c r="T266" s="37">
        <v>1668</v>
      </c>
      <c r="U266" s="131">
        <v>9811</v>
      </c>
      <c r="V266" s="51">
        <v>1.0118554723002E-2</v>
      </c>
      <c r="W266" s="51">
        <v>0.56863260984157704</v>
      </c>
      <c r="X266" s="20">
        <f t="shared" si="243"/>
        <v>1.011993554246563E-2</v>
      </c>
      <c r="Y266" s="20">
        <f t="shared" si="244"/>
        <v>-0.10802139037433155</v>
      </c>
      <c r="Z266" s="20">
        <f t="shared" si="245"/>
        <v>0</v>
      </c>
      <c r="AA266" s="20">
        <f t="shared" si="246"/>
        <v>1.632063412567546E-2</v>
      </c>
      <c r="AB266" s="268">
        <f t="shared" si="247"/>
        <v>1.5616766853869035E-2</v>
      </c>
      <c r="AC266" s="269"/>
      <c r="AD266" s="267"/>
      <c r="AE266" s="132"/>
      <c r="AF266" s="134"/>
    </row>
    <row r="267" spans="1:32">
      <c r="A267" s="234">
        <v>8</v>
      </c>
      <c r="B267" s="232" t="s">
        <v>322</v>
      </c>
      <c r="C267" s="12" t="s">
        <v>323</v>
      </c>
      <c r="D267" s="119" t="s">
        <v>23</v>
      </c>
      <c r="E267" s="128">
        <v>615032792.57000005</v>
      </c>
      <c r="F267" s="129">
        <f t="shared" si="241"/>
        <v>1.9387168320276305E-2</v>
      </c>
      <c r="G267" s="119" t="s">
        <v>23</v>
      </c>
      <c r="H267" s="37">
        <v>40.35</v>
      </c>
      <c r="I267" s="119" t="s">
        <v>23</v>
      </c>
      <c r="J267" s="37">
        <v>40.450000000000003</v>
      </c>
      <c r="K267" s="263">
        <v>4850</v>
      </c>
      <c r="L267" s="264">
        <v>8.8000000000000005E-3</v>
      </c>
      <c r="M267" s="264">
        <v>0.44819999999999999</v>
      </c>
      <c r="N267" s="119" t="s">
        <v>23</v>
      </c>
      <c r="O267" s="128">
        <v>610799637.60000002</v>
      </c>
      <c r="P267" s="129">
        <f t="shared" si="242"/>
        <v>1.9070933373227048E-2</v>
      </c>
      <c r="Q267" s="119" t="s">
        <v>23</v>
      </c>
      <c r="R267" s="37">
        <v>40.08</v>
      </c>
      <c r="S267" s="119" t="s">
        <v>23</v>
      </c>
      <c r="T267" s="37">
        <v>40.18</v>
      </c>
      <c r="U267" s="131">
        <v>4890</v>
      </c>
      <c r="V267" s="51">
        <v>-8.9899999999999994E-2</v>
      </c>
      <c r="W267" s="51">
        <v>0.31790000000000002</v>
      </c>
      <c r="X267" s="20">
        <f t="shared" si="243"/>
        <v>-6.8828118128648101E-3</v>
      </c>
      <c r="Y267" s="20">
        <f t="shared" si="244"/>
        <v>-6.6749072929543412E-3</v>
      </c>
      <c r="Z267" s="20">
        <f t="shared" si="245"/>
        <v>8.2474226804123713E-3</v>
      </c>
      <c r="AA267" s="20">
        <f t="shared" si="246"/>
        <v>-9.8699999999999996E-2</v>
      </c>
      <c r="AB267" s="268">
        <f t="shared" si="247"/>
        <v>-0.13029999999999997</v>
      </c>
      <c r="AC267" s="269"/>
      <c r="AD267" s="267"/>
      <c r="AE267" s="132"/>
      <c r="AF267" s="134"/>
    </row>
    <row r="268" spans="1:32">
      <c r="A268" s="234">
        <v>9</v>
      </c>
      <c r="B268" s="232" t="s">
        <v>324</v>
      </c>
      <c r="C268" s="12" t="s">
        <v>323</v>
      </c>
      <c r="D268" s="119" t="s">
        <v>23</v>
      </c>
      <c r="E268" s="133">
        <v>2230884286.9000001</v>
      </c>
      <c r="F268" s="129">
        <f t="shared" si="241"/>
        <v>7.0322314022414206E-2</v>
      </c>
      <c r="G268" s="119" t="s">
        <v>23</v>
      </c>
      <c r="H268" s="37">
        <v>24.79</v>
      </c>
      <c r="I268" s="119" t="s">
        <v>23</v>
      </c>
      <c r="J268" s="37">
        <v>24.79</v>
      </c>
      <c r="K268" s="263">
        <v>6178</v>
      </c>
      <c r="L268" s="264">
        <v>-0.12379999999999999</v>
      </c>
      <c r="M268" s="264">
        <v>0.59319999999999995</v>
      </c>
      <c r="N268" s="119" t="s">
        <v>23</v>
      </c>
      <c r="O268" s="133">
        <v>2293100184.0500002</v>
      </c>
      <c r="P268" s="129">
        <f t="shared" si="242"/>
        <v>7.1597227856888684E-2</v>
      </c>
      <c r="Q268" s="119" t="s">
        <v>23</v>
      </c>
      <c r="R268" s="37">
        <v>25.4</v>
      </c>
      <c r="S268" s="119" t="s">
        <v>23</v>
      </c>
      <c r="T268" s="37">
        <v>25.5</v>
      </c>
      <c r="U268" s="131">
        <v>6219</v>
      </c>
      <c r="V268" s="51">
        <v>5.8999999999999997E-2</v>
      </c>
      <c r="W268" s="51">
        <v>0.63880000000000003</v>
      </c>
      <c r="X268" s="20">
        <f t="shared" si="243"/>
        <v>2.7888446530077219E-2</v>
      </c>
      <c r="Y268" s="20">
        <f t="shared" si="244"/>
        <v>2.8640580879386885E-2</v>
      </c>
      <c r="Z268" s="20">
        <f t="shared" si="245"/>
        <v>6.6364519261897055E-3</v>
      </c>
      <c r="AA268" s="20">
        <f t="shared" si="246"/>
        <v>0.18279999999999999</v>
      </c>
      <c r="AB268" s="268">
        <f t="shared" si="247"/>
        <v>4.5600000000000085E-2</v>
      </c>
      <c r="AC268" s="269"/>
      <c r="AD268" s="267"/>
      <c r="AE268" s="132"/>
      <c r="AF268" s="134"/>
    </row>
    <row r="269" spans="1:32" ht="15" customHeight="1">
      <c r="A269" s="234">
        <v>10</v>
      </c>
      <c r="B269" s="232" t="s">
        <v>325</v>
      </c>
      <c r="C269" s="12" t="s">
        <v>323</v>
      </c>
      <c r="D269" s="119" t="s">
        <v>23</v>
      </c>
      <c r="E269" s="128">
        <v>450489798.38999999</v>
      </c>
      <c r="F269" s="129">
        <f t="shared" si="241"/>
        <v>1.420041606474217E-2</v>
      </c>
      <c r="G269" s="119" t="s">
        <v>23</v>
      </c>
      <c r="H269" s="37">
        <v>145.59</v>
      </c>
      <c r="I269" s="119" t="s">
        <v>23</v>
      </c>
      <c r="J269" s="37">
        <v>147.59</v>
      </c>
      <c r="K269" s="263">
        <v>2615</v>
      </c>
      <c r="L269" s="264">
        <v>-8.3500000000000005E-2</v>
      </c>
      <c r="M269" s="264">
        <v>-1.3599999999999999E-2</v>
      </c>
      <c r="N269" s="119" t="s">
        <v>23</v>
      </c>
      <c r="O269" s="128">
        <v>451183458.89999998</v>
      </c>
      <c r="P269" s="129">
        <f t="shared" si="242"/>
        <v>1.408725407499165E-2</v>
      </c>
      <c r="Q269" s="119" t="s">
        <v>23</v>
      </c>
      <c r="R269" s="37">
        <v>145.81</v>
      </c>
      <c r="S269" s="119" t="s">
        <v>23</v>
      </c>
      <c r="T269" s="37">
        <v>147.81</v>
      </c>
      <c r="U269" s="131">
        <v>2590</v>
      </c>
      <c r="V269" s="51">
        <v>5.3100000000000001E-2</v>
      </c>
      <c r="W269" s="51">
        <v>3.8800000000000001E-2</v>
      </c>
      <c r="X269" s="20">
        <f t="shared" si="243"/>
        <v>1.5397918276486068E-3</v>
      </c>
      <c r="Y269" s="20">
        <f t="shared" si="244"/>
        <v>1.4906158953858586E-3</v>
      </c>
      <c r="Z269" s="20">
        <f t="shared" si="245"/>
        <v>-9.5602294455066923E-3</v>
      </c>
      <c r="AA269" s="20">
        <f t="shared" si="246"/>
        <v>0.1366</v>
      </c>
      <c r="AB269" s="268">
        <f t="shared" si="247"/>
        <v>5.2400000000000002E-2</v>
      </c>
      <c r="AC269" s="269"/>
      <c r="AD269" s="267"/>
      <c r="AE269" s="224"/>
      <c r="AF269" s="135"/>
    </row>
    <row r="270" spans="1:32">
      <c r="A270" s="233">
        <v>11</v>
      </c>
      <c r="B270" s="232" t="s">
        <v>326</v>
      </c>
      <c r="C270" s="12" t="s">
        <v>323</v>
      </c>
      <c r="D270" s="119" t="s">
        <v>23</v>
      </c>
      <c r="E270" s="128">
        <v>13901160231.040001</v>
      </c>
      <c r="F270" s="129">
        <f t="shared" si="241"/>
        <v>0.4381947377474672</v>
      </c>
      <c r="G270" s="119" t="s">
        <v>23</v>
      </c>
      <c r="H270" s="37">
        <v>87.97</v>
      </c>
      <c r="I270" s="119" t="s">
        <v>23</v>
      </c>
      <c r="J270" s="37">
        <v>87.97</v>
      </c>
      <c r="K270" s="263">
        <v>8311</v>
      </c>
      <c r="L270" s="264">
        <v>1.7100000000000001E-2</v>
      </c>
      <c r="M270" s="264">
        <v>0.53100000000000003</v>
      </c>
      <c r="N270" s="119" t="s">
        <v>23</v>
      </c>
      <c r="O270" s="128">
        <v>14038919043.83</v>
      </c>
      <c r="P270" s="129">
        <f t="shared" si="242"/>
        <v>0.43833570492775009</v>
      </c>
      <c r="Q270" s="119" t="s">
        <v>23</v>
      </c>
      <c r="R270" s="37">
        <v>88.87</v>
      </c>
      <c r="S270" s="119" t="s">
        <v>23</v>
      </c>
      <c r="T270" s="37">
        <v>89.07</v>
      </c>
      <c r="U270" s="131">
        <v>8316</v>
      </c>
      <c r="V270" s="51">
        <v>-6.7000000000000002E-3</v>
      </c>
      <c r="W270" s="51">
        <v>0.55010000000000003</v>
      </c>
      <c r="X270" s="20">
        <f t="shared" si="243"/>
        <v>9.9098787799306396E-3</v>
      </c>
      <c r="Y270" s="20">
        <f t="shared" si="244"/>
        <v>1.2504262816869323E-2</v>
      </c>
      <c r="Z270" s="20">
        <f t="shared" si="245"/>
        <v>6.0161232102033451E-4</v>
      </c>
      <c r="AA270" s="20">
        <f t="shared" si="246"/>
        <v>-2.3800000000000002E-2</v>
      </c>
      <c r="AB270" s="268">
        <f t="shared" si="247"/>
        <v>1.9100000000000006E-2</v>
      </c>
      <c r="AC270" s="269"/>
      <c r="AD270" s="267"/>
      <c r="AE270" s="224"/>
      <c r="AF270" s="134"/>
    </row>
    <row r="271" spans="1:32">
      <c r="A271" s="233">
        <v>12</v>
      </c>
      <c r="B271" s="232" t="s">
        <v>327</v>
      </c>
      <c r="C271" s="12" t="s">
        <v>323</v>
      </c>
      <c r="D271" s="119" t="s">
        <v>23</v>
      </c>
      <c r="E271" s="133">
        <v>608382607.49000001</v>
      </c>
      <c r="F271" s="129">
        <f t="shared" si="241"/>
        <v>1.9177540054817147E-2</v>
      </c>
      <c r="G271" s="119" t="s">
        <v>23</v>
      </c>
      <c r="H271" s="37">
        <v>103.69</v>
      </c>
      <c r="I271" s="119" t="s">
        <v>23</v>
      </c>
      <c r="J271" s="37">
        <v>103.89</v>
      </c>
      <c r="K271" s="263">
        <v>4262</v>
      </c>
      <c r="L271" s="264">
        <v>-0.1439</v>
      </c>
      <c r="M271" s="264">
        <v>0.83330000000000004</v>
      </c>
      <c r="N271" s="119" t="s">
        <v>23</v>
      </c>
      <c r="O271" s="133">
        <v>608200839.42999995</v>
      </c>
      <c r="P271" s="129">
        <f t="shared" si="242"/>
        <v>1.898979136904172E-2</v>
      </c>
      <c r="Q271" s="119" t="s">
        <v>23</v>
      </c>
      <c r="R271" s="37">
        <v>103.69</v>
      </c>
      <c r="S271" s="119" t="s">
        <v>23</v>
      </c>
      <c r="T271" s="37">
        <v>103.89</v>
      </c>
      <c r="U271" s="131">
        <v>4273</v>
      </c>
      <c r="V271" s="51">
        <v>8.1799999999999998E-2</v>
      </c>
      <c r="W271" s="51">
        <v>0.82679999999999998</v>
      </c>
      <c r="X271" s="20">
        <f t="shared" si="243"/>
        <v>-2.9877261079172074E-4</v>
      </c>
      <c r="Y271" s="20">
        <f t="shared" si="244"/>
        <v>0</v>
      </c>
      <c r="Z271" s="20">
        <f t="shared" si="245"/>
        <v>2.5809479117785078E-3</v>
      </c>
      <c r="AA271" s="20">
        <f t="shared" si="246"/>
        <v>0.22570000000000001</v>
      </c>
      <c r="AB271" s="268">
        <f t="shared" si="247"/>
        <v>-6.5000000000000613E-3</v>
      </c>
      <c r="AC271" s="269"/>
      <c r="AD271" s="267"/>
      <c r="AE271" s="132"/>
      <c r="AF271" s="135"/>
    </row>
    <row r="272" spans="1:32">
      <c r="A272" s="136"/>
      <c r="B272" s="136"/>
      <c r="C272" s="137" t="s">
        <v>328</v>
      </c>
      <c r="D272" s="138"/>
      <c r="E272" s="121">
        <f>SUM(E260:E271)</f>
        <v>31723704174.310001</v>
      </c>
      <c r="F272" s="122"/>
      <c r="G272" s="122"/>
      <c r="H272" s="122"/>
      <c r="I272" s="122"/>
      <c r="J272" s="123"/>
      <c r="K272" s="121">
        <f>SUM(K260:K271)</f>
        <v>48689</v>
      </c>
      <c r="L272" s="124"/>
      <c r="M272" s="124"/>
      <c r="N272" s="124"/>
      <c r="O272" s="121">
        <f>SUM(O260:O271)</f>
        <v>32027778905.540001</v>
      </c>
      <c r="P272" s="122"/>
      <c r="Q272" s="122"/>
      <c r="R272" s="122"/>
      <c r="S272" s="122"/>
      <c r="T272" s="123"/>
      <c r="U272" s="121">
        <f>SUM(U260:U271)</f>
        <v>48725</v>
      </c>
      <c r="V272" s="124"/>
      <c r="W272" s="124"/>
      <c r="X272" s="20">
        <f t="shared" si="243"/>
        <v>9.5850954087587491E-3</v>
      </c>
      <c r="Y272" s="20" t="e">
        <f t="shared" si="244"/>
        <v>#DIV/0!</v>
      </c>
      <c r="Z272" s="20">
        <f t="shared" si="245"/>
        <v>7.3938671979297173E-4</v>
      </c>
      <c r="AA272" s="20">
        <f t="shared" si="246"/>
        <v>0</v>
      </c>
      <c r="AB272" s="21">
        <f t="shared" si="247"/>
        <v>0</v>
      </c>
      <c r="AD272" s="225"/>
      <c r="AE272" s="225"/>
      <c r="AF272" s="74"/>
    </row>
    <row r="273" spans="1:32">
      <c r="A273" s="139"/>
      <c r="B273" s="139"/>
      <c r="C273" s="140" t="s">
        <v>329</v>
      </c>
      <c r="D273" s="141"/>
      <c r="E273" s="142">
        <f>SUM(E243,E252,E257,E272)</f>
        <v>9716857364572.9727</v>
      </c>
      <c r="F273" s="143"/>
      <c r="G273" s="143"/>
      <c r="H273" s="143"/>
      <c r="I273" s="143"/>
      <c r="J273" s="144"/>
      <c r="K273" s="142">
        <f>SUM(K243,K252,K257,K272)</f>
        <v>1586161</v>
      </c>
      <c r="L273" s="145"/>
      <c r="M273" s="145"/>
      <c r="N273" s="145"/>
      <c r="O273" s="142">
        <f>SUM(O243,O252,O257,O272)</f>
        <v>9728208540864.3008</v>
      </c>
      <c r="P273" s="143"/>
      <c r="Q273" s="143"/>
      <c r="R273" s="143"/>
      <c r="S273" s="143"/>
      <c r="T273" s="142"/>
      <c r="U273" s="142">
        <f>SUM(U243,U252,U257,U272)</f>
        <v>1596882</v>
      </c>
      <c r="V273" s="146"/>
      <c r="W273" s="142"/>
      <c r="X273" s="147"/>
      <c r="Y273" s="148"/>
      <c r="Z273" s="148"/>
      <c r="AA273" s="149"/>
      <c r="AB273" s="149"/>
      <c r="AF273" s="74"/>
    </row>
    <row r="274" spans="1:32">
      <c r="A274" s="150"/>
      <c r="B274" s="150" t="s">
        <v>348</v>
      </c>
      <c r="C274" s="151">
        <v>1337.2873</v>
      </c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  <c r="AA274" s="152"/>
      <c r="AB274" s="152"/>
    </row>
    <row r="275" spans="1:32">
      <c r="B275" s="87"/>
    </row>
    <row r="276" spans="1:32">
      <c r="B276" s="87"/>
      <c r="D276" s="153"/>
      <c r="E276" s="120"/>
      <c r="O276" s="120"/>
    </row>
    <row r="277" spans="1:32" ht="15">
      <c r="B277" s="154"/>
      <c r="C277" s="155"/>
      <c r="D277" s="155"/>
      <c r="E277" s="156"/>
      <c r="H277" s="157"/>
      <c r="I277" s="157"/>
      <c r="J277" s="157"/>
      <c r="L277" s="158"/>
      <c r="M277" s="159"/>
      <c r="N277" s="159"/>
    </row>
    <row r="278" spans="1:32">
      <c r="C278" s="87"/>
      <c r="D278" s="87"/>
    </row>
    <row r="279" spans="1:32">
      <c r="O279" s="103"/>
    </row>
    <row r="280" spans="1:32">
      <c r="B280" s="153"/>
    </row>
    <row r="281" spans="1:32">
      <c r="O281" s="30"/>
    </row>
  </sheetData>
  <sheetProtection algorithmName="SHA-512" hashValue="23Q5ktl4QNk3dOB1r4DuKbJdU3y6+Q/crmsd4wFMlkR7Zh3aa9pMM+5zBDrbs4BRJn8y1gwHM3vrvFiTnlU7pg==" saltValue="HjO4yr1Ncgj19RtHZvYppQ==" spinCount="100000" sheet="1" objects="1" scenarios="1"/>
  <mergeCells count="34">
    <mergeCell ref="A1:AB1"/>
    <mergeCell ref="D2:M2"/>
    <mergeCell ref="N2:W2"/>
    <mergeCell ref="X2:Z2"/>
    <mergeCell ref="AA2:AB2"/>
    <mergeCell ref="B4:AB4"/>
    <mergeCell ref="B5:AB5"/>
    <mergeCell ref="B29:AB29"/>
    <mergeCell ref="B30:AB30"/>
    <mergeCell ref="B80:AB80"/>
    <mergeCell ref="B81:AB81"/>
    <mergeCell ref="B121:AB121"/>
    <mergeCell ref="B122:AB122"/>
    <mergeCell ref="B123:AB123"/>
    <mergeCell ref="B142:AB142"/>
    <mergeCell ref="B143:AB143"/>
    <mergeCell ref="B165:AB165"/>
    <mergeCell ref="B166:AB166"/>
    <mergeCell ref="B174:AB174"/>
    <mergeCell ref="B175:AB175"/>
    <mergeCell ref="B208:AB208"/>
    <mergeCell ref="B209:AB209"/>
    <mergeCell ref="B214:AB214"/>
    <mergeCell ref="B215:AB215"/>
    <mergeCell ref="B216:AB216"/>
    <mergeCell ref="B245:AB245"/>
    <mergeCell ref="B254:AB254"/>
    <mergeCell ref="B258:AB258"/>
    <mergeCell ref="B259:AB259"/>
    <mergeCell ref="B219:AB219"/>
    <mergeCell ref="B220:AB220"/>
    <mergeCell ref="B236:AB236"/>
    <mergeCell ref="B237:AB237"/>
    <mergeCell ref="B244:AA244"/>
  </mergeCells>
  <pageMargins left="0.7" right="0.7" top="0.75" bottom="0.75" header="0.3" footer="0.3"/>
  <pageSetup paperSize="9" orientation="portrait" horizontalDpi="300" verticalDpi="300" r:id="rId1"/>
  <ignoredErrors>
    <ignoredError sqref="F106 F86 P56 F39 P149 F149 O159 R159 T159" formula="1"/>
    <ignoredError sqref="Y173 Y28 Y79 Y120 Y164 Y207 Y213 Y242 Y272 Z255:Z256 X57:Z57 X149 X136:Z136 X52:Z5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H9" sqref="H9"/>
    </sheetView>
  </sheetViews>
  <sheetFormatPr defaultColWidth="9" defaultRowHeight="14.4"/>
  <cols>
    <col min="1" max="1" width="34" style="160" customWidth="1"/>
    <col min="2" max="2" width="15.6640625" style="160" customWidth="1"/>
    <col min="3" max="3" width="16.109375" style="160" customWidth="1"/>
    <col min="4" max="5" width="9" style="160"/>
  </cols>
  <sheetData>
    <row r="1" spans="1:8">
      <c r="A1" s="161"/>
      <c r="B1" s="161"/>
      <c r="C1" s="161"/>
      <c r="D1" s="161"/>
      <c r="E1" s="162"/>
      <c r="F1" s="160"/>
      <c r="G1" s="162"/>
      <c r="H1" s="160"/>
    </row>
    <row r="2" spans="1:8" ht="27.6">
      <c r="A2" s="202" t="s">
        <v>330</v>
      </c>
      <c r="B2" s="203" t="s">
        <v>353</v>
      </c>
      <c r="C2" s="203" t="s">
        <v>354</v>
      </c>
      <c r="D2" s="204"/>
      <c r="E2" s="162"/>
      <c r="F2" s="160"/>
      <c r="G2" s="162"/>
      <c r="H2" s="160"/>
    </row>
    <row r="3" spans="1:8">
      <c r="A3" s="205" t="s">
        <v>20</v>
      </c>
      <c r="B3" s="206">
        <f t="shared" ref="B3:C10" si="0">B13</f>
        <v>231.06539020948182</v>
      </c>
      <c r="C3" s="206">
        <f t="shared" si="0"/>
        <v>230.50219411707869</v>
      </c>
      <c r="D3" s="204"/>
      <c r="E3" s="162"/>
      <c r="F3" s="160"/>
      <c r="G3" s="162"/>
      <c r="H3" s="160"/>
    </row>
    <row r="4" spans="1:8" ht="15.6" customHeight="1">
      <c r="A4" s="202" t="s">
        <v>331</v>
      </c>
      <c r="B4" s="207">
        <f t="shared" si="0"/>
        <v>6414.1599906400807</v>
      </c>
      <c r="C4" s="207">
        <f t="shared" si="0"/>
        <v>6437.0933492841432</v>
      </c>
      <c r="D4" s="204"/>
      <c r="E4" s="162"/>
      <c r="F4" s="160"/>
      <c r="G4" s="162"/>
      <c r="H4" s="160"/>
    </row>
    <row r="5" spans="1:8" ht="16.2" customHeight="1">
      <c r="A5" s="202" t="s">
        <v>332</v>
      </c>
      <c r="B5" s="206">
        <f t="shared" si="0"/>
        <v>232.49234266881004</v>
      </c>
      <c r="C5" s="206">
        <f t="shared" si="0"/>
        <v>233.36438082859928</v>
      </c>
      <c r="D5" s="204"/>
      <c r="E5" s="162"/>
      <c r="F5" s="160"/>
      <c r="G5" s="162"/>
      <c r="H5" s="160"/>
    </row>
    <row r="6" spans="1:8">
      <c r="A6" s="202" t="s">
        <v>184</v>
      </c>
      <c r="B6" s="207">
        <f t="shared" si="0"/>
        <v>1770.8763789972152</v>
      </c>
      <c r="C6" s="207">
        <f t="shared" si="0"/>
        <v>1758.7402819077663</v>
      </c>
      <c r="D6" s="204"/>
      <c r="E6" s="162"/>
      <c r="F6" s="160"/>
      <c r="G6" s="162"/>
      <c r="H6" s="160"/>
    </row>
    <row r="7" spans="1:8">
      <c r="A7" s="202" t="s">
        <v>333</v>
      </c>
      <c r="B7" s="206">
        <f t="shared" si="0"/>
        <v>515.71165235742092</v>
      </c>
      <c r="C7" s="206">
        <f t="shared" si="0"/>
        <v>516.01485615285753</v>
      </c>
      <c r="D7" s="204"/>
      <c r="E7" s="162"/>
      <c r="F7" s="160"/>
      <c r="G7" s="162"/>
      <c r="H7" s="160"/>
    </row>
    <row r="8" spans="1:8">
      <c r="A8" s="202" t="s">
        <v>233</v>
      </c>
      <c r="B8" s="208">
        <f t="shared" si="0"/>
        <v>155.26223252052645</v>
      </c>
      <c r="C8" s="208">
        <f t="shared" si="0"/>
        <v>154.12517796622262</v>
      </c>
      <c r="D8" s="204"/>
      <c r="E8" s="162"/>
      <c r="F8" s="160"/>
      <c r="G8" s="162"/>
      <c r="H8" s="160"/>
    </row>
    <row r="9" spans="1:8">
      <c r="A9" s="202" t="s">
        <v>269</v>
      </c>
      <c r="B9" s="206">
        <f t="shared" si="0"/>
        <v>19.211809027200001</v>
      </c>
      <c r="C9" s="206">
        <f t="shared" si="0"/>
        <v>19.190576649520001</v>
      </c>
      <c r="D9" s="204"/>
      <c r="E9" s="162"/>
      <c r="F9" s="160"/>
      <c r="G9" s="162"/>
      <c r="H9" s="160"/>
    </row>
    <row r="10" spans="1:8">
      <c r="A10" s="202" t="s">
        <v>334</v>
      </c>
      <c r="B10" s="206">
        <f t="shared" si="0"/>
        <v>146.98932152250595</v>
      </c>
      <c r="C10" s="206">
        <f t="shared" si="0"/>
        <v>147.58544425820349</v>
      </c>
      <c r="D10" s="204"/>
      <c r="E10" s="162"/>
      <c r="F10" s="160"/>
      <c r="G10" s="162"/>
      <c r="H10" s="160"/>
    </row>
    <row r="11" spans="1:8">
      <c r="A11" s="202" t="s">
        <v>301</v>
      </c>
      <c r="B11" s="206">
        <f>B21</f>
        <v>53.336376843973525</v>
      </c>
      <c r="C11" s="206">
        <f>C21</f>
        <v>53.493721855760562</v>
      </c>
      <c r="D11" s="204"/>
      <c r="E11" s="162"/>
      <c r="F11" s="160"/>
      <c r="G11" s="162"/>
      <c r="H11" s="160"/>
    </row>
    <row r="12" spans="1:8">
      <c r="A12" s="161"/>
      <c r="B12" s="161"/>
      <c r="C12" s="161"/>
      <c r="D12" s="161"/>
      <c r="E12" s="162"/>
      <c r="F12" s="160"/>
      <c r="G12" s="162"/>
      <c r="H12" s="160"/>
    </row>
    <row r="13" spans="1:8">
      <c r="A13" s="209" t="s">
        <v>20</v>
      </c>
      <c r="B13" s="163">
        <f>'Weekly Valuation'!E28/1000000000</f>
        <v>231.06539020948182</v>
      </c>
      <c r="C13" s="164">
        <f>'Weekly Valuation'!O28/1000000000</f>
        <v>230.50219411707869</v>
      </c>
      <c r="D13" s="161"/>
      <c r="E13" s="162"/>
      <c r="F13" s="160"/>
      <c r="G13" s="162"/>
      <c r="H13" s="160"/>
    </row>
    <row r="14" spans="1:8">
      <c r="A14" s="165" t="s">
        <v>331</v>
      </c>
      <c r="B14" s="163">
        <f>'Weekly Valuation'!E79/1000000000</f>
        <v>6414.1599906400807</v>
      </c>
      <c r="C14" s="210">
        <f>'Weekly Valuation'!O79/1000000000</f>
        <v>6437.0933492841432</v>
      </c>
      <c r="D14" s="161"/>
      <c r="E14" s="162"/>
      <c r="F14" s="160"/>
      <c r="G14" s="162"/>
      <c r="H14" s="160"/>
    </row>
    <row r="15" spans="1:8">
      <c r="A15" s="165" t="s">
        <v>332</v>
      </c>
      <c r="B15" s="163">
        <f>'Weekly Valuation'!E120/1000000000</f>
        <v>232.49234266881004</v>
      </c>
      <c r="C15" s="164">
        <f>'Weekly Valuation'!O120/1000000000</f>
        <v>233.36438082859928</v>
      </c>
      <c r="D15" s="161"/>
      <c r="E15" s="162"/>
      <c r="F15" s="160"/>
      <c r="G15" s="162"/>
      <c r="H15" s="160"/>
    </row>
    <row r="16" spans="1:8">
      <c r="A16" s="165" t="s">
        <v>184</v>
      </c>
      <c r="B16" s="163">
        <f>'Weekly Valuation'!E164/1000000000</f>
        <v>1770.8763789972152</v>
      </c>
      <c r="C16" s="210">
        <f>'Weekly Valuation'!O164/1000000000</f>
        <v>1758.7402819077663</v>
      </c>
      <c r="D16" s="161"/>
      <c r="E16" s="162"/>
      <c r="F16" s="160"/>
      <c r="G16" s="162"/>
      <c r="H16" s="160"/>
    </row>
    <row r="17" spans="1:8">
      <c r="A17" s="165" t="s">
        <v>333</v>
      </c>
      <c r="B17" s="163">
        <f>'Weekly Valuation'!E173/1000000000</f>
        <v>515.71165235742092</v>
      </c>
      <c r="C17" s="164">
        <f>'Weekly Valuation'!O173/1000000000</f>
        <v>516.01485615285753</v>
      </c>
      <c r="D17" s="161"/>
      <c r="E17" s="162"/>
      <c r="F17" s="160"/>
      <c r="G17" s="162"/>
      <c r="H17" s="160"/>
    </row>
    <row r="18" spans="1:8">
      <c r="A18" s="165" t="s">
        <v>233</v>
      </c>
      <c r="B18" s="163">
        <f>'Weekly Valuation'!E207/1000000000</f>
        <v>155.26223252052645</v>
      </c>
      <c r="C18" s="211">
        <f>'Weekly Valuation'!O207/1000000000</f>
        <v>154.12517796622262</v>
      </c>
      <c r="D18" s="161"/>
      <c r="E18" s="162"/>
      <c r="F18" s="160"/>
      <c r="G18" s="162"/>
      <c r="H18" s="160"/>
    </row>
    <row r="19" spans="1:8">
      <c r="A19" s="165" t="s">
        <v>269</v>
      </c>
      <c r="B19" s="163">
        <f>'Weekly Valuation'!E213/1000000000</f>
        <v>19.211809027200001</v>
      </c>
      <c r="C19" s="164">
        <f>'Weekly Valuation'!O213/1000000000</f>
        <v>19.190576649520001</v>
      </c>
      <c r="D19" s="161"/>
      <c r="E19" s="162"/>
      <c r="F19" s="160"/>
      <c r="G19" s="162"/>
      <c r="H19" s="160"/>
    </row>
    <row r="20" spans="1:8">
      <c r="A20" s="165" t="s">
        <v>334</v>
      </c>
      <c r="B20" s="163">
        <f>'Weekly Valuation'!E242/1000000000</f>
        <v>146.98932152250595</v>
      </c>
      <c r="C20" s="164">
        <f>'Weekly Valuation'!O242/1000000000</f>
        <v>147.58544425820349</v>
      </c>
      <c r="D20" s="161"/>
      <c r="E20" s="162"/>
      <c r="F20" s="160"/>
      <c r="G20" s="162"/>
      <c r="H20" s="160"/>
    </row>
    <row r="21" spans="1:8">
      <c r="A21" s="165" t="s">
        <v>301</v>
      </c>
      <c r="B21" s="163">
        <f>'Weekly Valuation'!E252/1000000000</f>
        <v>53.336376843973525</v>
      </c>
      <c r="C21" s="164">
        <f>'Weekly Valuation'!O252/1000000000</f>
        <v>53.493721855760562</v>
      </c>
      <c r="D21" s="161"/>
      <c r="E21" s="162"/>
      <c r="F21" s="160"/>
      <c r="G21" s="162"/>
      <c r="H21" s="160"/>
    </row>
    <row r="22" spans="1:8">
      <c r="A22" s="166"/>
      <c r="B22" s="161"/>
      <c r="C22" s="167"/>
      <c r="D22" s="161"/>
      <c r="F22" s="160"/>
      <c r="G22" s="162"/>
      <c r="H22" s="160"/>
    </row>
    <row r="23" spans="1:8">
      <c r="A23" s="168"/>
      <c r="B23" s="167"/>
      <c r="C23" s="169"/>
      <c r="F23" s="160"/>
      <c r="G23" s="162"/>
      <c r="H23" s="160"/>
    </row>
    <row r="24" spans="1:8">
      <c r="A24" s="168"/>
      <c r="B24" s="167"/>
      <c r="C24" s="167"/>
      <c r="E24" s="162"/>
      <c r="F24" s="160"/>
      <c r="G24" s="162"/>
      <c r="H24" s="160"/>
    </row>
    <row r="25" spans="1:8">
      <c r="A25" s="168"/>
      <c r="B25" s="167"/>
      <c r="C25" s="167"/>
      <c r="E25" s="162"/>
      <c r="F25" s="160"/>
      <c r="G25" s="162"/>
      <c r="H25" s="160"/>
    </row>
    <row r="26" spans="1:8">
      <c r="A26" s="168"/>
      <c r="B26" s="167"/>
      <c r="C26" s="167"/>
      <c r="F26" s="160"/>
      <c r="G26" s="160"/>
      <c r="H26" s="160"/>
    </row>
    <row r="27" spans="1:8">
      <c r="A27" s="170"/>
      <c r="B27" s="171"/>
      <c r="C27" s="171"/>
      <c r="F27" s="160"/>
      <c r="G27" s="160"/>
      <c r="H27" s="160"/>
    </row>
    <row r="28" spans="1:8">
      <c r="A28" s="162"/>
      <c r="B28" s="162"/>
      <c r="C28" s="162"/>
      <c r="F28" s="160"/>
      <c r="G28" s="160"/>
      <c r="H28" s="160"/>
    </row>
    <row r="29" spans="1:8">
      <c r="A29" s="162"/>
      <c r="B29" s="162"/>
      <c r="C29" s="162"/>
      <c r="F29" s="160"/>
      <c r="G29" s="160"/>
      <c r="H29" s="160"/>
    </row>
    <row r="30" spans="1:8">
      <c r="A30" s="162"/>
      <c r="B30" s="162"/>
      <c r="C30" s="162"/>
      <c r="F30" s="160"/>
    </row>
    <row r="31" spans="1:8">
      <c r="A31" s="162"/>
      <c r="B31" s="162"/>
      <c r="C31" s="162"/>
      <c r="F31" s="160"/>
    </row>
    <row r="32" spans="1:8">
      <c r="A32" s="162"/>
      <c r="B32" s="162"/>
      <c r="C32" s="162"/>
      <c r="F32" s="160"/>
    </row>
    <row r="33" spans="1:6">
      <c r="A33" s="162"/>
      <c r="B33" s="162"/>
      <c r="C33" s="162"/>
      <c r="F33" s="160"/>
    </row>
    <row r="34" spans="1:6">
      <c r="F34" s="160"/>
    </row>
    <row r="35" spans="1:6">
      <c r="F35" s="160"/>
    </row>
    <row r="36" spans="1:6">
      <c r="F36" s="160"/>
    </row>
    <row r="37" spans="1:6">
      <c r="F37" s="160"/>
    </row>
    <row r="38" spans="1:6">
      <c r="F38" s="160"/>
    </row>
    <row r="39" spans="1:6">
      <c r="F39" s="160"/>
    </row>
    <row r="40" spans="1:6">
      <c r="F40" s="160"/>
    </row>
    <row r="41" spans="1:6">
      <c r="F41" s="160"/>
    </row>
    <row r="42" spans="1:6">
      <c r="F42" s="160"/>
    </row>
    <row r="43" spans="1:6">
      <c r="F43" s="160"/>
    </row>
    <row r="44" spans="1:6">
      <c r="F44" s="160"/>
    </row>
  </sheetData>
  <sheetProtection algorithmName="SHA-512" hashValue="Vd/xuaKNoItz5rAaEmk4JQmRFvBilhXnCD/2otZk2meiYxCdWHX/FurnjOM/BbRfLnTz8CrCxtPshJwcK/WRQQ==" saltValue="lGQE/BhGoeoSmX14ZZyApw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K15" sqref="K15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12" t="s">
        <v>330</v>
      </c>
      <c r="B1" s="213">
        <v>46262</v>
      </c>
      <c r="C1" s="161"/>
      <c r="D1" s="162"/>
      <c r="E1" s="160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6">
      <c r="A2" s="166" t="s">
        <v>269</v>
      </c>
      <c r="B2" s="167">
        <f>'Weekly Valuation'!O213</f>
        <v>19190576649.52</v>
      </c>
      <c r="C2" s="161"/>
      <c r="D2" s="162"/>
      <c r="E2" s="160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</row>
    <row r="3" spans="1:16">
      <c r="A3" s="166" t="s">
        <v>301</v>
      </c>
      <c r="B3" s="167">
        <f>'Weekly Valuation'!O252</f>
        <v>53493721855.760559</v>
      </c>
      <c r="C3" s="161"/>
      <c r="D3" s="162"/>
      <c r="E3" s="160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</row>
    <row r="4" spans="1:16">
      <c r="A4" s="166" t="s">
        <v>334</v>
      </c>
      <c r="B4" s="167">
        <f>'Weekly Valuation'!O242</f>
        <v>147585444258.20349</v>
      </c>
      <c r="C4" s="161"/>
      <c r="D4" s="162"/>
      <c r="E4" s="160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6">
      <c r="A5" s="166" t="s">
        <v>233</v>
      </c>
      <c r="B5" s="169">
        <f>'Weekly Valuation'!O207</f>
        <v>154125177966.22263</v>
      </c>
      <c r="C5" s="161"/>
      <c r="D5" s="162"/>
      <c r="E5" s="160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</row>
    <row r="6" spans="1:16">
      <c r="A6" s="166" t="s">
        <v>20</v>
      </c>
      <c r="B6" s="167">
        <f>'Weekly Valuation'!O28</f>
        <v>230502194117.07867</v>
      </c>
      <c r="C6" s="161"/>
      <c r="D6" s="162"/>
      <c r="E6" s="160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</row>
    <row r="7" spans="1:16">
      <c r="A7" s="166" t="s">
        <v>332</v>
      </c>
      <c r="B7" s="167">
        <f>'Weekly Valuation'!O120</f>
        <v>233364380828.59927</v>
      </c>
      <c r="C7" s="161"/>
      <c r="D7" s="162"/>
      <c r="E7" s="160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</row>
    <row r="8" spans="1:16">
      <c r="A8" s="166" t="s">
        <v>333</v>
      </c>
      <c r="B8" s="167">
        <f>'Weekly Valuation'!O173</f>
        <v>516014856152.85748</v>
      </c>
      <c r="C8" s="161"/>
      <c r="D8" s="162"/>
      <c r="E8" s="160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</row>
    <row r="9" spans="1:16">
      <c r="A9" s="166" t="s">
        <v>184</v>
      </c>
      <c r="B9" s="214">
        <f>'Weekly Valuation'!O164</f>
        <v>1758740281907.7664</v>
      </c>
      <c r="C9" s="161"/>
      <c r="D9" s="162"/>
      <c r="E9" s="160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</row>
    <row r="10" spans="1:16">
      <c r="A10" s="166" t="s">
        <v>331</v>
      </c>
      <c r="B10" s="214">
        <f>'Weekly Valuation'!O79</f>
        <v>6437093349284.1436</v>
      </c>
      <c r="C10" s="161"/>
      <c r="D10" s="162"/>
      <c r="E10" s="160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</row>
    <row r="11" spans="1:16">
      <c r="A11" s="161"/>
      <c r="B11" s="161"/>
      <c r="C11" s="161"/>
      <c r="D11" s="162"/>
      <c r="E11" s="160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</row>
    <row r="12" spans="1:16">
      <c r="A12" s="166"/>
      <c r="B12" s="215"/>
      <c r="C12" s="161"/>
      <c r="D12" s="162"/>
      <c r="E12" s="160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</row>
    <row r="13" spans="1:16">
      <c r="A13" s="166"/>
      <c r="B13" s="161"/>
      <c r="C13" s="161"/>
      <c r="D13" s="162"/>
      <c r="E13" s="160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</row>
    <row r="14" spans="1:16">
      <c r="A14" s="171"/>
      <c r="B14" s="171"/>
      <c r="C14" s="265"/>
      <c r="D14" s="162"/>
      <c r="E14" s="160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</row>
    <row r="15" spans="1:16">
      <c r="A15" s="171"/>
      <c r="B15" s="171"/>
      <c r="C15" s="162"/>
      <c r="D15" s="162"/>
      <c r="E15" s="160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</row>
    <row r="16" spans="1:16" ht="16.5" customHeight="1">
      <c r="A16" s="170"/>
      <c r="B16" s="266"/>
      <c r="C16" s="162"/>
      <c r="D16" s="162"/>
      <c r="E16" s="160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</row>
    <row r="17" spans="1:16">
      <c r="A17" s="171"/>
      <c r="B17" s="171"/>
      <c r="C17" s="162"/>
      <c r="D17" s="162"/>
      <c r="E17" s="160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</row>
    <row r="18" spans="1:16">
      <c r="A18" s="171"/>
      <c r="B18" s="171"/>
      <c r="C18" s="162"/>
      <c r="D18" s="162"/>
      <c r="E18" s="160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</row>
    <row r="19" spans="1:16">
      <c r="A19" s="195"/>
      <c r="B19" s="171"/>
      <c r="C19" s="162"/>
      <c r="D19" s="162"/>
      <c r="E19" s="160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</row>
    <row r="20" spans="1:16">
      <c r="A20" s="195"/>
      <c r="B20" s="195"/>
      <c r="C20" s="162"/>
      <c r="D20" s="162"/>
      <c r="E20" s="160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</row>
    <row r="21" spans="1:16">
      <c r="A21" s="195"/>
      <c r="B21" s="195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</row>
    <row r="22" spans="1:16">
      <c r="A22" s="170"/>
      <c r="B22" s="195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</row>
    <row r="23" spans="1:16">
      <c r="A23" s="162"/>
      <c r="B23" s="195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1:16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16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</row>
    <row r="26" spans="1:16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</row>
    <row r="27" spans="1:16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16">
      <c r="A28" s="160"/>
      <c r="B28" s="160"/>
      <c r="C28" s="160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</row>
    <row r="29" spans="1:16">
      <c r="A29" s="160"/>
      <c r="B29" s="160"/>
      <c r="C29" s="160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</row>
    <row r="30" spans="1:16">
      <c r="A30" s="160"/>
      <c r="B30" s="160"/>
      <c r="C30" s="160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</row>
    <row r="31" spans="1:16">
      <c r="A31" s="160"/>
      <c r="B31" s="160"/>
      <c r="C31" s="160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</row>
    <row r="32" spans="1:16">
      <c r="A32" s="162"/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</row>
    <row r="33" spans="1:17" ht="16.5" customHeight="1">
      <c r="A33" s="250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172"/>
    </row>
    <row r="34" spans="1:17" ht="15" customHeight="1">
      <c r="A34" s="250"/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172"/>
    </row>
    <row r="35" spans="1:17">
      <c r="A35" s="162"/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</row>
    <row r="36" spans="1:17">
      <c r="A36" s="162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</row>
    <row r="37" spans="1:17">
      <c r="A37" s="162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</row>
    <row r="38" spans="1:17">
      <c r="A38" s="162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</row>
  </sheetData>
  <sheetProtection algorithmName="SHA-512" hashValue="brZOlq84WAlvesZgWOn++DfRr9EPLavbE4+UiOS1oAOkg+8SygSumItoRHBXwsgoxPmELB2/DL5jStzNislZ+Q==" saltValue="G5P6VC1C/ql9gGEBUptU8A==" spinCount="100000" sheet="1" selectLockedCells="1" selectUnlockedCells="1"/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F8" sqref="F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2"/>
      <c r="L1" s="162"/>
      <c r="M1" s="162"/>
      <c r="N1" s="162"/>
      <c r="O1" s="162"/>
    </row>
    <row r="2" spans="1:15">
      <c r="A2" s="216" t="s">
        <v>335</v>
      </c>
      <c r="B2" s="217">
        <v>46213</v>
      </c>
      <c r="C2" s="217">
        <v>46220</v>
      </c>
      <c r="D2" s="217">
        <v>46227</v>
      </c>
      <c r="E2" s="217">
        <v>46234</v>
      </c>
      <c r="F2" s="217">
        <v>46241</v>
      </c>
      <c r="G2" s="217">
        <v>46248</v>
      </c>
      <c r="H2" s="217">
        <v>46255</v>
      </c>
      <c r="I2" s="217">
        <v>46262</v>
      </c>
      <c r="J2" s="160"/>
      <c r="K2" s="162"/>
      <c r="L2" s="162"/>
      <c r="M2" s="162"/>
      <c r="N2" s="162"/>
      <c r="O2" s="162"/>
    </row>
    <row r="3" spans="1:15">
      <c r="A3" s="216" t="s">
        <v>336</v>
      </c>
      <c r="B3" s="218">
        <f t="shared" ref="B3:I3" si="0">B4</f>
        <v>9322.9578326476822</v>
      </c>
      <c r="C3" s="218">
        <f t="shared" si="0"/>
        <v>9381.6721985894019</v>
      </c>
      <c r="D3" s="218">
        <f t="shared" si="0"/>
        <v>9403.97354604477</v>
      </c>
      <c r="E3" s="218">
        <f t="shared" si="0"/>
        <v>9322.9578326476822</v>
      </c>
      <c r="F3" s="218">
        <f t="shared" si="0"/>
        <v>9473.0392209383554</v>
      </c>
      <c r="G3" s="218">
        <f t="shared" si="0"/>
        <v>9514.0087054555552</v>
      </c>
      <c r="H3" s="218">
        <f t="shared" si="0"/>
        <v>9539.1054947872126</v>
      </c>
      <c r="I3" s="218">
        <f t="shared" si="0"/>
        <v>9550.1099830201529</v>
      </c>
      <c r="J3" s="160"/>
      <c r="K3" s="162"/>
      <c r="L3" s="162"/>
      <c r="M3" s="162"/>
      <c r="N3" s="162"/>
      <c r="O3" s="162"/>
    </row>
    <row r="4" spans="1:15">
      <c r="A4" s="160"/>
      <c r="B4" s="219">
        <f>'NAV Trend'!C11/1000000000</f>
        <v>9322.9578326476822</v>
      </c>
      <c r="C4" s="219">
        <f>'NAV Trend'!D11/1000000000</f>
        <v>9381.6721985894019</v>
      </c>
      <c r="D4" s="219">
        <f>'NAV Trend'!E11/1000000000</f>
        <v>9403.97354604477</v>
      </c>
      <c r="E4" s="219">
        <f>'NAV Trend'!F11/1000000000</f>
        <v>9322.9578326476822</v>
      </c>
      <c r="F4" s="219">
        <f>'NAV Trend'!G11/1000000000</f>
        <v>9473.0392209383554</v>
      </c>
      <c r="G4" s="219">
        <f>'NAV Trend'!H11/1000000000</f>
        <v>9514.0087054555552</v>
      </c>
      <c r="H4" s="220">
        <f>'NAV Trend'!I11/1000000000</f>
        <v>9539.1054947872126</v>
      </c>
      <c r="I4" s="220">
        <f>'NAV Trend'!J11/1000000000</f>
        <v>9550.1099830201529</v>
      </c>
      <c r="J4" s="160"/>
      <c r="K4" s="162"/>
      <c r="L4" s="162"/>
      <c r="M4" s="162"/>
      <c r="N4" s="162"/>
      <c r="O4" s="162"/>
    </row>
    <row r="5" spans="1:15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2"/>
      <c r="L5" s="162"/>
      <c r="M5" s="162"/>
      <c r="N5" s="162"/>
      <c r="O5" s="162"/>
    </row>
    <row r="6" spans="1:15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5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5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5">
      <c r="A9" s="160"/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2"/>
      <c r="M9" s="162"/>
      <c r="N9" s="162"/>
      <c r="O9" s="162"/>
    </row>
    <row r="10" spans="1:15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2"/>
      <c r="M10" s="162"/>
      <c r="N10" s="162"/>
      <c r="O10" s="162"/>
    </row>
    <row r="11" spans="1:15">
      <c r="A11" s="162"/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</row>
    <row r="12" spans="1:15">
      <c r="A12" s="162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</row>
    <row r="13" spans="1:15">
      <c r="A13" s="162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</row>
    <row r="14" spans="1:15">
      <c r="A14" s="162"/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</row>
    <row r="15" spans="1:15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</row>
    <row r="16" spans="1:15">
      <c r="A16" s="162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</row>
    <row r="17" spans="1:15">
      <c r="A17" s="162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</row>
    <row r="18" spans="1:15"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</row>
    <row r="19" spans="1:15"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</row>
    <row r="20" spans="1:15"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</row>
  </sheetData>
  <sheetProtection algorithmName="SHA-512" hashValue="DiFvlc6FW7QLW9xrXxhT3vPEW7JEspoW3jniqHQGivYNBrO7OdMxWmIbvnXPAjCMsVwl8wkYLeL1npd5Rh4ZSw==" saltValue="iiXje0jLsxIWF35gicFmUA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F28" sqref="F2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162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0"/>
      <c r="N1" s="162"/>
      <c r="O1" s="160"/>
      <c r="P1" s="162"/>
    </row>
    <row r="2" spans="1:16">
      <c r="A2" s="216" t="s">
        <v>335</v>
      </c>
      <c r="B2" s="217">
        <v>46213</v>
      </c>
      <c r="C2" s="217">
        <v>46220</v>
      </c>
      <c r="D2" s="217">
        <v>46227</v>
      </c>
      <c r="E2" s="217">
        <v>46234</v>
      </c>
      <c r="F2" s="217">
        <v>46241</v>
      </c>
      <c r="G2" s="217">
        <v>46248</v>
      </c>
      <c r="H2" s="217">
        <v>46255</v>
      </c>
      <c r="I2" s="217">
        <v>46262</v>
      </c>
      <c r="J2" s="160"/>
      <c r="K2" s="162"/>
      <c r="L2" s="162"/>
      <c r="M2" s="160"/>
      <c r="N2" s="162"/>
      <c r="O2" s="160"/>
      <c r="P2" s="162"/>
    </row>
    <row r="3" spans="1:16">
      <c r="A3" s="216" t="s">
        <v>337</v>
      </c>
      <c r="B3" s="218">
        <f t="shared" ref="B3:I3" si="0">B4</f>
        <v>31.056126253639995</v>
      </c>
      <c r="C3" s="218">
        <f t="shared" si="0"/>
        <v>31.336682253870002</v>
      </c>
      <c r="D3" s="218">
        <f t="shared" si="0"/>
        <v>31.945291834430002</v>
      </c>
      <c r="E3" s="218">
        <f t="shared" si="0"/>
        <v>31.056126253639995</v>
      </c>
      <c r="F3" s="218">
        <f t="shared" si="0"/>
        <v>31.9642466514</v>
      </c>
      <c r="G3" s="218">
        <f t="shared" si="0"/>
        <v>31.696141977819998</v>
      </c>
      <c r="H3" s="218">
        <f t="shared" si="0"/>
        <v>31.723704174310001</v>
      </c>
      <c r="I3" s="218">
        <f t="shared" si="0"/>
        <v>32.027778905540004</v>
      </c>
      <c r="J3" s="160"/>
      <c r="K3" s="162"/>
      <c r="L3" s="162"/>
      <c r="M3" s="160"/>
      <c r="N3" s="162"/>
      <c r="O3" s="160"/>
      <c r="P3" s="162"/>
    </row>
    <row r="4" spans="1:16">
      <c r="A4" s="160"/>
      <c r="B4" s="219">
        <f>'NAV Trend'!C17/1000000000</f>
        <v>31.056126253639995</v>
      </c>
      <c r="C4" s="219">
        <f>'NAV Trend'!D17/1000000000</f>
        <v>31.336682253870002</v>
      </c>
      <c r="D4" s="219">
        <f>'NAV Trend'!E17/1000000000</f>
        <v>31.945291834430002</v>
      </c>
      <c r="E4" s="219">
        <f>'NAV Trend'!F17/1000000000</f>
        <v>31.056126253639995</v>
      </c>
      <c r="F4" s="219">
        <f>'NAV Trend'!G17/1000000000</f>
        <v>31.9642466514</v>
      </c>
      <c r="G4" s="219">
        <f>'NAV Trend'!H17/1000000000</f>
        <v>31.696141977819998</v>
      </c>
      <c r="H4" s="219">
        <f>'NAV Trend'!I17/1000000000</f>
        <v>31.723704174310001</v>
      </c>
      <c r="I4" s="220">
        <f>'NAV Trend'!J17/1000000000</f>
        <v>32.027778905540004</v>
      </c>
      <c r="J4" s="160"/>
      <c r="K4" s="162"/>
      <c r="L4" s="162"/>
      <c r="M4" s="160"/>
      <c r="N4" s="162"/>
      <c r="O4" s="160"/>
      <c r="P4" s="162"/>
    </row>
    <row r="5" spans="1:16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0"/>
      <c r="N5" s="162"/>
      <c r="O5" s="160"/>
      <c r="P5" s="162"/>
    </row>
    <row r="6" spans="1:16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0"/>
      <c r="N6" s="162"/>
      <c r="O6" s="160"/>
    </row>
    <row r="7" spans="1:16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2"/>
      <c r="O7" s="160"/>
    </row>
    <row r="8" spans="1:16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2"/>
      <c r="O8" s="160"/>
    </row>
    <row r="9" spans="1:16">
      <c r="A9" s="160"/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2"/>
      <c r="O9" s="160"/>
    </row>
    <row r="10" spans="1:16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2"/>
      <c r="O10" s="162"/>
    </row>
    <row r="11" spans="1:16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2"/>
      <c r="O11" s="162"/>
    </row>
    <row r="12" spans="1:16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2"/>
      <c r="O12" s="162"/>
    </row>
    <row r="13" spans="1:16">
      <c r="A13" s="160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2"/>
      <c r="O13" s="162"/>
    </row>
    <row r="14" spans="1:16">
      <c r="A14" s="160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2"/>
      <c r="O14" s="162"/>
    </row>
    <row r="15" spans="1:16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</row>
    <row r="16" spans="1:16">
      <c r="A16" s="162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</row>
    <row r="17" spans="1:15">
      <c r="A17" s="162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</row>
    <row r="18" spans="1:15">
      <c r="A18" s="162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</row>
    <row r="19" spans="1:1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</row>
    <row r="20" spans="1:1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</row>
  </sheetData>
  <sheetProtection algorithmName="SHA-512" hashValue="h998Sl8XX/p/0vyCQtof2oMYqMUegvahytZly148fX6T6oymFrAL5ausXUeF204tPUBPhFX4/wQKpaG6zsdILA==" saltValue="62hYEgVYRuKDVLuxaWZFj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H17" sqref="H17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73" t="s">
        <v>330</v>
      </c>
      <c r="B1" s="174">
        <v>46206</v>
      </c>
      <c r="C1" s="174">
        <v>46213</v>
      </c>
      <c r="D1" s="174">
        <v>46220</v>
      </c>
      <c r="E1" s="174">
        <v>46227</v>
      </c>
      <c r="F1" s="174">
        <v>46234</v>
      </c>
      <c r="G1" s="174">
        <v>46241</v>
      </c>
      <c r="H1" s="174">
        <v>46248</v>
      </c>
      <c r="I1" s="174">
        <v>46255</v>
      </c>
      <c r="J1" s="174">
        <v>46262</v>
      </c>
    </row>
    <row r="2" spans="1:11">
      <c r="A2" s="175" t="s">
        <v>20</v>
      </c>
      <c r="B2" s="176">
        <v>219906762308.28189</v>
      </c>
      <c r="C2" s="176">
        <v>233624998694.32019</v>
      </c>
      <c r="D2" s="176">
        <v>236000007287.03455</v>
      </c>
      <c r="E2" s="176">
        <v>243584191406.27057</v>
      </c>
      <c r="F2" s="176">
        <v>233624998694.32019</v>
      </c>
      <c r="G2" s="176">
        <v>240418021544.64868</v>
      </c>
      <c r="H2" s="176">
        <v>235546477247.46704</v>
      </c>
      <c r="I2" s="176">
        <v>231065390209.48181</v>
      </c>
      <c r="J2" s="176">
        <v>230502194117.07867</v>
      </c>
    </row>
    <row r="3" spans="1:11">
      <c r="A3" s="175" t="s">
        <v>331</v>
      </c>
      <c r="B3" s="176">
        <v>6078870736633.8916</v>
      </c>
      <c r="C3" s="176">
        <v>6164179726414.5693</v>
      </c>
      <c r="D3" s="176">
        <v>6207558805093.9512</v>
      </c>
      <c r="E3" s="176">
        <v>6248357839213.2686</v>
      </c>
      <c r="F3" s="176">
        <v>6164179726414.5693</v>
      </c>
      <c r="G3" s="176">
        <v>6317695873571.1484</v>
      </c>
      <c r="H3" s="176">
        <v>6366419032258.9531</v>
      </c>
      <c r="I3" s="176">
        <v>6414159990640.0811</v>
      </c>
      <c r="J3" s="176">
        <v>6437093349284.1436</v>
      </c>
    </row>
    <row r="4" spans="1:11">
      <c r="A4" s="175" t="s">
        <v>332</v>
      </c>
      <c r="B4" s="177">
        <v>224778205687.13</v>
      </c>
      <c r="C4" s="177">
        <v>235470566797.78436</v>
      </c>
      <c r="D4" s="177">
        <v>232334352087.52002</v>
      </c>
      <c r="E4" s="177">
        <v>231519537257.32001</v>
      </c>
      <c r="F4" s="177">
        <v>235470566797.78436</v>
      </c>
      <c r="G4" s="177">
        <v>233630900617.31619</v>
      </c>
      <c r="H4" s="177">
        <v>232808557047.479</v>
      </c>
      <c r="I4" s="177">
        <v>232492342668.81003</v>
      </c>
      <c r="J4" s="177">
        <v>233364380828.59927</v>
      </c>
    </row>
    <row r="5" spans="1:11">
      <c r="A5" s="175" t="s">
        <v>184</v>
      </c>
      <c r="B5" s="176">
        <v>1809497759289.1062</v>
      </c>
      <c r="C5" s="176">
        <v>1840983211609.0078</v>
      </c>
      <c r="D5" s="176">
        <v>1846186820822.3879</v>
      </c>
      <c r="E5" s="176">
        <v>1815332456606.916</v>
      </c>
      <c r="F5" s="176">
        <v>1840983211609.0078</v>
      </c>
      <c r="G5" s="176">
        <v>1807367624568.1487</v>
      </c>
      <c r="H5" s="176">
        <v>1787991095686.9766</v>
      </c>
      <c r="I5" s="176">
        <v>1770876378997.2151</v>
      </c>
      <c r="J5" s="176">
        <v>1758740281907.7664</v>
      </c>
    </row>
    <row r="6" spans="1:11">
      <c r="A6" s="175" t="s">
        <v>333</v>
      </c>
      <c r="B6" s="177">
        <v>510574823049.37</v>
      </c>
      <c r="C6" s="177">
        <v>510399385098.47247</v>
      </c>
      <c r="D6" s="177">
        <v>514463159081.96002</v>
      </c>
      <c r="E6" s="177">
        <v>514799543384.96002</v>
      </c>
      <c r="F6" s="177">
        <v>510399385098.47247</v>
      </c>
      <c r="G6" s="177">
        <v>516172971983.63861</v>
      </c>
      <c r="H6" s="177">
        <v>515357872458.55438</v>
      </c>
      <c r="I6" s="177">
        <v>515711652357.42096</v>
      </c>
      <c r="J6" s="177">
        <v>516014856152.85748</v>
      </c>
    </row>
    <row r="7" spans="1:11">
      <c r="A7" s="175" t="s">
        <v>233</v>
      </c>
      <c r="B7" s="178">
        <v>145960852012.67419</v>
      </c>
      <c r="C7" s="178">
        <v>151729930899.94</v>
      </c>
      <c r="D7" s="178">
        <v>154388918533.28998</v>
      </c>
      <c r="E7" s="178">
        <v>156906093941.63248</v>
      </c>
      <c r="F7" s="178">
        <v>151729930899.94</v>
      </c>
      <c r="G7" s="178">
        <v>158028617924.33823</v>
      </c>
      <c r="H7" s="178">
        <v>156056456839.63123</v>
      </c>
      <c r="I7" s="178">
        <v>155262232520.52646</v>
      </c>
      <c r="J7" s="178">
        <v>154125177966.22263</v>
      </c>
    </row>
    <row r="8" spans="1:11">
      <c r="A8" s="175" t="s">
        <v>269</v>
      </c>
      <c r="B8" s="179">
        <v>17599717633.849998</v>
      </c>
      <c r="C8" s="179">
        <v>18942985724.459999</v>
      </c>
      <c r="D8" s="179">
        <v>19086490745.490002</v>
      </c>
      <c r="E8" s="179">
        <v>19528315351.420002</v>
      </c>
      <c r="F8" s="179">
        <v>18942985724.459999</v>
      </c>
      <c r="G8" s="179">
        <v>19658399662.889999</v>
      </c>
      <c r="H8" s="179">
        <v>19214258027.82</v>
      </c>
      <c r="I8" s="179">
        <v>19211809027.200001</v>
      </c>
      <c r="J8" s="179">
        <v>19190576649.52</v>
      </c>
    </row>
    <row r="9" spans="1:11">
      <c r="A9" s="175" t="s">
        <v>334</v>
      </c>
      <c r="B9" s="179">
        <v>131921165339.61</v>
      </c>
      <c r="C9" s="179">
        <v>136086951484.06001</v>
      </c>
      <c r="D9" s="179">
        <v>139831898248.72</v>
      </c>
      <c r="E9" s="179">
        <v>141929775877.30997</v>
      </c>
      <c r="F9" s="179">
        <v>136086951484.06001</v>
      </c>
      <c r="G9" s="179">
        <v>147785318686.10263</v>
      </c>
      <c r="H9" s="179">
        <v>147478677239.20694</v>
      </c>
      <c r="I9" s="179">
        <v>146989321522.50595</v>
      </c>
      <c r="J9" s="179">
        <v>147585444258.20349</v>
      </c>
    </row>
    <row r="10" spans="1:11">
      <c r="A10" s="175" t="s">
        <v>301</v>
      </c>
      <c r="B10" s="179">
        <v>31376500637.018864</v>
      </c>
      <c r="C10" s="179">
        <v>31540075925.065651</v>
      </c>
      <c r="D10" s="179">
        <v>31821746689.049664</v>
      </c>
      <c r="E10" s="179">
        <v>32015793005.67083</v>
      </c>
      <c r="F10" s="179">
        <v>31540075925.065651</v>
      </c>
      <c r="G10" s="179">
        <v>32281492380.12281</v>
      </c>
      <c r="H10" s="179">
        <v>53136278649.465897</v>
      </c>
      <c r="I10" s="179">
        <v>53336376843.973526</v>
      </c>
      <c r="J10" s="179">
        <v>53493721855.760559</v>
      </c>
    </row>
    <row r="11" spans="1:11" ht="15.6">
      <c r="A11" s="180" t="s">
        <v>338</v>
      </c>
      <c r="B11" s="181">
        <f t="shared" ref="B11:J11" si="0">SUM(B2:B10)</f>
        <v>9170486522590.9316</v>
      </c>
      <c r="C11" s="181">
        <f t="shared" si="0"/>
        <v>9322957832647.6816</v>
      </c>
      <c r="D11" s="181">
        <f t="shared" si="0"/>
        <v>9381672198589.4023</v>
      </c>
      <c r="E11" s="181">
        <f t="shared" si="0"/>
        <v>9403973546044.7695</v>
      </c>
      <c r="F11" s="181">
        <f t="shared" si="0"/>
        <v>9322957832647.6816</v>
      </c>
      <c r="G11" s="181">
        <f t="shared" si="0"/>
        <v>9473039220938.3555</v>
      </c>
      <c r="H11" s="181">
        <f t="shared" si="0"/>
        <v>9514008705455.5547</v>
      </c>
      <c r="I11" s="181">
        <f t="shared" si="0"/>
        <v>9539105494787.2129</v>
      </c>
      <c r="J11" s="181">
        <f t="shared" si="0"/>
        <v>9550109983020.1523</v>
      </c>
    </row>
    <row r="12" spans="1:11">
      <c r="A12" s="182"/>
      <c r="B12" s="183"/>
      <c r="C12" s="183"/>
      <c r="D12" s="183"/>
      <c r="E12" s="183"/>
      <c r="F12" s="183"/>
      <c r="G12" s="183"/>
      <c r="H12" s="183"/>
      <c r="I12" s="182"/>
      <c r="J12" s="182"/>
    </row>
    <row r="13" spans="1:11" ht="15.6">
      <c r="A13" s="184" t="s">
        <v>339</v>
      </c>
      <c r="B13" s="185" t="s">
        <v>310</v>
      </c>
      <c r="C13" s="186">
        <f>(B11+C11)/2</f>
        <v>9246722177619.3066</v>
      </c>
      <c r="D13" s="187">
        <f t="shared" ref="D13:J13" si="1">(C11+D11)/2</f>
        <v>9352315015618.543</v>
      </c>
      <c r="E13" s="187">
        <f t="shared" si="1"/>
        <v>9392822872317.0859</v>
      </c>
      <c r="F13" s="187">
        <f t="shared" si="1"/>
        <v>9363465689346.2266</v>
      </c>
      <c r="G13" s="187">
        <f t="shared" si="1"/>
        <v>9397998526793.0195</v>
      </c>
      <c r="H13" s="187">
        <f t="shared" si="1"/>
        <v>9493523963196.9551</v>
      </c>
      <c r="I13" s="187">
        <f t="shared" si="1"/>
        <v>9526557100121.3828</v>
      </c>
      <c r="J13" s="187">
        <f t="shared" si="1"/>
        <v>9544607738903.6836</v>
      </c>
    </row>
    <row r="14" spans="1:11">
      <c r="C14" s="162"/>
      <c r="D14" s="162"/>
      <c r="E14" s="162"/>
      <c r="F14" s="162"/>
      <c r="G14" s="162"/>
      <c r="H14" s="162"/>
      <c r="I14" s="162"/>
      <c r="J14" s="162"/>
      <c r="K14" s="162"/>
    </row>
    <row r="15" spans="1:11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162"/>
    </row>
    <row r="16" spans="1:11" ht="15.6">
      <c r="A16" s="173" t="s">
        <v>3</v>
      </c>
      <c r="B16" s="174">
        <v>46206</v>
      </c>
      <c r="C16" s="174">
        <v>46213</v>
      </c>
      <c r="D16" s="174">
        <v>46220</v>
      </c>
      <c r="E16" s="174">
        <v>46227</v>
      </c>
      <c r="F16" s="174">
        <v>46234</v>
      </c>
      <c r="G16" s="174">
        <v>46241</v>
      </c>
      <c r="H16" s="174">
        <v>46248</v>
      </c>
      <c r="I16" s="174">
        <v>46255</v>
      </c>
      <c r="J16" s="174">
        <v>46262</v>
      </c>
      <c r="K16" s="162"/>
    </row>
    <row r="17" spans="1:11">
      <c r="A17" s="188" t="s">
        <v>340</v>
      </c>
      <c r="B17" s="189">
        <v>29355227401.119999</v>
      </c>
      <c r="C17" s="189">
        <v>31056126253.639996</v>
      </c>
      <c r="D17" s="189">
        <v>31336682253.870003</v>
      </c>
      <c r="E17" s="189">
        <v>31945291834.43</v>
      </c>
      <c r="F17" s="189">
        <v>31056126253.639996</v>
      </c>
      <c r="G17" s="189">
        <v>31964246651.400002</v>
      </c>
      <c r="H17" s="189">
        <v>31696141977.82</v>
      </c>
      <c r="I17" s="189">
        <v>31723704174.310001</v>
      </c>
      <c r="J17" s="189">
        <v>32027778905.540001</v>
      </c>
      <c r="K17" s="162"/>
    </row>
    <row r="18" spans="1:11">
      <c r="A18" s="162"/>
      <c r="B18" s="162"/>
      <c r="C18" s="162"/>
      <c r="D18" s="162"/>
      <c r="E18" s="162"/>
      <c r="F18" s="162"/>
      <c r="G18" s="162"/>
      <c r="H18" s="162"/>
      <c r="I18" s="162"/>
      <c r="J18" s="162"/>
      <c r="K18" s="162"/>
    </row>
    <row r="19" spans="1:11">
      <c r="A19" s="162"/>
      <c r="B19" s="162"/>
      <c r="C19" s="190"/>
      <c r="D19" s="190"/>
      <c r="E19" s="190"/>
      <c r="F19" s="190"/>
      <c r="G19" s="190"/>
      <c r="H19" s="190"/>
      <c r="I19" s="190"/>
      <c r="J19" s="190"/>
      <c r="K19" s="162"/>
    </row>
    <row r="20" spans="1:11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62"/>
    </row>
    <row r="21" spans="1:11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</row>
    <row r="22" spans="1:11">
      <c r="B22" s="162"/>
      <c r="C22" s="162"/>
      <c r="D22" s="162"/>
      <c r="E22" s="162"/>
      <c r="F22" s="162"/>
      <c r="G22" s="162"/>
      <c r="H22" s="162"/>
      <c r="I22" s="162"/>
      <c r="J22" s="191"/>
      <c r="K22" s="162"/>
    </row>
    <row r="23" spans="1:11">
      <c r="B23" s="162"/>
      <c r="C23" s="162"/>
      <c r="D23" s="162"/>
      <c r="E23" s="162"/>
      <c r="F23" s="162"/>
      <c r="G23" s="162"/>
      <c r="H23" s="162"/>
      <c r="I23" s="162"/>
      <c r="J23" s="179"/>
      <c r="K23" s="160"/>
    </row>
  </sheetData>
  <sheetProtection algorithmName="SHA-512" hashValue="JuXH0NkD+MJ47DH2nmh8mPnplH44QKUPLqFllKdMbbM7MO/ZVjzab3Xr5AInwFPwWjHLp3erZFcewL+EX/Lbww==" saltValue="AuTrooGY3yB2TnhrwgtKhQ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C11 D11: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cp:lastPrinted>2026-08-13T11:22:50Z</cp:lastPrinted>
  <dcterms:created xsi:type="dcterms:W3CDTF">2023-10-09T09:40:00Z</dcterms:created>
  <dcterms:modified xsi:type="dcterms:W3CDTF">2026-09-13T21:26:23Z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