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isaac\Desktop\Monthly Mutual Fund Update 2026\"/>
    </mc:Choice>
  </mc:AlternateContent>
  <bookViews>
    <workbookView xWindow="0" yWindow="0" windowWidth="28800" windowHeight="11256"/>
  </bookViews>
  <sheets>
    <sheet name="June" sheetId="7" r:id="rId1"/>
    <sheet name="NAV Comparison" sheetId="2" r:id="rId2"/>
    <sheet name="Market Share" sheetId="3" r:id="rId3"/>
    <sheet name="Unitholders" sheetId="6" r:id="rId4"/>
  </sheets>
  <externalReferences>
    <externalReference r:id="rId5"/>
  </externalReferences>
  <definedNames>
    <definedName name="_Hlk34300669" localSheetId="0">June!$K$69</definedName>
    <definedName name="Component">"Group"</definedName>
    <definedName name="FX_RATE">June!$C$249</definedName>
    <definedName name="pbCountingPages">FALSE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40" i="7" l="1"/>
  <c r="R240" i="7"/>
  <c r="K240" i="7"/>
  <c r="G240" i="7"/>
  <c r="F240" i="7"/>
  <c r="E240" i="7"/>
  <c r="D240" i="7"/>
  <c r="D205" i="7"/>
  <c r="K140" i="7" l="1"/>
  <c r="K132" i="7" l="1"/>
  <c r="G132" i="7" l="1"/>
  <c r="E132" i="7"/>
  <c r="D132" i="7"/>
  <c r="M241" i="7" l="1"/>
  <c r="N241" i="7"/>
  <c r="P241" i="7"/>
  <c r="M242" i="7"/>
  <c r="N242" i="7"/>
  <c r="P242" i="7"/>
  <c r="M243" i="7"/>
  <c r="N243" i="7"/>
  <c r="P243" i="7"/>
  <c r="M244" i="7"/>
  <c r="N244" i="7"/>
  <c r="P244" i="7"/>
  <c r="M233" i="7"/>
  <c r="N233" i="7"/>
  <c r="P233" i="7"/>
  <c r="M234" i="7"/>
  <c r="N234" i="7"/>
  <c r="P234" i="7"/>
  <c r="M235" i="7"/>
  <c r="N235" i="7"/>
  <c r="P235" i="7"/>
  <c r="M217" i="7"/>
  <c r="N217" i="7"/>
  <c r="P217" i="7"/>
  <c r="M218" i="7"/>
  <c r="N218" i="7"/>
  <c r="P218" i="7"/>
  <c r="M219" i="7"/>
  <c r="N219" i="7"/>
  <c r="P219" i="7"/>
  <c r="M220" i="7"/>
  <c r="N220" i="7"/>
  <c r="P220" i="7"/>
  <c r="M221" i="7"/>
  <c r="N221" i="7"/>
  <c r="P221" i="7"/>
  <c r="M222" i="7"/>
  <c r="N222" i="7"/>
  <c r="P222" i="7"/>
  <c r="M223" i="7"/>
  <c r="N223" i="7"/>
  <c r="P223" i="7"/>
  <c r="M224" i="7"/>
  <c r="N224" i="7"/>
  <c r="P224" i="7"/>
  <c r="M225" i="7"/>
  <c r="N225" i="7"/>
  <c r="P225" i="7"/>
  <c r="M226" i="7"/>
  <c r="N226" i="7"/>
  <c r="P226" i="7"/>
  <c r="M227" i="7"/>
  <c r="N227" i="7"/>
  <c r="P227" i="7"/>
  <c r="M228" i="7"/>
  <c r="N228" i="7"/>
  <c r="P228" i="7"/>
  <c r="M229" i="7"/>
  <c r="N229" i="7"/>
  <c r="P229" i="7"/>
  <c r="M213" i="7"/>
  <c r="N213" i="7"/>
  <c r="P213" i="7"/>
  <c r="M206" i="7"/>
  <c r="N206" i="7"/>
  <c r="P206" i="7"/>
  <c r="M207" i="7"/>
  <c r="N207" i="7"/>
  <c r="P207" i="7"/>
  <c r="M173" i="7"/>
  <c r="N173" i="7"/>
  <c r="P173" i="7"/>
  <c r="M174" i="7"/>
  <c r="N174" i="7"/>
  <c r="P174" i="7"/>
  <c r="M175" i="7"/>
  <c r="N175" i="7"/>
  <c r="P175" i="7"/>
  <c r="M176" i="7"/>
  <c r="N176" i="7"/>
  <c r="P176" i="7"/>
  <c r="M177" i="7"/>
  <c r="N177" i="7"/>
  <c r="P177" i="7"/>
  <c r="M178" i="7"/>
  <c r="N178" i="7"/>
  <c r="P178" i="7"/>
  <c r="M179" i="7"/>
  <c r="N179" i="7"/>
  <c r="P179" i="7"/>
  <c r="M180" i="7"/>
  <c r="N180" i="7"/>
  <c r="P180" i="7"/>
  <c r="M181" i="7"/>
  <c r="N181" i="7"/>
  <c r="P181" i="7"/>
  <c r="M182" i="7"/>
  <c r="N182" i="7"/>
  <c r="P182" i="7"/>
  <c r="M183" i="7"/>
  <c r="N183" i="7"/>
  <c r="P183" i="7"/>
  <c r="M184" i="7"/>
  <c r="N184" i="7"/>
  <c r="P184" i="7"/>
  <c r="M185" i="7"/>
  <c r="N185" i="7"/>
  <c r="P185" i="7"/>
  <c r="M186" i="7"/>
  <c r="N186" i="7"/>
  <c r="P186" i="7"/>
  <c r="M187" i="7"/>
  <c r="N187" i="7"/>
  <c r="P187" i="7"/>
  <c r="M188" i="7"/>
  <c r="N188" i="7"/>
  <c r="P188" i="7"/>
  <c r="M189" i="7"/>
  <c r="N189" i="7"/>
  <c r="P189" i="7"/>
  <c r="M190" i="7"/>
  <c r="N190" i="7"/>
  <c r="P190" i="7"/>
  <c r="M191" i="7"/>
  <c r="N191" i="7"/>
  <c r="P191" i="7"/>
  <c r="M192" i="7"/>
  <c r="N192" i="7"/>
  <c r="P192" i="7"/>
  <c r="M193" i="7"/>
  <c r="N193" i="7"/>
  <c r="P193" i="7"/>
  <c r="M194" i="7"/>
  <c r="N194" i="7"/>
  <c r="P194" i="7"/>
  <c r="M195" i="7"/>
  <c r="N195" i="7"/>
  <c r="P195" i="7"/>
  <c r="M196" i="7"/>
  <c r="N196" i="7"/>
  <c r="P196" i="7"/>
  <c r="M197" i="7"/>
  <c r="N197" i="7"/>
  <c r="P197" i="7"/>
  <c r="M198" i="7"/>
  <c r="N198" i="7"/>
  <c r="P198" i="7"/>
  <c r="M199" i="7"/>
  <c r="N199" i="7"/>
  <c r="P199" i="7"/>
  <c r="M200" i="7"/>
  <c r="N200" i="7"/>
  <c r="P200" i="7"/>
  <c r="M201" i="7"/>
  <c r="N201" i="7"/>
  <c r="P201" i="7"/>
  <c r="M164" i="7"/>
  <c r="N164" i="7"/>
  <c r="P164" i="7"/>
  <c r="M165" i="7"/>
  <c r="N165" i="7"/>
  <c r="P165" i="7"/>
  <c r="M166" i="7"/>
  <c r="N166" i="7"/>
  <c r="P166" i="7"/>
  <c r="M167" i="7"/>
  <c r="N167" i="7"/>
  <c r="P167" i="7"/>
  <c r="M168" i="7"/>
  <c r="N168" i="7"/>
  <c r="P168" i="7"/>
  <c r="M145" i="7"/>
  <c r="N145" i="7"/>
  <c r="P145" i="7"/>
  <c r="M155" i="7"/>
  <c r="N155" i="7"/>
  <c r="P155" i="7"/>
  <c r="M130" i="7"/>
  <c r="N130" i="7"/>
  <c r="P130" i="7"/>
  <c r="M131" i="7"/>
  <c r="N131" i="7"/>
  <c r="P131" i="7"/>
  <c r="M132" i="7"/>
  <c r="N132" i="7"/>
  <c r="P132" i="7"/>
  <c r="M135" i="7"/>
  <c r="N135" i="7"/>
  <c r="P135" i="7"/>
  <c r="M79" i="7"/>
  <c r="N79" i="7"/>
  <c r="P79" i="7"/>
  <c r="M80" i="7"/>
  <c r="N80" i="7"/>
  <c r="P80" i="7"/>
  <c r="M81" i="7"/>
  <c r="N81" i="7"/>
  <c r="P81" i="7"/>
  <c r="M82" i="7"/>
  <c r="N82" i="7"/>
  <c r="P82" i="7"/>
  <c r="M83" i="7"/>
  <c r="N83" i="7"/>
  <c r="P83" i="7"/>
  <c r="M84" i="7"/>
  <c r="N84" i="7"/>
  <c r="P84" i="7"/>
  <c r="M85" i="7"/>
  <c r="N85" i="7"/>
  <c r="P85" i="7"/>
  <c r="M86" i="7"/>
  <c r="N86" i="7"/>
  <c r="P86" i="7"/>
  <c r="M87" i="7"/>
  <c r="N87" i="7"/>
  <c r="P87" i="7"/>
  <c r="M88" i="7"/>
  <c r="N88" i="7"/>
  <c r="P88" i="7"/>
  <c r="M89" i="7"/>
  <c r="N89" i="7"/>
  <c r="P89" i="7"/>
  <c r="M90" i="7"/>
  <c r="N90" i="7"/>
  <c r="P90" i="7"/>
  <c r="M91" i="7"/>
  <c r="N91" i="7"/>
  <c r="P91" i="7"/>
  <c r="M92" i="7"/>
  <c r="N92" i="7"/>
  <c r="P92" i="7"/>
  <c r="M93" i="7"/>
  <c r="N93" i="7"/>
  <c r="P93" i="7"/>
  <c r="M94" i="7"/>
  <c r="N94" i="7"/>
  <c r="P94" i="7"/>
  <c r="M95" i="7"/>
  <c r="N95" i="7"/>
  <c r="P95" i="7"/>
  <c r="M96" i="7"/>
  <c r="N96" i="7"/>
  <c r="P96" i="7"/>
  <c r="M97" i="7"/>
  <c r="N97" i="7"/>
  <c r="P97" i="7"/>
  <c r="M98" i="7"/>
  <c r="N98" i="7"/>
  <c r="P98" i="7"/>
  <c r="M99" i="7"/>
  <c r="N99" i="7"/>
  <c r="P99" i="7"/>
  <c r="M100" i="7"/>
  <c r="N100" i="7"/>
  <c r="P100" i="7"/>
  <c r="M101" i="7"/>
  <c r="N101" i="7"/>
  <c r="P101" i="7"/>
  <c r="M102" i="7"/>
  <c r="N102" i="7"/>
  <c r="P102" i="7"/>
  <c r="M103" i="7"/>
  <c r="N103" i="7"/>
  <c r="P103" i="7"/>
  <c r="M104" i="7"/>
  <c r="N104" i="7"/>
  <c r="P104" i="7"/>
  <c r="M105" i="7"/>
  <c r="N105" i="7"/>
  <c r="P105" i="7"/>
  <c r="M106" i="7"/>
  <c r="N106" i="7"/>
  <c r="P106" i="7"/>
  <c r="M107" i="7"/>
  <c r="N107" i="7"/>
  <c r="P107" i="7"/>
  <c r="M108" i="7"/>
  <c r="N108" i="7"/>
  <c r="P108" i="7"/>
  <c r="M109" i="7"/>
  <c r="N109" i="7"/>
  <c r="P109" i="7"/>
  <c r="M110" i="7"/>
  <c r="N110" i="7"/>
  <c r="P110" i="7"/>
  <c r="M111" i="7"/>
  <c r="N111" i="7"/>
  <c r="P111" i="7"/>
  <c r="M112" i="7"/>
  <c r="N112" i="7"/>
  <c r="P112" i="7"/>
  <c r="M113" i="7"/>
  <c r="N113" i="7"/>
  <c r="P113" i="7"/>
  <c r="M114" i="7"/>
  <c r="N114" i="7"/>
  <c r="P114" i="7"/>
  <c r="M115" i="7"/>
  <c r="N115" i="7"/>
  <c r="P115" i="7"/>
  <c r="M29" i="7"/>
  <c r="N29" i="7"/>
  <c r="P29" i="7"/>
  <c r="M30" i="7"/>
  <c r="N30" i="7"/>
  <c r="P30" i="7"/>
  <c r="M31" i="7"/>
  <c r="N31" i="7"/>
  <c r="P31" i="7"/>
  <c r="M32" i="7"/>
  <c r="N32" i="7"/>
  <c r="P32" i="7"/>
  <c r="M33" i="7"/>
  <c r="N33" i="7"/>
  <c r="P33" i="7"/>
  <c r="M34" i="7"/>
  <c r="N34" i="7"/>
  <c r="P34" i="7"/>
  <c r="M35" i="7"/>
  <c r="N35" i="7"/>
  <c r="P35" i="7"/>
  <c r="M36" i="7"/>
  <c r="N36" i="7"/>
  <c r="P36" i="7"/>
  <c r="M37" i="7"/>
  <c r="N37" i="7"/>
  <c r="P37" i="7"/>
  <c r="M38" i="7"/>
  <c r="N38" i="7"/>
  <c r="P38" i="7"/>
  <c r="M39" i="7"/>
  <c r="N39" i="7"/>
  <c r="P39" i="7"/>
  <c r="M40" i="7"/>
  <c r="N40" i="7"/>
  <c r="P40" i="7"/>
  <c r="M41" i="7"/>
  <c r="N41" i="7"/>
  <c r="P41" i="7"/>
  <c r="M42" i="7"/>
  <c r="N42" i="7"/>
  <c r="P42" i="7"/>
  <c r="M43" i="7"/>
  <c r="N43" i="7"/>
  <c r="P43" i="7"/>
  <c r="M44" i="7"/>
  <c r="N44" i="7"/>
  <c r="P44" i="7"/>
  <c r="M45" i="7"/>
  <c r="N45" i="7"/>
  <c r="P45" i="7"/>
  <c r="M46" i="7"/>
  <c r="N46" i="7"/>
  <c r="P46" i="7"/>
  <c r="M47" i="7"/>
  <c r="N47" i="7"/>
  <c r="P47" i="7"/>
  <c r="M48" i="7"/>
  <c r="N48" i="7"/>
  <c r="P48" i="7"/>
  <c r="M49" i="7"/>
  <c r="N49" i="7"/>
  <c r="P49" i="7"/>
  <c r="M50" i="7"/>
  <c r="N50" i="7"/>
  <c r="P50" i="7"/>
  <c r="M51" i="7"/>
  <c r="N51" i="7"/>
  <c r="P51" i="7"/>
  <c r="M52" i="7"/>
  <c r="N52" i="7"/>
  <c r="P52" i="7"/>
  <c r="M53" i="7"/>
  <c r="N53" i="7"/>
  <c r="O53" i="7"/>
  <c r="P53" i="7"/>
  <c r="Q53" i="7"/>
  <c r="M54" i="7"/>
  <c r="N54" i="7"/>
  <c r="P54" i="7"/>
  <c r="M55" i="7"/>
  <c r="N55" i="7"/>
  <c r="P55" i="7"/>
  <c r="M56" i="7"/>
  <c r="N56" i="7"/>
  <c r="P56" i="7"/>
  <c r="M57" i="7"/>
  <c r="N57" i="7"/>
  <c r="P57" i="7"/>
  <c r="M58" i="7"/>
  <c r="N58" i="7"/>
  <c r="P58" i="7"/>
  <c r="M59" i="7"/>
  <c r="N59" i="7"/>
  <c r="P59" i="7"/>
  <c r="M60" i="7"/>
  <c r="N60" i="7"/>
  <c r="P60" i="7"/>
  <c r="M61" i="7"/>
  <c r="N61" i="7"/>
  <c r="P61" i="7"/>
  <c r="M62" i="7"/>
  <c r="N62" i="7"/>
  <c r="P62" i="7"/>
  <c r="M63" i="7"/>
  <c r="N63" i="7"/>
  <c r="P63" i="7"/>
  <c r="M64" i="7"/>
  <c r="N64" i="7"/>
  <c r="P64" i="7"/>
  <c r="M65" i="7"/>
  <c r="N65" i="7"/>
  <c r="P65" i="7"/>
  <c r="M66" i="7"/>
  <c r="N66" i="7"/>
  <c r="P66" i="7"/>
  <c r="M67" i="7"/>
  <c r="N67" i="7"/>
  <c r="P67" i="7"/>
  <c r="M68" i="7"/>
  <c r="N68" i="7"/>
  <c r="P68" i="7"/>
  <c r="M69" i="7"/>
  <c r="N69" i="7"/>
  <c r="P69" i="7"/>
  <c r="M70" i="7"/>
  <c r="N70" i="7"/>
  <c r="P70" i="7"/>
  <c r="M71" i="7"/>
  <c r="N71" i="7"/>
  <c r="P71" i="7"/>
  <c r="M72" i="7"/>
  <c r="N72" i="7"/>
  <c r="P72" i="7"/>
  <c r="M73" i="7"/>
  <c r="N73" i="7"/>
  <c r="P73" i="7"/>
  <c r="M74" i="7"/>
  <c r="N74" i="7"/>
  <c r="P74" i="7"/>
  <c r="M6" i="7"/>
  <c r="N6" i="7"/>
  <c r="P6" i="7"/>
  <c r="M7" i="7"/>
  <c r="N7" i="7"/>
  <c r="P7" i="7"/>
  <c r="M8" i="7"/>
  <c r="N8" i="7"/>
  <c r="P8" i="7"/>
  <c r="M9" i="7"/>
  <c r="N9" i="7"/>
  <c r="P9" i="7"/>
  <c r="M10" i="7"/>
  <c r="N10" i="7"/>
  <c r="P10" i="7"/>
  <c r="M11" i="7"/>
  <c r="N11" i="7"/>
  <c r="P11" i="7"/>
  <c r="M12" i="7"/>
  <c r="N12" i="7"/>
  <c r="P12" i="7"/>
  <c r="M13" i="7"/>
  <c r="N13" i="7"/>
  <c r="P13" i="7"/>
  <c r="M14" i="7"/>
  <c r="N14" i="7"/>
  <c r="P14" i="7"/>
  <c r="M15" i="7"/>
  <c r="N15" i="7"/>
  <c r="P15" i="7"/>
  <c r="M16" i="7"/>
  <c r="N16" i="7"/>
  <c r="P16" i="7"/>
  <c r="M17" i="7"/>
  <c r="N17" i="7"/>
  <c r="P17" i="7"/>
  <c r="M18" i="7"/>
  <c r="N18" i="7"/>
  <c r="P18" i="7"/>
  <c r="M19" i="7"/>
  <c r="N19" i="7"/>
  <c r="P19" i="7"/>
  <c r="M20" i="7"/>
  <c r="N20" i="7"/>
  <c r="P20" i="7"/>
  <c r="M21" i="7"/>
  <c r="N21" i="7"/>
  <c r="P21" i="7"/>
  <c r="M22" i="7"/>
  <c r="N22" i="7"/>
  <c r="P22" i="7"/>
  <c r="M23" i="7"/>
  <c r="N23" i="7"/>
  <c r="P23" i="7"/>
  <c r="M24" i="7"/>
  <c r="N24" i="7"/>
  <c r="P24" i="7"/>
  <c r="C13" i="2" l="1"/>
  <c r="C12" i="2"/>
  <c r="C11" i="2"/>
  <c r="C10" i="2"/>
  <c r="C9" i="2"/>
  <c r="C8" i="2"/>
  <c r="C6" i="2"/>
  <c r="C5" i="2"/>
  <c r="S132" i="7" l="1"/>
  <c r="R132" i="7"/>
  <c r="S150" i="7"/>
  <c r="R150" i="7"/>
  <c r="H13" i="7" l="1"/>
  <c r="S137" i="7"/>
  <c r="R137" i="7"/>
  <c r="K137" i="7"/>
  <c r="G137" i="7"/>
  <c r="N137" i="7" s="1"/>
  <c r="E137" i="7"/>
  <c r="D137" i="7"/>
  <c r="M137" i="7" l="1"/>
  <c r="P137" i="7"/>
  <c r="O13" i="7"/>
  <c r="Q13" i="7"/>
  <c r="S136" i="7"/>
  <c r="R136" i="7"/>
  <c r="K136" i="7"/>
  <c r="G136" i="7"/>
  <c r="N136" i="7" s="1"/>
  <c r="E136" i="7"/>
  <c r="D136" i="7"/>
  <c r="V133" i="7"/>
  <c r="U133" i="7"/>
  <c r="S133" i="7"/>
  <c r="R133" i="7"/>
  <c r="K133" i="7"/>
  <c r="E133" i="7"/>
  <c r="D133" i="7"/>
  <c r="S158" i="7"/>
  <c r="R158" i="7"/>
  <c r="K158" i="7"/>
  <c r="G158" i="7"/>
  <c r="N158" i="7" s="1"/>
  <c r="F158" i="7"/>
  <c r="E158" i="7"/>
  <c r="D158" i="7"/>
  <c r="S159" i="7"/>
  <c r="R159" i="7"/>
  <c r="K159" i="7"/>
  <c r="E159" i="7"/>
  <c r="D159" i="7"/>
  <c r="S157" i="7"/>
  <c r="R157" i="7"/>
  <c r="K157" i="7"/>
  <c r="F157" i="7"/>
  <c r="G157" i="7"/>
  <c r="N157" i="7" s="1"/>
  <c r="E157" i="7"/>
  <c r="D157" i="7"/>
  <c r="M157" i="7" l="1"/>
  <c r="P157" i="7"/>
  <c r="M158" i="7"/>
  <c r="P158" i="7"/>
  <c r="P136" i="7"/>
  <c r="M136" i="7"/>
  <c r="N159" i="7"/>
  <c r="P159" i="7"/>
  <c r="M159" i="7"/>
  <c r="M133" i="7"/>
  <c r="N133" i="7"/>
  <c r="P133" i="7"/>
  <c r="S153" i="7"/>
  <c r="R153" i="7"/>
  <c r="K153" i="7"/>
  <c r="G153" i="7"/>
  <c r="E153" i="7"/>
  <c r="D153" i="7"/>
  <c r="S152" i="7"/>
  <c r="R152" i="7"/>
  <c r="K152" i="7"/>
  <c r="G152" i="7"/>
  <c r="N152" i="7" s="1"/>
  <c r="E152" i="7"/>
  <c r="D152" i="7"/>
  <c r="S151" i="7"/>
  <c r="R151" i="7"/>
  <c r="K151" i="7"/>
  <c r="G151" i="7"/>
  <c r="F151" i="7"/>
  <c r="E151" i="7"/>
  <c r="D151" i="7"/>
  <c r="K150" i="7"/>
  <c r="G150" i="7"/>
  <c r="N150" i="7" s="1"/>
  <c r="E150" i="7"/>
  <c r="D150" i="7"/>
  <c r="S149" i="7"/>
  <c r="R149" i="7"/>
  <c r="K149" i="7"/>
  <c r="G149" i="7"/>
  <c r="N149" i="7" s="1"/>
  <c r="E149" i="7"/>
  <c r="D149" i="7"/>
  <c r="S147" i="7"/>
  <c r="R147" i="7"/>
  <c r="K147" i="7"/>
  <c r="G147" i="7"/>
  <c r="N147" i="7" s="1"/>
  <c r="E147" i="7"/>
  <c r="D147" i="7"/>
  <c r="S127" i="7"/>
  <c r="R127" i="7"/>
  <c r="K127" i="7"/>
  <c r="G127" i="7"/>
  <c r="N127" i="7" s="1"/>
  <c r="E127" i="7"/>
  <c r="D127" i="7"/>
  <c r="P151" i="7" l="1"/>
  <c r="M151" i="7"/>
  <c r="M153" i="7"/>
  <c r="P153" i="7"/>
  <c r="N151" i="7"/>
  <c r="N153" i="7"/>
  <c r="M127" i="7"/>
  <c r="P127" i="7"/>
  <c r="P149" i="7"/>
  <c r="M149" i="7"/>
  <c r="P152" i="7"/>
  <c r="M152" i="7"/>
  <c r="P147" i="7"/>
  <c r="M147" i="7"/>
  <c r="P150" i="7"/>
  <c r="M150" i="7"/>
  <c r="S126" i="7"/>
  <c r="R126" i="7" l="1"/>
  <c r="K126" i="7"/>
  <c r="G126" i="7"/>
  <c r="N126" i="7" s="1"/>
  <c r="E126" i="7"/>
  <c r="D126" i="7"/>
  <c r="P126" i="7" l="1"/>
  <c r="M126" i="7"/>
  <c r="R125" i="7"/>
  <c r="S125" i="7"/>
  <c r="K125" i="7"/>
  <c r="G125" i="7"/>
  <c r="N125" i="7" s="1"/>
  <c r="E125" i="7"/>
  <c r="D125" i="7"/>
  <c r="S124" i="7"/>
  <c r="R124" i="7"/>
  <c r="K124" i="7"/>
  <c r="F124" i="7"/>
  <c r="E124" i="7"/>
  <c r="D124" i="7"/>
  <c r="S144" i="7"/>
  <c r="R144" i="7"/>
  <c r="K144" i="7"/>
  <c r="G144" i="7"/>
  <c r="N144" i="7" s="1"/>
  <c r="E144" i="7"/>
  <c r="D144" i="7"/>
  <c r="S143" i="7"/>
  <c r="R143" i="7"/>
  <c r="K143" i="7"/>
  <c r="G143" i="7"/>
  <c r="E143" i="7"/>
  <c r="D143" i="7"/>
  <c r="S142" i="7"/>
  <c r="R142" i="7"/>
  <c r="K142" i="7"/>
  <c r="G142" i="7"/>
  <c r="N142" i="7" s="1"/>
  <c r="E142" i="7"/>
  <c r="D142" i="7"/>
  <c r="S141" i="7"/>
  <c r="R141" i="7"/>
  <c r="K141" i="7"/>
  <c r="G141" i="7"/>
  <c r="E141" i="7"/>
  <c r="D141" i="7"/>
  <c r="S140" i="7"/>
  <c r="R140" i="7"/>
  <c r="G140" i="7"/>
  <c r="E140" i="7"/>
  <c r="D140" i="7"/>
  <c r="R122" i="7"/>
  <c r="S122" i="7"/>
  <c r="K122" i="7"/>
  <c r="G122" i="7"/>
  <c r="N122" i="7" s="1"/>
  <c r="F122" i="7"/>
  <c r="E122" i="7"/>
  <c r="D122" i="7"/>
  <c r="S123" i="7"/>
  <c r="R123" i="7"/>
  <c r="K123" i="7"/>
  <c r="G123" i="7"/>
  <c r="N123" i="7" s="1"/>
  <c r="F123" i="7"/>
  <c r="E123" i="7"/>
  <c r="D123" i="7"/>
  <c r="S121" i="7"/>
  <c r="R121" i="7"/>
  <c r="P143" i="7" l="1"/>
  <c r="M143" i="7"/>
  <c r="P141" i="7"/>
  <c r="M141" i="7"/>
  <c r="M124" i="7"/>
  <c r="N124" i="7"/>
  <c r="P124" i="7"/>
  <c r="P122" i="7"/>
  <c r="M122" i="7"/>
  <c r="M123" i="7"/>
  <c r="P123" i="7"/>
  <c r="M142" i="7"/>
  <c r="P142" i="7"/>
  <c r="M144" i="7"/>
  <c r="P144" i="7"/>
  <c r="M125" i="7"/>
  <c r="P125" i="7"/>
  <c r="N141" i="7"/>
  <c r="N143" i="7"/>
  <c r="K121" i="7"/>
  <c r="G121" i="7"/>
  <c r="N121" i="7" s="1"/>
  <c r="E121" i="7"/>
  <c r="D121" i="7"/>
  <c r="M121" i="7" l="1"/>
  <c r="P121" i="7"/>
  <c r="S120" i="7"/>
  <c r="R120" i="7"/>
  <c r="S146" i="7" l="1"/>
  <c r="R146" i="7"/>
  <c r="K146" i="7"/>
  <c r="E146" i="7"/>
  <c r="D146" i="7"/>
  <c r="S145" i="7"/>
  <c r="R145" i="7"/>
  <c r="S128" i="7"/>
  <c r="R128" i="7"/>
  <c r="K128" i="7"/>
  <c r="G128" i="7"/>
  <c r="N128" i="7" s="1"/>
  <c r="E128" i="7"/>
  <c r="D128" i="7"/>
  <c r="S129" i="7"/>
  <c r="R129" i="7"/>
  <c r="K129" i="7"/>
  <c r="G129" i="7"/>
  <c r="N129" i="7" s="1"/>
  <c r="E129" i="7"/>
  <c r="D129" i="7"/>
  <c r="S148" i="7"/>
  <c r="R148" i="7"/>
  <c r="K148" i="7"/>
  <c r="G148" i="7"/>
  <c r="N148" i="7" s="1"/>
  <c r="E148" i="7"/>
  <c r="D148" i="7"/>
  <c r="S156" i="7"/>
  <c r="R156" i="7"/>
  <c r="K156" i="7"/>
  <c r="G156" i="7"/>
  <c r="N156" i="7" s="1"/>
  <c r="E156" i="7"/>
  <c r="D156" i="7"/>
  <c r="M148" i="7" l="1"/>
  <c r="P148" i="7"/>
  <c r="M128" i="7"/>
  <c r="P128" i="7"/>
  <c r="M156" i="7"/>
  <c r="P156" i="7"/>
  <c r="M129" i="7"/>
  <c r="P129" i="7"/>
  <c r="M146" i="7"/>
  <c r="N146" i="7"/>
  <c r="P146" i="7"/>
  <c r="S243" i="7"/>
  <c r="R243" i="7"/>
  <c r="S131" i="7"/>
  <c r="R131" i="7"/>
  <c r="S130" i="7"/>
  <c r="R130" i="7"/>
  <c r="S154" i="7"/>
  <c r="R154" i="7"/>
  <c r="K154" i="7"/>
  <c r="G154" i="7"/>
  <c r="N154" i="7" s="1"/>
  <c r="E154" i="7"/>
  <c r="D154" i="7"/>
  <c r="S245" i="7"/>
  <c r="R245" i="7"/>
  <c r="K245" i="7"/>
  <c r="G245" i="7"/>
  <c r="N245" i="7" s="1"/>
  <c r="E245" i="7"/>
  <c r="D245" i="7"/>
  <c r="H190" i="7"/>
  <c r="S134" i="7"/>
  <c r="R134" i="7"/>
  <c r="K134" i="7"/>
  <c r="G134" i="7"/>
  <c r="N134" i="7" s="1"/>
  <c r="E134" i="7"/>
  <c r="H134" i="7" s="1"/>
  <c r="D134" i="7"/>
  <c r="H58" i="7"/>
  <c r="H244" i="7"/>
  <c r="O134" i="7" l="1"/>
  <c r="Q134" i="7"/>
  <c r="Q244" i="7"/>
  <c r="O244" i="7"/>
  <c r="Q190" i="7"/>
  <c r="O190" i="7"/>
  <c r="O58" i="7"/>
  <c r="Q58" i="7"/>
  <c r="P245" i="7"/>
  <c r="L245" i="7"/>
  <c r="M245" i="7"/>
  <c r="P134" i="7"/>
  <c r="M134" i="7"/>
  <c r="M154" i="7"/>
  <c r="P154" i="7"/>
  <c r="D5" i="2"/>
  <c r="T246" i="7"/>
  <c r="B14" i="6" s="1"/>
  <c r="K246" i="7"/>
  <c r="I246" i="7"/>
  <c r="J240" i="7" s="1"/>
  <c r="H245" i="7"/>
  <c r="H243" i="7"/>
  <c r="H242" i="7"/>
  <c r="H241" i="7"/>
  <c r="P240" i="7"/>
  <c r="N240" i="7"/>
  <c r="M240" i="7"/>
  <c r="H240" i="7"/>
  <c r="T236" i="7"/>
  <c r="B13" i="6" s="1"/>
  <c r="K236" i="7"/>
  <c r="I236" i="7"/>
  <c r="H235" i="7"/>
  <c r="H234" i="7"/>
  <c r="H233" i="7"/>
  <c r="P232" i="7"/>
  <c r="N232" i="7"/>
  <c r="M232" i="7"/>
  <c r="H232" i="7"/>
  <c r="H229" i="7"/>
  <c r="H228" i="7"/>
  <c r="H227" i="7"/>
  <c r="H226" i="7"/>
  <c r="H225" i="7"/>
  <c r="H224" i="7"/>
  <c r="H223" i="7"/>
  <c r="H222" i="7"/>
  <c r="H221" i="7"/>
  <c r="H220" i="7"/>
  <c r="H219" i="7"/>
  <c r="H218" i="7"/>
  <c r="H217" i="7"/>
  <c r="P216" i="7"/>
  <c r="N216" i="7"/>
  <c r="M216" i="7"/>
  <c r="H216" i="7"/>
  <c r="O216" i="7" s="1"/>
  <c r="H213" i="7"/>
  <c r="P212" i="7"/>
  <c r="N212" i="7"/>
  <c r="M212" i="7"/>
  <c r="H212" i="7"/>
  <c r="O212" i="7" s="1"/>
  <c r="T208" i="7"/>
  <c r="B12" i="6" s="1"/>
  <c r="K208" i="7"/>
  <c r="I208" i="7"/>
  <c r="H207" i="7"/>
  <c r="H206" i="7"/>
  <c r="P205" i="7"/>
  <c r="N205" i="7"/>
  <c r="M205" i="7"/>
  <c r="H205" i="7"/>
  <c r="O205" i="7" s="1"/>
  <c r="T202" i="7"/>
  <c r="B11" i="6" s="1"/>
  <c r="K202" i="7"/>
  <c r="I202" i="7"/>
  <c r="H201" i="7"/>
  <c r="H200" i="7"/>
  <c r="H199" i="7"/>
  <c r="H198" i="7"/>
  <c r="H197" i="7"/>
  <c r="H196" i="7"/>
  <c r="H195" i="7"/>
  <c r="H194" i="7"/>
  <c r="H193" i="7"/>
  <c r="H192" i="7"/>
  <c r="H191" i="7"/>
  <c r="H189" i="7"/>
  <c r="H188" i="7"/>
  <c r="H187" i="7"/>
  <c r="H186" i="7"/>
  <c r="H185" i="7"/>
  <c r="H184" i="7"/>
  <c r="H183" i="7"/>
  <c r="H182" i="7"/>
  <c r="H181" i="7"/>
  <c r="H180" i="7"/>
  <c r="H179" i="7"/>
  <c r="H178" i="7"/>
  <c r="H177" i="7"/>
  <c r="H176" i="7"/>
  <c r="H175" i="7"/>
  <c r="H174" i="7"/>
  <c r="H173" i="7"/>
  <c r="P172" i="7"/>
  <c r="N172" i="7"/>
  <c r="M172" i="7"/>
  <c r="H172" i="7"/>
  <c r="O172" i="7" s="1"/>
  <c r="T169" i="7"/>
  <c r="B10" i="6" s="1"/>
  <c r="K169" i="7"/>
  <c r="I169" i="7"/>
  <c r="H168" i="7"/>
  <c r="H167" i="7"/>
  <c r="H166" i="7"/>
  <c r="H165" i="7"/>
  <c r="H164" i="7"/>
  <c r="P163" i="7"/>
  <c r="N163" i="7"/>
  <c r="M163" i="7"/>
  <c r="H163" i="7"/>
  <c r="O163" i="7" s="1"/>
  <c r="T160" i="7"/>
  <c r="B9" i="6" s="1"/>
  <c r="K160" i="7"/>
  <c r="I160" i="7"/>
  <c r="H159" i="7"/>
  <c r="H158" i="7"/>
  <c r="H157" i="7"/>
  <c r="H156" i="7"/>
  <c r="H155" i="7"/>
  <c r="H154" i="7"/>
  <c r="H153" i="7"/>
  <c r="H152" i="7"/>
  <c r="H151" i="7"/>
  <c r="H150" i="7"/>
  <c r="H149" i="7"/>
  <c r="H148" i="7"/>
  <c r="H147" i="7"/>
  <c r="H146" i="7"/>
  <c r="H145" i="7"/>
  <c r="H144" i="7"/>
  <c r="H143" i="7"/>
  <c r="H142" i="7"/>
  <c r="H141" i="7"/>
  <c r="P140" i="7"/>
  <c r="N140" i="7"/>
  <c r="M140" i="7"/>
  <c r="H140" i="7"/>
  <c r="Q140" i="7" s="1"/>
  <c r="H137" i="7"/>
  <c r="H136" i="7"/>
  <c r="H135" i="7"/>
  <c r="H133" i="7"/>
  <c r="H132" i="7"/>
  <c r="H131" i="7"/>
  <c r="H130" i="7"/>
  <c r="H129" i="7"/>
  <c r="H128" i="7"/>
  <c r="H127" i="7"/>
  <c r="H126" i="7"/>
  <c r="H125" i="7"/>
  <c r="H124" i="7"/>
  <c r="H123" i="7"/>
  <c r="H122" i="7"/>
  <c r="H121" i="7"/>
  <c r="P120" i="7"/>
  <c r="N120" i="7"/>
  <c r="M120" i="7"/>
  <c r="H120" i="7"/>
  <c r="O120" i="7" s="1"/>
  <c r="T116" i="7"/>
  <c r="B8" i="6" s="1"/>
  <c r="K116" i="7"/>
  <c r="I116" i="7"/>
  <c r="H115" i="7"/>
  <c r="H114" i="7"/>
  <c r="H113" i="7"/>
  <c r="H112" i="7"/>
  <c r="H111" i="7"/>
  <c r="H110" i="7"/>
  <c r="H109" i="7"/>
  <c r="H108" i="7"/>
  <c r="H107" i="7"/>
  <c r="H106" i="7"/>
  <c r="H105" i="7"/>
  <c r="H104" i="7"/>
  <c r="H103" i="7"/>
  <c r="H102" i="7"/>
  <c r="H101" i="7"/>
  <c r="H85" i="7"/>
  <c r="H100" i="7"/>
  <c r="H95" i="7"/>
  <c r="H99" i="7"/>
  <c r="H98" i="7"/>
  <c r="H97" i="7"/>
  <c r="H96" i="7"/>
  <c r="H94" i="7"/>
  <c r="H93" i="7"/>
  <c r="H92" i="7"/>
  <c r="H91" i="7"/>
  <c r="H90" i="7"/>
  <c r="H89" i="7"/>
  <c r="H88" i="7"/>
  <c r="H87" i="7"/>
  <c r="H86" i="7"/>
  <c r="H84" i="7"/>
  <c r="H83" i="7"/>
  <c r="H82" i="7"/>
  <c r="H81" i="7"/>
  <c r="H80" i="7"/>
  <c r="H79" i="7"/>
  <c r="P78" i="7"/>
  <c r="N78" i="7"/>
  <c r="M78" i="7"/>
  <c r="H78" i="7"/>
  <c r="Q78" i="7" s="1"/>
  <c r="T75" i="7"/>
  <c r="K75" i="7"/>
  <c r="I75" i="7"/>
  <c r="H74" i="7"/>
  <c r="H73" i="7"/>
  <c r="H72" i="7"/>
  <c r="H71" i="7"/>
  <c r="H70" i="7"/>
  <c r="H69" i="7"/>
  <c r="H68" i="7"/>
  <c r="H67" i="7"/>
  <c r="H66" i="7"/>
  <c r="H65" i="7"/>
  <c r="H64" i="7"/>
  <c r="H63" i="7"/>
  <c r="H62" i="7"/>
  <c r="H61" i="7"/>
  <c r="H60" i="7"/>
  <c r="H59" i="7"/>
  <c r="H57" i="7"/>
  <c r="H56" i="7"/>
  <c r="H55" i="7"/>
  <c r="H54" i="7"/>
  <c r="H52" i="7"/>
  <c r="H51" i="7"/>
  <c r="H50" i="7"/>
  <c r="H49" i="7"/>
  <c r="H47" i="7"/>
  <c r="H48" i="7"/>
  <c r="H46" i="7"/>
  <c r="H45" i="7"/>
  <c r="H44" i="7"/>
  <c r="H43" i="7"/>
  <c r="H42" i="7"/>
  <c r="H41" i="7"/>
  <c r="H40" i="7"/>
  <c r="H39" i="7"/>
  <c r="H38" i="7"/>
  <c r="H37" i="7"/>
  <c r="H36" i="7"/>
  <c r="H35" i="7"/>
  <c r="H34" i="7"/>
  <c r="H33" i="7"/>
  <c r="H32" i="7"/>
  <c r="H31" i="7"/>
  <c r="H30" i="7"/>
  <c r="H29" i="7"/>
  <c r="P28" i="7"/>
  <c r="N28" i="7"/>
  <c r="M28" i="7"/>
  <c r="H28" i="7"/>
  <c r="O28" i="7" s="1"/>
  <c r="T25" i="7"/>
  <c r="B6" i="6" s="1"/>
  <c r="K25" i="7"/>
  <c r="I25" i="7"/>
  <c r="H24" i="7"/>
  <c r="H23" i="7"/>
  <c r="H22" i="7"/>
  <c r="H21" i="7"/>
  <c r="H20" i="7"/>
  <c r="H19" i="7"/>
  <c r="H18" i="7"/>
  <c r="H17" i="7"/>
  <c r="H16" i="7"/>
  <c r="H15" i="7"/>
  <c r="H14" i="7"/>
  <c r="H12" i="7"/>
  <c r="H11" i="7"/>
  <c r="H10" i="7"/>
  <c r="H9" i="7"/>
  <c r="H8" i="7"/>
  <c r="H7" i="7"/>
  <c r="H6" i="7"/>
  <c r="P5" i="7"/>
  <c r="N5" i="7"/>
  <c r="M5" i="7"/>
  <c r="H5" i="7"/>
  <c r="O16" i="7" l="1"/>
  <c r="Q16" i="7"/>
  <c r="O35" i="7"/>
  <c r="Q35" i="7"/>
  <c r="O82" i="7"/>
  <c r="Q82" i="7"/>
  <c r="O195" i="7"/>
  <c r="Q195" i="7"/>
  <c r="O213" i="7"/>
  <c r="Q213" i="7"/>
  <c r="O242" i="7"/>
  <c r="Q242" i="7"/>
  <c r="O36" i="7"/>
  <c r="Q36" i="7"/>
  <c r="O62" i="7"/>
  <c r="Q62" i="7"/>
  <c r="O83" i="7"/>
  <c r="Q83" i="7"/>
  <c r="O107" i="7"/>
  <c r="Q107" i="7"/>
  <c r="Q129" i="7"/>
  <c r="O129" i="7"/>
  <c r="O153" i="7"/>
  <c r="Q153" i="7"/>
  <c r="O196" i="7"/>
  <c r="Q196" i="7"/>
  <c r="O224" i="7"/>
  <c r="Q224" i="7"/>
  <c r="Q243" i="7"/>
  <c r="O243" i="7"/>
  <c r="O37" i="7"/>
  <c r="Q37" i="7"/>
  <c r="J36" i="7"/>
  <c r="J48" i="7"/>
  <c r="J60" i="7"/>
  <c r="J72" i="7"/>
  <c r="J37" i="7"/>
  <c r="J49" i="7"/>
  <c r="J61" i="7"/>
  <c r="J73" i="7"/>
  <c r="J38" i="7"/>
  <c r="J52" i="7"/>
  <c r="J66" i="7"/>
  <c r="J54" i="7"/>
  <c r="J39" i="7"/>
  <c r="J53" i="7"/>
  <c r="J67" i="7"/>
  <c r="J40" i="7"/>
  <c r="J68" i="7"/>
  <c r="J32" i="7"/>
  <c r="J51" i="7"/>
  <c r="J71" i="7"/>
  <c r="J41" i="7"/>
  <c r="J33" i="7"/>
  <c r="J55" i="7"/>
  <c r="J74" i="7"/>
  <c r="J34" i="7"/>
  <c r="J56" i="7"/>
  <c r="J35" i="7"/>
  <c r="J57" i="7"/>
  <c r="J58" i="7"/>
  <c r="J62" i="7"/>
  <c r="J65" i="7"/>
  <c r="J69" i="7"/>
  <c r="J43" i="7"/>
  <c r="J29" i="7"/>
  <c r="J63" i="7"/>
  <c r="J30" i="7"/>
  <c r="J64" i="7"/>
  <c r="J31" i="7"/>
  <c r="J42" i="7"/>
  <c r="J70" i="7"/>
  <c r="J44" i="7"/>
  <c r="J45" i="7"/>
  <c r="J46" i="7"/>
  <c r="J47" i="7"/>
  <c r="J50" i="7"/>
  <c r="J59" i="7"/>
  <c r="Q98" i="7"/>
  <c r="O98" i="7"/>
  <c r="O130" i="7"/>
  <c r="Q130" i="7"/>
  <c r="O154" i="7"/>
  <c r="Q154" i="7"/>
  <c r="Q184" i="7"/>
  <c r="O184" i="7"/>
  <c r="O206" i="7"/>
  <c r="Q206" i="7"/>
  <c r="Q225" i="7"/>
  <c r="O225" i="7"/>
  <c r="Q245" i="7"/>
  <c r="O245" i="7"/>
  <c r="Q6" i="7"/>
  <c r="O6" i="7"/>
  <c r="O50" i="7"/>
  <c r="Q50" i="7"/>
  <c r="O109" i="7"/>
  <c r="Q109" i="7"/>
  <c r="O131" i="7"/>
  <c r="Q131" i="7"/>
  <c r="O164" i="7"/>
  <c r="Q164" i="7"/>
  <c r="O185" i="7"/>
  <c r="Q185" i="7"/>
  <c r="O20" i="7"/>
  <c r="Q20" i="7"/>
  <c r="O51" i="7"/>
  <c r="Q51" i="7"/>
  <c r="O65" i="7"/>
  <c r="Q65" i="7"/>
  <c r="O95" i="7"/>
  <c r="Q95" i="7"/>
  <c r="O144" i="7"/>
  <c r="Q144" i="7"/>
  <c r="O165" i="7"/>
  <c r="Q165" i="7"/>
  <c r="O186" i="7"/>
  <c r="Q186" i="7"/>
  <c r="J206" i="7"/>
  <c r="J207" i="7"/>
  <c r="Q227" i="7"/>
  <c r="O227" i="7"/>
  <c r="L242" i="7"/>
  <c r="L244" i="7"/>
  <c r="L243" i="7"/>
  <c r="L241" i="7"/>
  <c r="Q28" i="7"/>
  <c r="O100" i="7"/>
  <c r="Q100" i="7"/>
  <c r="O133" i="7"/>
  <c r="Q133" i="7"/>
  <c r="O145" i="7"/>
  <c r="Q145" i="7"/>
  <c r="Q175" i="7"/>
  <c r="O175" i="7"/>
  <c r="Q200" i="7"/>
  <c r="O200" i="7"/>
  <c r="O22" i="7"/>
  <c r="Q22" i="7"/>
  <c r="O112" i="7"/>
  <c r="Q112" i="7"/>
  <c r="O146" i="7"/>
  <c r="Q146" i="7"/>
  <c r="Q176" i="7"/>
  <c r="O176" i="7"/>
  <c r="O10" i="7"/>
  <c r="Q10" i="7"/>
  <c r="O30" i="7"/>
  <c r="Q30" i="7"/>
  <c r="Q55" i="7"/>
  <c r="O55" i="7"/>
  <c r="O90" i="7"/>
  <c r="Q90" i="7"/>
  <c r="O113" i="7"/>
  <c r="Q113" i="7"/>
  <c r="O136" i="7"/>
  <c r="Q136" i="7"/>
  <c r="O168" i="7"/>
  <c r="Q168" i="7"/>
  <c r="J179" i="7"/>
  <c r="J191" i="7"/>
  <c r="J180" i="7"/>
  <c r="J192" i="7"/>
  <c r="J181" i="7"/>
  <c r="J193" i="7"/>
  <c r="J176" i="7"/>
  <c r="J194" i="7"/>
  <c r="J182" i="7"/>
  <c r="J197" i="7"/>
  <c r="J177" i="7"/>
  <c r="J195" i="7"/>
  <c r="J178" i="7"/>
  <c r="J196" i="7"/>
  <c r="J185" i="7"/>
  <c r="J188" i="7"/>
  <c r="J186" i="7"/>
  <c r="J187" i="7"/>
  <c r="J189" i="7"/>
  <c r="J190" i="7"/>
  <c r="J183" i="7"/>
  <c r="J174" i="7"/>
  <c r="J175" i="7"/>
  <c r="J184" i="7"/>
  <c r="J198" i="7"/>
  <c r="J199" i="7"/>
  <c r="J200" i="7"/>
  <c r="J201" i="7"/>
  <c r="J173" i="7"/>
  <c r="O218" i="7"/>
  <c r="Q218" i="7"/>
  <c r="O24" i="7"/>
  <c r="Q24" i="7"/>
  <c r="O43" i="7"/>
  <c r="Q43" i="7"/>
  <c r="O69" i="7"/>
  <c r="Q69" i="7"/>
  <c r="O102" i="7"/>
  <c r="Q102" i="7"/>
  <c r="O124" i="7"/>
  <c r="Q124" i="7"/>
  <c r="O137" i="7"/>
  <c r="Q137" i="7"/>
  <c r="J165" i="7"/>
  <c r="J168" i="7"/>
  <c r="J166" i="7"/>
  <c r="J167" i="7"/>
  <c r="J164" i="7"/>
  <c r="Q191" i="7"/>
  <c r="O191" i="7"/>
  <c r="Q219" i="7"/>
  <c r="O219" i="7"/>
  <c r="Q12" i="7"/>
  <c r="O12" i="7"/>
  <c r="O32" i="7"/>
  <c r="Q32" i="7"/>
  <c r="O57" i="7"/>
  <c r="Q57" i="7"/>
  <c r="O79" i="7"/>
  <c r="Q79" i="7"/>
  <c r="O103" i="7"/>
  <c r="Q103" i="7"/>
  <c r="O115" i="7"/>
  <c r="Q115" i="7"/>
  <c r="Q125" i="7"/>
  <c r="O125" i="7"/>
  <c r="O149" i="7"/>
  <c r="Q149" i="7"/>
  <c r="L130" i="7"/>
  <c r="L132" i="7"/>
  <c r="L145" i="7"/>
  <c r="L131" i="7"/>
  <c r="L135" i="7"/>
  <c r="L155" i="7"/>
  <c r="L137" i="7"/>
  <c r="L157" i="7"/>
  <c r="L158" i="7"/>
  <c r="L133" i="7"/>
  <c r="L136" i="7"/>
  <c r="L159" i="7"/>
  <c r="L149" i="7"/>
  <c r="L151" i="7"/>
  <c r="L153" i="7"/>
  <c r="L152" i="7"/>
  <c r="L147" i="7"/>
  <c r="L150" i="7"/>
  <c r="L127" i="7"/>
  <c r="L126" i="7"/>
  <c r="L143" i="7"/>
  <c r="L123" i="7"/>
  <c r="L141" i="7"/>
  <c r="L142" i="7"/>
  <c r="L124" i="7"/>
  <c r="L144" i="7"/>
  <c r="L122" i="7"/>
  <c r="L125" i="7"/>
  <c r="L121" i="7"/>
  <c r="L148" i="7"/>
  <c r="L146" i="7"/>
  <c r="L128" i="7"/>
  <c r="L156" i="7"/>
  <c r="L129" i="7"/>
  <c r="L167" i="7"/>
  <c r="L165" i="7"/>
  <c r="L168" i="7"/>
  <c r="L166" i="7"/>
  <c r="L164" i="7"/>
  <c r="O179" i="7"/>
  <c r="Q179" i="7"/>
  <c r="Q192" i="7"/>
  <c r="O192" i="7"/>
  <c r="O220" i="7"/>
  <c r="Q220" i="7"/>
  <c r="L154" i="7"/>
  <c r="O61" i="7"/>
  <c r="Q61" i="7"/>
  <c r="O106" i="7"/>
  <c r="Q106" i="7"/>
  <c r="Q234" i="7"/>
  <c r="O234" i="7"/>
  <c r="O183" i="7"/>
  <c r="Q183" i="7"/>
  <c r="O235" i="7"/>
  <c r="Q235" i="7"/>
  <c r="J232" i="7"/>
  <c r="J233" i="7"/>
  <c r="J227" i="7"/>
  <c r="J234" i="7"/>
  <c r="J228" i="7"/>
  <c r="J235" i="7"/>
  <c r="J217" i="7"/>
  <c r="J229" i="7"/>
  <c r="J218" i="7"/>
  <c r="J219" i="7"/>
  <c r="J220" i="7"/>
  <c r="J213" i="7"/>
  <c r="J221" i="7"/>
  <c r="J222" i="7"/>
  <c r="J225" i="7"/>
  <c r="J223" i="7"/>
  <c r="J224" i="7"/>
  <c r="J226" i="7"/>
  <c r="O19" i="7"/>
  <c r="Q19" i="7"/>
  <c r="O86" i="7"/>
  <c r="Q86" i="7"/>
  <c r="O143" i="7"/>
  <c r="Q143" i="7"/>
  <c r="O207" i="7"/>
  <c r="Q207" i="7"/>
  <c r="L233" i="7"/>
  <c r="L235" i="7"/>
  <c r="L218" i="7"/>
  <c r="L220" i="7"/>
  <c r="L222" i="7"/>
  <c r="L224" i="7"/>
  <c r="L226" i="7"/>
  <c r="L228" i="7"/>
  <c r="L225" i="7"/>
  <c r="L223" i="7"/>
  <c r="L229" i="7"/>
  <c r="L221" i="7"/>
  <c r="L227" i="7"/>
  <c r="L219" i="7"/>
  <c r="L234" i="7"/>
  <c r="L217" i="7"/>
  <c r="L213" i="7"/>
  <c r="Q132" i="7"/>
  <c r="O132" i="7"/>
  <c r="O52" i="7"/>
  <c r="Q52" i="7"/>
  <c r="Q121" i="7"/>
  <c r="O121" i="7"/>
  <c r="O166" i="7"/>
  <c r="Q166" i="7"/>
  <c r="L206" i="7"/>
  <c r="L207" i="7"/>
  <c r="O67" i="7"/>
  <c r="Q67" i="7"/>
  <c r="Q135" i="7"/>
  <c r="O135" i="7"/>
  <c r="O201" i="7"/>
  <c r="Q201" i="7"/>
  <c r="Q229" i="7"/>
  <c r="O229" i="7"/>
  <c r="O147" i="7"/>
  <c r="Q147" i="7"/>
  <c r="L240" i="7"/>
  <c r="O11" i="7"/>
  <c r="Q11" i="7"/>
  <c r="O91" i="7"/>
  <c r="Q91" i="7"/>
  <c r="O148" i="7"/>
  <c r="Q148" i="7"/>
  <c r="L173" i="7"/>
  <c r="L175" i="7"/>
  <c r="L177" i="7"/>
  <c r="L179" i="7"/>
  <c r="L181" i="7"/>
  <c r="L183" i="7"/>
  <c r="L185" i="7"/>
  <c r="L187" i="7"/>
  <c r="L189" i="7"/>
  <c r="L191" i="7"/>
  <c r="L193" i="7"/>
  <c r="L195" i="7"/>
  <c r="L197" i="7"/>
  <c r="L199" i="7"/>
  <c r="L201" i="7"/>
  <c r="L196" i="7"/>
  <c r="L190" i="7"/>
  <c r="L194" i="7"/>
  <c r="L192" i="7"/>
  <c r="L180" i="7"/>
  <c r="L198" i="7"/>
  <c r="L188" i="7"/>
  <c r="L178" i="7"/>
  <c r="L186" i="7"/>
  <c r="L200" i="7"/>
  <c r="L182" i="7"/>
  <c r="L176" i="7"/>
  <c r="L174" i="7"/>
  <c r="L184" i="7"/>
  <c r="O45" i="7"/>
  <c r="Q45" i="7"/>
  <c r="Q180" i="7"/>
  <c r="O180" i="7"/>
  <c r="Q193" i="7"/>
  <c r="O193" i="7"/>
  <c r="Q221" i="7"/>
  <c r="O221" i="7"/>
  <c r="O48" i="7"/>
  <c r="Q48" i="7"/>
  <c r="O73" i="7"/>
  <c r="Q73" i="7"/>
  <c r="Q96" i="7"/>
  <c r="O96" i="7"/>
  <c r="O128" i="7"/>
  <c r="Q128" i="7"/>
  <c r="Q152" i="7"/>
  <c r="O152" i="7"/>
  <c r="Q182" i="7"/>
  <c r="O182" i="7"/>
  <c r="Q223" i="7"/>
  <c r="O223" i="7"/>
  <c r="O17" i="7"/>
  <c r="Q17" i="7"/>
  <c r="Q47" i="7"/>
  <c r="O47" i="7"/>
  <c r="O74" i="7"/>
  <c r="Q74" i="7"/>
  <c r="O97" i="7"/>
  <c r="Q97" i="7"/>
  <c r="O141" i="7"/>
  <c r="Q141" i="7"/>
  <c r="O18" i="7"/>
  <c r="Q18" i="7"/>
  <c r="O49" i="7"/>
  <c r="Q49" i="7"/>
  <c r="Q63" i="7"/>
  <c r="O63" i="7"/>
  <c r="O84" i="7"/>
  <c r="Q84" i="7"/>
  <c r="O108" i="7"/>
  <c r="Q108" i="7"/>
  <c r="Q142" i="7"/>
  <c r="O142" i="7"/>
  <c r="O197" i="7"/>
  <c r="Q197" i="7"/>
  <c r="O38" i="7"/>
  <c r="Q38" i="7"/>
  <c r="O64" i="7"/>
  <c r="Q64" i="7"/>
  <c r="L34" i="7"/>
  <c r="L45" i="7"/>
  <c r="L58" i="7"/>
  <c r="L69" i="7"/>
  <c r="L39" i="7"/>
  <c r="L52" i="7"/>
  <c r="L32" i="7"/>
  <c r="L43" i="7"/>
  <c r="L56" i="7"/>
  <c r="L67" i="7"/>
  <c r="L30" i="7"/>
  <c r="L41" i="7"/>
  <c r="L54" i="7"/>
  <c r="L65" i="7"/>
  <c r="L63" i="7"/>
  <c r="L37" i="7"/>
  <c r="L50" i="7"/>
  <c r="L61" i="7"/>
  <c r="L74" i="7"/>
  <c r="L48" i="7"/>
  <c r="L72" i="7"/>
  <c r="L62" i="7"/>
  <c r="L36" i="7"/>
  <c r="L35" i="7"/>
  <c r="L40" i="7"/>
  <c r="L51" i="7"/>
  <c r="L59" i="7"/>
  <c r="L64" i="7"/>
  <c r="L46" i="7"/>
  <c r="L70" i="7"/>
  <c r="L33" i="7"/>
  <c r="L38" i="7"/>
  <c r="L57" i="7"/>
  <c r="L49" i="7"/>
  <c r="L73" i="7"/>
  <c r="L44" i="7"/>
  <c r="L68" i="7"/>
  <c r="L31" i="7"/>
  <c r="L55" i="7"/>
  <c r="L60" i="7"/>
  <c r="L47" i="7"/>
  <c r="L71" i="7"/>
  <c r="L53" i="7"/>
  <c r="L29" i="7"/>
  <c r="L42" i="7"/>
  <c r="L66" i="7"/>
  <c r="O99" i="7"/>
  <c r="Q99" i="7"/>
  <c r="O155" i="7"/>
  <c r="Q155" i="7"/>
  <c r="O173" i="7"/>
  <c r="Q173" i="7"/>
  <c r="O198" i="7"/>
  <c r="Q198" i="7"/>
  <c r="O226" i="7"/>
  <c r="Q226" i="7"/>
  <c r="J241" i="7"/>
  <c r="J242" i="7"/>
  <c r="J243" i="7"/>
  <c r="J244" i="7"/>
  <c r="J245" i="7"/>
  <c r="O7" i="7"/>
  <c r="Q7" i="7"/>
  <c r="Q39" i="7"/>
  <c r="O39" i="7"/>
  <c r="O87" i="7"/>
  <c r="Q87" i="7"/>
  <c r="Q110" i="7"/>
  <c r="O110" i="7"/>
  <c r="O156" i="7"/>
  <c r="Q156" i="7"/>
  <c r="O174" i="7"/>
  <c r="Q174" i="7"/>
  <c r="Q199" i="7"/>
  <c r="O199" i="7"/>
  <c r="O8" i="7"/>
  <c r="Q8" i="7"/>
  <c r="O21" i="7"/>
  <c r="Q21" i="7"/>
  <c r="O40" i="7"/>
  <c r="Q40" i="7"/>
  <c r="O66" i="7"/>
  <c r="Q66" i="7"/>
  <c r="O88" i="7"/>
  <c r="Q88" i="7"/>
  <c r="O111" i="7"/>
  <c r="Q111" i="7"/>
  <c r="O157" i="7"/>
  <c r="Q157" i="7"/>
  <c r="Q187" i="7"/>
  <c r="O187" i="7"/>
  <c r="Q216" i="7"/>
  <c r="O228" i="7"/>
  <c r="Q228" i="7"/>
  <c r="O9" i="7"/>
  <c r="Q9" i="7"/>
  <c r="Q29" i="7"/>
  <c r="O29" i="7"/>
  <c r="O41" i="7"/>
  <c r="Q41" i="7"/>
  <c r="O54" i="7"/>
  <c r="Q54" i="7"/>
  <c r="O89" i="7"/>
  <c r="Q89" i="7"/>
  <c r="O85" i="7"/>
  <c r="Q85" i="7"/>
  <c r="Q122" i="7"/>
  <c r="O122" i="7"/>
  <c r="Q158" i="7"/>
  <c r="O158" i="7"/>
  <c r="O167" i="7"/>
  <c r="Q167" i="7"/>
  <c r="O188" i="7"/>
  <c r="Q188" i="7"/>
  <c r="Q217" i="7"/>
  <c r="O217" i="7"/>
  <c r="O23" i="7"/>
  <c r="Q23" i="7"/>
  <c r="O42" i="7"/>
  <c r="Q42" i="7"/>
  <c r="O68" i="7"/>
  <c r="Q68" i="7"/>
  <c r="O101" i="7"/>
  <c r="Q101" i="7"/>
  <c r="O123" i="7"/>
  <c r="Q123" i="7"/>
  <c r="O159" i="7"/>
  <c r="Q159" i="7"/>
  <c r="O177" i="7"/>
  <c r="Q177" i="7"/>
  <c r="O189" i="7"/>
  <c r="Q189" i="7"/>
  <c r="Q31" i="7"/>
  <c r="O31" i="7"/>
  <c r="O56" i="7"/>
  <c r="Q56" i="7"/>
  <c r="O114" i="7"/>
  <c r="Q114" i="7"/>
  <c r="J149" i="7"/>
  <c r="J128" i="7"/>
  <c r="J150" i="7"/>
  <c r="J129" i="7"/>
  <c r="J142" i="7"/>
  <c r="J156" i="7"/>
  <c r="J125" i="7"/>
  <c r="J158" i="7"/>
  <c r="J145" i="7"/>
  <c r="J159" i="7"/>
  <c r="J143" i="7"/>
  <c r="J157" i="7"/>
  <c r="J126" i="7"/>
  <c r="J144" i="7"/>
  <c r="J127" i="7"/>
  <c r="J154" i="7"/>
  <c r="J124" i="7"/>
  <c r="J155" i="7"/>
  <c r="J130" i="7"/>
  <c r="J131" i="7"/>
  <c r="J132" i="7"/>
  <c r="J133" i="7"/>
  <c r="J141" i="7"/>
  <c r="J134" i="7"/>
  <c r="J122" i="7"/>
  <c r="J136" i="7"/>
  <c r="J137" i="7"/>
  <c r="J123" i="7"/>
  <c r="J135" i="7"/>
  <c r="J146" i="7"/>
  <c r="J147" i="7"/>
  <c r="J148" i="7"/>
  <c r="J151" i="7"/>
  <c r="J152" i="7"/>
  <c r="J153" i="7"/>
  <c r="J121" i="7"/>
  <c r="O178" i="7"/>
  <c r="Q178" i="7"/>
  <c r="J9" i="7"/>
  <c r="J21" i="7"/>
  <c r="J10" i="7"/>
  <c r="J22" i="7"/>
  <c r="J16" i="7"/>
  <c r="J18" i="7"/>
  <c r="J17" i="7"/>
  <c r="J6" i="7"/>
  <c r="J8" i="7"/>
  <c r="J7" i="7"/>
  <c r="J11" i="7"/>
  <c r="J12" i="7"/>
  <c r="J24" i="7"/>
  <c r="J13" i="7"/>
  <c r="J14" i="7"/>
  <c r="J15" i="7"/>
  <c r="J19" i="7"/>
  <c r="J20" i="7"/>
  <c r="J23" i="7"/>
  <c r="O44" i="7"/>
  <c r="Q44" i="7"/>
  <c r="O70" i="7"/>
  <c r="Q70" i="7"/>
  <c r="O92" i="7"/>
  <c r="Q92" i="7"/>
  <c r="Q14" i="7"/>
  <c r="O14" i="7"/>
  <c r="L9" i="7"/>
  <c r="L20" i="7"/>
  <c r="L7" i="7"/>
  <c r="L18" i="7"/>
  <c r="L16" i="7"/>
  <c r="L15" i="7"/>
  <c r="L6" i="7"/>
  <c r="L13" i="7"/>
  <c r="L23" i="7"/>
  <c r="L11" i="7"/>
  <c r="L21" i="7"/>
  <c r="L19" i="7"/>
  <c r="L22" i="7"/>
  <c r="L8" i="7"/>
  <c r="L14" i="7"/>
  <c r="L17" i="7"/>
  <c r="L12" i="7"/>
  <c r="L24" i="7"/>
  <c r="L10" i="7"/>
  <c r="O33" i="7"/>
  <c r="Q33" i="7"/>
  <c r="Q59" i="7"/>
  <c r="O59" i="7"/>
  <c r="O71" i="7"/>
  <c r="Q71" i="7"/>
  <c r="O80" i="7"/>
  <c r="Q80" i="7"/>
  <c r="O93" i="7"/>
  <c r="Q93" i="7"/>
  <c r="O104" i="7"/>
  <c r="Q104" i="7"/>
  <c r="J87" i="7"/>
  <c r="J99" i="7"/>
  <c r="J111" i="7"/>
  <c r="J88" i="7"/>
  <c r="J100" i="7"/>
  <c r="J112" i="7"/>
  <c r="J81" i="7"/>
  <c r="J95" i="7"/>
  <c r="J109" i="7"/>
  <c r="J97" i="7"/>
  <c r="J82" i="7"/>
  <c r="J96" i="7"/>
  <c r="J110" i="7"/>
  <c r="J83" i="7"/>
  <c r="J113" i="7"/>
  <c r="J84" i="7"/>
  <c r="J103" i="7"/>
  <c r="J89" i="7"/>
  <c r="J90" i="7"/>
  <c r="J85" i="7"/>
  <c r="J104" i="7"/>
  <c r="J86" i="7"/>
  <c r="J105" i="7"/>
  <c r="J106" i="7"/>
  <c r="J107" i="7"/>
  <c r="J91" i="7"/>
  <c r="J101" i="7"/>
  <c r="J108" i="7"/>
  <c r="J115" i="7"/>
  <c r="J79" i="7"/>
  <c r="J92" i="7"/>
  <c r="J93" i="7"/>
  <c r="J94" i="7"/>
  <c r="J98" i="7"/>
  <c r="J102" i="7"/>
  <c r="J114" i="7"/>
  <c r="J80" i="7"/>
  <c r="Q126" i="7"/>
  <c r="O126" i="7"/>
  <c r="O150" i="7"/>
  <c r="Q150" i="7"/>
  <c r="L5" i="7"/>
  <c r="O15" i="7"/>
  <c r="Q15" i="7"/>
  <c r="O34" i="7"/>
  <c r="Q34" i="7"/>
  <c r="O46" i="7"/>
  <c r="Q46" i="7"/>
  <c r="O60" i="7"/>
  <c r="Q60" i="7"/>
  <c r="O72" i="7"/>
  <c r="Q72" i="7"/>
  <c r="O81" i="7"/>
  <c r="Q81" i="7"/>
  <c r="O94" i="7"/>
  <c r="Q94" i="7"/>
  <c r="O105" i="7"/>
  <c r="Q105" i="7"/>
  <c r="L88" i="7"/>
  <c r="L101" i="7"/>
  <c r="L112" i="7"/>
  <c r="L108" i="7"/>
  <c r="L86" i="7"/>
  <c r="L99" i="7"/>
  <c r="L110" i="7"/>
  <c r="L84" i="7"/>
  <c r="L97" i="7"/>
  <c r="L82" i="7"/>
  <c r="L87" i="7"/>
  <c r="L102" i="7"/>
  <c r="L109" i="7"/>
  <c r="L114" i="7"/>
  <c r="L90" i="7"/>
  <c r="L92" i="7"/>
  <c r="L80" i="7"/>
  <c r="L100" i="7"/>
  <c r="L85" i="7"/>
  <c r="L95" i="7"/>
  <c r="L107" i="7"/>
  <c r="L94" i="7"/>
  <c r="L98" i="7"/>
  <c r="L96" i="7"/>
  <c r="L81" i="7"/>
  <c r="L105" i="7"/>
  <c r="L111" i="7"/>
  <c r="L91" i="7"/>
  <c r="L103" i="7"/>
  <c r="L79" i="7"/>
  <c r="L106" i="7"/>
  <c r="L115" i="7"/>
  <c r="L89" i="7"/>
  <c r="L83" i="7"/>
  <c r="L104" i="7"/>
  <c r="L113" i="7"/>
  <c r="L93" i="7"/>
  <c r="Q127" i="7"/>
  <c r="O127" i="7"/>
  <c r="O151" i="7"/>
  <c r="Q151" i="7"/>
  <c r="O181" i="7"/>
  <c r="Q181" i="7"/>
  <c r="O194" i="7"/>
  <c r="Q194" i="7"/>
  <c r="Q212" i="7"/>
  <c r="Q222" i="7"/>
  <c r="O222" i="7"/>
  <c r="O233" i="7"/>
  <c r="Q233" i="7"/>
  <c r="Q241" i="7"/>
  <c r="O241" i="7"/>
  <c r="L134" i="7"/>
  <c r="L78" i="7"/>
  <c r="D13" i="2"/>
  <c r="O140" i="7"/>
  <c r="L216" i="7"/>
  <c r="J5" i="7"/>
  <c r="B3" i="3"/>
  <c r="Q120" i="7"/>
  <c r="Q205" i="7"/>
  <c r="D12" i="2"/>
  <c r="M25" i="7"/>
  <c r="B4" i="3"/>
  <c r="L28" i="7"/>
  <c r="B5" i="3"/>
  <c r="J28" i="7"/>
  <c r="L232" i="7"/>
  <c r="O78" i="7"/>
  <c r="Q5" i="7"/>
  <c r="O5" i="7"/>
  <c r="O232" i="7"/>
  <c r="Q232" i="7"/>
  <c r="L163" i="7"/>
  <c r="M169" i="7"/>
  <c r="O240" i="7"/>
  <c r="Q240" i="7"/>
  <c r="D7" i="2"/>
  <c r="Q163" i="7"/>
  <c r="B2" i="3"/>
  <c r="L205" i="7"/>
  <c r="B6" i="3"/>
  <c r="L172" i="7"/>
  <c r="D9" i="2"/>
  <c r="B7" i="3"/>
  <c r="M75" i="7"/>
  <c r="D6" i="2"/>
  <c r="J140" i="7"/>
  <c r="J120" i="7"/>
  <c r="M202" i="7"/>
  <c r="B8" i="3"/>
  <c r="J163" i="7"/>
  <c r="M116" i="7"/>
  <c r="T237" i="7"/>
  <c r="T247" i="7" s="1"/>
  <c r="D8" i="2"/>
  <c r="L120" i="7"/>
  <c r="Q172" i="7"/>
  <c r="D10" i="2"/>
  <c r="B9" i="3"/>
  <c r="J172" i="7"/>
  <c r="M160" i="7"/>
  <c r="B10" i="3"/>
  <c r="J205" i="7"/>
  <c r="M208" i="7"/>
  <c r="J78" i="7"/>
  <c r="L140" i="7"/>
  <c r="D11" i="2"/>
  <c r="L212" i="7"/>
  <c r="J212" i="7"/>
  <c r="I237" i="7"/>
  <c r="I247" i="7" s="1"/>
  <c r="J160" i="7" s="1"/>
  <c r="J216" i="7"/>
  <c r="M236" i="7"/>
  <c r="B7" i="6"/>
  <c r="K237" i="7"/>
  <c r="K247" i="7" s="1"/>
  <c r="J202" i="7" l="1"/>
  <c r="J246" i="7"/>
  <c r="J116" i="7"/>
  <c r="J236" i="7"/>
  <c r="J169" i="7"/>
  <c r="J75" i="7"/>
  <c r="J208" i="7"/>
  <c r="J25" i="7"/>
  <c r="L25" i="7"/>
  <c r="L208" i="7"/>
  <c r="L116" i="7"/>
  <c r="L246" i="7"/>
  <c r="L236" i="7"/>
  <c r="L160" i="7"/>
  <c r="L169" i="7"/>
  <c r="L202" i="7"/>
  <c r="L75" i="7"/>
  <c r="C7" i="2" l="1"/>
</calcChain>
</file>

<file path=xl/sharedStrings.xml><?xml version="1.0" encoding="utf-8"?>
<sst xmlns="http://schemas.openxmlformats.org/spreadsheetml/2006/main" count="504" uniqueCount="337">
  <si>
    <t>MONTHLY UPDATE ON REGISTERED MUTUAL FUNDS AS AT 30TH JUNE, 2026</t>
  </si>
  <si>
    <t>S/N</t>
  </si>
  <si>
    <t>FUND</t>
  </si>
  <si>
    <t>FUND MANAGER</t>
  </si>
  <si>
    <t>TOTAL VALUE OF INVESTMENT (N)</t>
  </si>
  <si>
    <t>TOTAL INCOME (N)</t>
  </si>
  <si>
    <t>UNREALIZED CAPITAL GAIN/LOSS (N)</t>
  </si>
  <si>
    <t>TOTAL EXPENSES (N)</t>
  </si>
  <si>
    <t>NET INCOME/LOSS (N)</t>
  </si>
  <si>
    <t>NET ASSET VALUE (N) PREVIOUS - MAY</t>
  </si>
  <si>
    <t>% ON TOTAL</t>
  </si>
  <si>
    <t xml:space="preserve">NET ASSET VALUE (N) </t>
  </si>
  <si>
    <t>% CHANGE IN NAV</t>
  </si>
  <si>
    <t>EXPENSE RATIO</t>
  </si>
  <si>
    <t>RETURN ON EQUITY (ROE)</t>
  </si>
  <si>
    <t>NET ASSET PER UNIT</t>
  </si>
  <si>
    <t>EARNINGS PER UNIT (EPU)</t>
  </si>
  <si>
    <t>BID PRICE (N)</t>
  </si>
  <si>
    <t>OFFER PRICE (N)</t>
  </si>
  <si>
    <t>NUMBER OF UNIT HOLDERS</t>
  </si>
  <si>
    <t>OPENING NUMBER OF UNITS</t>
  </si>
  <si>
    <t>CLOSING NUMBER OF UNITS</t>
  </si>
  <si>
    <t xml:space="preserve"> </t>
  </si>
  <si>
    <t>EQUITY BASED FUNDS</t>
  </si>
  <si>
    <t>Afrinvest Equity Fund</t>
  </si>
  <si>
    <t>Afrinvest Asset Management Ltd.</t>
  </si>
  <si>
    <t>Anchoria Equity Fund</t>
  </si>
  <si>
    <t>Anchoria Asset Management Limited</t>
  </si>
  <si>
    <t>ARM Aggressive Growth Fund</t>
  </si>
  <si>
    <t xml:space="preserve">ARM Investment Managers Limited </t>
  </si>
  <si>
    <t>AXA Mansard Equity Income Fund</t>
  </si>
  <si>
    <t>AXA Mansard Investments Limited</t>
  </si>
  <si>
    <t>CardinalStone Equity Fund</t>
  </si>
  <si>
    <t>CardinalStone Asset Mgt. Limited</t>
  </si>
  <si>
    <t>Cowry Equity Fund</t>
  </si>
  <si>
    <t>Cowry Treasurers Limited</t>
  </si>
  <si>
    <t>FCMBAM Equity Fund</t>
  </si>
  <si>
    <t>First Asset Nigeria Smart Beta Equity Fund</t>
  </si>
  <si>
    <t>Frontier Fund</t>
  </si>
  <si>
    <t>SCM Capital Limited</t>
  </si>
  <si>
    <t>Futureview Equity Fund</t>
  </si>
  <si>
    <t xml:space="preserve">Futureview Asset Management Limited </t>
  </si>
  <si>
    <t>Guaranty Trust Equity Income Fund</t>
  </si>
  <si>
    <t>Guaranty Trust Fund Managers Limited</t>
  </si>
  <si>
    <t>Halo Equity Fund</t>
  </si>
  <si>
    <t>Halo Nigeria Capital Management Limited</t>
  </si>
  <si>
    <t>Meristem Equity Market Fund</t>
  </si>
  <si>
    <t>Meristem Wealth Management Limited</t>
  </si>
  <si>
    <t>Pacam Equity Fund</t>
  </si>
  <si>
    <t>PAC Asset Management Ltd.</t>
  </si>
  <si>
    <t>Paramount Equity Fund</t>
  </si>
  <si>
    <t>Chapel Hill Denham Mgt. Limited</t>
  </si>
  <si>
    <t>Stanbic IBTC Aggressive Fund (Sub Fund)</t>
  </si>
  <si>
    <t>Stanbic IBTC Asset Mgt. Limited</t>
  </si>
  <si>
    <t>Stanbic IBTC Nigerian Equity Fund</t>
  </si>
  <si>
    <t>United Capital Equity Fund</t>
  </si>
  <si>
    <t>United Capital Asset Mgt. Ltd</t>
  </si>
  <si>
    <t>Zedcrest Equity Fund</t>
  </si>
  <si>
    <t>Zedcrest Investment Managers Limited</t>
  </si>
  <si>
    <t>Zrosk Magna Equity Fund</t>
  </si>
  <si>
    <t>Zrosk Investment Management Limited</t>
  </si>
  <si>
    <t>Sub Total</t>
  </si>
  <si>
    <t>MONEY MARKET FUNDS</t>
  </si>
  <si>
    <t>Afrinvest Plutus Fund</t>
  </si>
  <si>
    <t>AIICO Money Market Fund</t>
  </si>
  <si>
    <t>AIICO Capital Ltd</t>
  </si>
  <si>
    <t>Alpha10 Money Market Fund</t>
  </si>
  <si>
    <t>Alpha10 Fund Management Limited</t>
  </si>
  <si>
    <t>Anchoria Money Market Fund</t>
  </si>
  <si>
    <t>Apel Wealth Money Market Fund</t>
  </si>
  <si>
    <t>Apel Wealth Management Limited</t>
  </si>
  <si>
    <t>ARM Money Market Fund</t>
  </si>
  <si>
    <t>ARM Investment Managers Limited</t>
  </si>
  <si>
    <t>AVA GAM Money Market Fund</t>
  </si>
  <si>
    <t>AVA Global Asset Managers Limited</t>
  </si>
  <si>
    <t>AXA Mansard Money Market Fund</t>
  </si>
  <si>
    <t>CardinalStone Money Market Fund</t>
  </si>
  <si>
    <t>Chapel Hill Denham Money Market Fund</t>
  </si>
  <si>
    <t>Comercio Partners Money Market Fund</t>
  </si>
  <si>
    <t>Comercio Partners Asset Management Limited</t>
  </si>
  <si>
    <t>Coral Money Market Fund</t>
  </si>
  <si>
    <t>FSDH Asset Management Ltd</t>
  </si>
  <si>
    <t>Cordros Money Market Fund</t>
  </si>
  <si>
    <t>Cordros Asset Management Limited</t>
  </si>
  <si>
    <t>Coronation Money Market Fund</t>
  </si>
  <si>
    <t>Coronation Asset Management Limited</t>
  </si>
  <si>
    <t>DLM Money Market Fund</t>
  </si>
  <si>
    <t>DLM Asset Management Limited</t>
  </si>
  <si>
    <t>EDC Money Market Class A</t>
  </si>
  <si>
    <t>EDC Fund Management</t>
  </si>
  <si>
    <t>EDC Money Market Class B</t>
  </si>
  <si>
    <t>Emerging Africa Money Market Fund</t>
  </si>
  <si>
    <t>Emerging Africa Asset Management Limited</t>
  </si>
  <si>
    <t>FCMBAM Money Market Fund</t>
  </si>
  <si>
    <t>First Asset Money Market Fund</t>
  </si>
  <si>
    <t>First Ally Money Market Fund</t>
  </si>
  <si>
    <t>First Ally Asset Management Limited</t>
  </si>
  <si>
    <t>FSL Money Market Fund</t>
  </si>
  <si>
    <t>FSL  Asset Management Limited</t>
  </si>
  <si>
    <t>Fundvine Money Market Fund</t>
  </si>
  <si>
    <t>Fundvine Berkshire Asset Management Limited</t>
  </si>
  <si>
    <t>GDL Money Market Fund</t>
  </si>
  <si>
    <t xml:space="preserve">Growth and Development Asset Management Limited </t>
  </si>
  <si>
    <t>Greenwich Plus Money Market</t>
  </si>
  <si>
    <t xml:space="preserve">Greenwich Asst Management Ltd </t>
  </si>
  <si>
    <t>GTI  Money Market Fund</t>
  </si>
  <si>
    <t>GTI Asset Management &amp; Trust Limited</t>
  </si>
  <si>
    <t>Guaranty Trust Investment Fund 724</t>
  </si>
  <si>
    <t>Guaranty Trust Money Market Fund</t>
  </si>
  <si>
    <t>Mango Naira Money Maket Fund</t>
  </si>
  <si>
    <t>Mango Asset Management Limited</t>
  </si>
  <si>
    <t>Meristem Money Market Fund</t>
  </si>
  <si>
    <t>Norrenberger Money Market Fund</t>
  </si>
  <si>
    <t>Norrenberger Investment and Capital Mgt Limited</t>
  </si>
  <si>
    <t>NOVA Prime Money Market Fund</t>
  </si>
  <si>
    <t>NOVAMBL Asset Management Limited</t>
  </si>
  <si>
    <t>PACAM Money Market Fund</t>
  </si>
  <si>
    <t>Page Money Market Fund</t>
  </si>
  <si>
    <t>Page Asset Management Limited</t>
  </si>
  <si>
    <t>Parthian Money Market Fund</t>
  </si>
  <si>
    <t>Parthian Capital Ltd.</t>
  </si>
  <si>
    <t>RMBN Money Market Fund</t>
  </si>
  <si>
    <t>RMB Nigeria Asset Management Ltd.</t>
  </si>
  <si>
    <t>RT Briscoe Savings &amp; Investment Fund</t>
  </si>
  <si>
    <t>SCM Capital Money Market Fund</t>
  </si>
  <si>
    <t>Stanbic IBTC Money Market Fund</t>
  </si>
  <si>
    <t>STL Money Market Fund</t>
  </si>
  <si>
    <t>STL Asset Mgt. Limited</t>
  </si>
  <si>
    <t>Trustbanc Money Market Fund</t>
  </si>
  <si>
    <t>Trustbanc Asset Management Limited</t>
  </si>
  <si>
    <t>United Capital Money Market Fund</t>
  </si>
  <si>
    <t>ValuAlliance Money Market Fund</t>
  </si>
  <si>
    <t>ValuAlliance Asset Management Limited</t>
  </si>
  <si>
    <t>Vetiva Money Market Fund</t>
  </si>
  <si>
    <t>Vetiva Fund Managers Limited</t>
  </si>
  <si>
    <t>Zedcrest Money Market Fund</t>
  </si>
  <si>
    <t>Zenith Money Market Fund</t>
  </si>
  <si>
    <t>Zenith Asset Management Ltd</t>
  </si>
  <si>
    <t>BOND/FIXED INCOME FUNDS</t>
  </si>
  <si>
    <t>Anchoria Fixed Income Fund</t>
  </si>
  <si>
    <t>ARM Fixed Income Fund</t>
  </si>
  <si>
    <t>ARM Short Term-Bond Fund</t>
  </si>
  <si>
    <t>ARM Investment Managers</t>
  </si>
  <si>
    <t>AVA GAM Fixed Income Naira Fund</t>
  </si>
  <si>
    <t>CardinalStone Fixed Income Alpha Fund</t>
  </si>
  <si>
    <t>CEAT Fixed Income Fund</t>
  </si>
  <si>
    <t>Capital Express Assset &amp; Trust Limited</t>
  </si>
  <si>
    <t>CFG AM Fixed Income Naira Fund</t>
  </si>
  <si>
    <t>CFG Assset Management Limited</t>
  </si>
  <si>
    <t>Comercio Partners Fixed Income Fund</t>
  </si>
  <si>
    <t>Coral Income Fund</t>
  </si>
  <si>
    <t>Cordros Fixed Income Fund</t>
  </si>
  <si>
    <t>Coronation Fixed Income Fund</t>
  </si>
  <si>
    <t>Coronation Premium Fixed Income Fund</t>
  </si>
  <si>
    <t>Cowry Fixed Income Fund</t>
  </si>
  <si>
    <t>DLM Fixed Income Fund</t>
  </si>
  <si>
    <t>EDC Nigeria Fixed Income Fund</t>
  </si>
  <si>
    <t>Emerging Africa Bond Fund</t>
  </si>
  <si>
    <t>GDL Income Fund</t>
  </si>
  <si>
    <t>Guaranty Trust Fixed Income Fund</t>
  </si>
  <si>
    <t xml:space="preserve">Lead Fixed Income Fund </t>
  </si>
  <si>
    <t>Lead Asset Mgt Ltd</t>
  </si>
  <si>
    <t>Meristem Fixed Income Fund</t>
  </si>
  <si>
    <t>Nigeria International Debt Fund</t>
  </si>
  <si>
    <t>Norrenberger Turbo Fixed Income Fund</t>
  </si>
  <si>
    <t>Norrenberger Investment &amp; Capital Mgt. Ltd.</t>
  </si>
  <si>
    <t>PACAM Fixed Income Fund</t>
  </si>
  <si>
    <t>Radix Horizon Fund</t>
  </si>
  <si>
    <t>Radix Capital Partners Limited</t>
  </si>
  <si>
    <t>SFS Fixed Income Fund</t>
  </si>
  <si>
    <t>SFS Capital Nigeria Ltd</t>
  </si>
  <si>
    <t>Stanbic IBTC Bond Fund</t>
  </si>
  <si>
    <t>Stanbic IBTC Conservative Fund (Sub Fund)</t>
  </si>
  <si>
    <t>Stanbic IBTC Enhanced Short-Term Fixed Income Fund</t>
  </si>
  <si>
    <t>Stanbic IBTC Guaranteed Investment Fund</t>
  </si>
  <si>
    <t>Trustbanc Fixed Income Fund</t>
  </si>
  <si>
    <t>Trustbanc Aset Management Limited</t>
  </si>
  <si>
    <t>United Capital Fixed Income Fund</t>
  </si>
  <si>
    <t>United Capital Stable Fixed Income Fund</t>
  </si>
  <si>
    <t>Utica Custodian Assured Fixed Income Fund</t>
  </si>
  <si>
    <t>Utica Capital Limited</t>
  </si>
  <si>
    <t>Zedcrest Fixed Income Fund</t>
  </si>
  <si>
    <t>Zenith Income Fund</t>
  </si>
  <si>
    <t>DOLLAR FUNDS</t>
  </si>
  <si>
    <t>EUROBONDS</t>
  </si>
  <si>
    <t>Afrinvest Dollar Fund</t>
  </si>
  <si>
    <t>AIICO Eurobond Fund</t>
  </si>
  <si>
    <t>ARM Eurobond Fund</t>
  </si>
  <si>
    <t>ARM Short-Term Eurobond Fund</t>
  </si>
  <si>
    <t>CardinalStone Dollar Fund</t>
  </si>
  <si>
    <t>Comercio Partners Dollar Fund</t>
  </si>
  <si>
    <t>Cowry Eurobond Fund</t>
  </si>
  <si>
    <t>EDC Dollar Fund</t>
  </si>
  <si>
    <t>EDC Fund Management Limited</t>
  </si>
  <si>
    <t>Emerging Africa Eurobond Fund</t>
  </si>
  <si>
    <t>FCMBAM USD Bond Fund</t>
  </si>
  <si>
    <t>First Asset Dollar Fund</t>
  </si>
  <si>
    <t>First Asset Specialized Dollar Fund</t>
  </si>
  <si>
    <t>FSL Eurobond Fund</t>
  </si>
  <si>
    <t>FSL Asset Management Limited</t>
  </si>
  <si>
    <t>Futureview Dollar Fund</t>
  </si>
  <si>
    <t>Futureview Asset Management Limited</t>
  </si>
  <si>
    <t>Norrenberger Dollar Fund</t>
  </si>
  <si>
    <t>Norrenberger Investment &amp; Capital Management Limited</t>
  </si>
  <si>
    <t>Pacam Eurobond Fund</t>
  </si>
  <si>
    <t>United Capital Nigerian Eurobond Fund</t>
  </si>
  <si>
    <t>FIXED INCOME</t>
  </si>
  <si>
    <t>Alpha10 Dollar Fund</t>
  </si>
  <si>
    <t>AVA GAM Fixed Income Dollar Fund</t>
  </si>
  <si>
    <t>AXA Mansard Dollar Bond Fund</t>
  </si>
  <si>
    <t>CFG AM Fixed Income Dollar Fund</t>
  </si>
  <si>
    <t>Cordros Dollar Fund</t>
  </si>
  <si>
    <t>Coronation Dollar Fund</t>
  </si>
  <si>
    <t>FSDH Dollar Fund</t>
  </si>
  <si>
    <t>Greenwich Fixed Income Dollar Fund</t>
  </si>
  <si>
    <t>Guaranty Trust Dollar Fund</t>
  </si>
  <si>
    <t>Lead Dollar Fixed Income Fund</t>
  </si>
  <si>
    <t>Lead Asset Management Limited</t>
  </si>
  <si>
    <t>Meristem Dollar Fund</t>
  </si>
  <si>
    <t>Nigeria Dollar Income Fund</t>
  </si>
  <si>
    <t>NOVA Dollar Fixed Income Fund</t>
  </si>
  <si>
    <t>Parthian Dollar Fixed Income Fund</t>
  </si>
  <si>
    <t>Stanbic IBTC Dollar Fund</t>
  </si>
  <si>
    <t>STL Dollar Fund</t>
  </si>
  <si>
    <t xml:space="preserve">United Capital Global Fixed Income Fund </t>
  </si>
  <si>
    <t>RMBN Dollar Fixed Income Fund</t>
  </si>
  <si>
    <t>Vetiva USD Fixed Income Fund</t>
  </si>
  <si>
    <t>Zedcrest Dollar Fund</t>
  </si>
  <si>
    <t>REAL ESTATE FUNDS</t>
  </si>
  <si>
    <t>Housing Solution Fund</t>
  </si>
  <si>
    <t>FUNDCO Capital Managers Limited</t>
  </si>
  <si>
    <t>MOFI Real Estate Investment Fund</t>
  </si>
  <si>
    <t>Nigeria Real Estate Investment Trust</t>
  </si>
  <si>
    <t>SFS Real Estate Investment Trust Fund</t>
  </si>
  <si>
    <t>Union Homes REITS</t>
  </si>
  <si>
    <t>UPDC Real Estate Investment Fund</t>
  </si>
  <si>
    <t>18,559,969,93</t>
  </si>
  <si>
    <t>BALANCED FUNDS</t>
  </si>
  <si>
    <t>AIICO Balanced Fund</t>
  </si>
  <si>
    <t>Alpha Morgan Balanced Fund</t>
  </si>
  <si>
    <t>Alpha Morgan Capital Managers Limited</t>
  </si>
  <si>
    <t>ARM Discovery Balanced Fund</t>
  </si>
  <si>
    <t>11,498,72</t>
  </si>
  <si>
    <t>Capital Express Balanced Fund</t>
  </si>
  <si>
    <t>CardinalStone Balanced Fund</t>
  </si>
  <si>
    <t>Coral Balanced Fund</t>
  </si>
  <si>
    <t>Cordros Milestone Fund</t>
  </si>
  <si>
    <t>Coronation Balanced Fund</t>
  </si>
  <si>
    <t>Cowry Balanced Fund</t>
  </si>
  <si>
    <t>EDC Balanced Fund</t>
  </si>
  <si>
    <t>Emerging Africa Balanced-Diversity Fund</t>
  </si>
  <si>
    <t>First Asset Balanced Fund</t>
  </si>
  <si>
    <t>GDL Canary Balanced Fund</t>
  </si>
  <si>
    <t>Growth and Development Asset Management Limited</t>
  </si>
  <si>
    <t>Greenwich Balanced Fund</t>
  </si>
  <si>
    <t>GTI Balanced Fund</t>
  </si>
  <si>
    <t>Guaranty Trust Balanced Fund</t>
  </si>
  <si>
    <t>Hillcrest Balanced Fund</t>
  </si>
  <si>
    <t>Hillcrest Capital Management Limited</t>
  </si>
  <si>
    <t xml:space="preserve">Lead Balanced Fund </t>
  </si>
  <si>
    <t>Nigeria Energy Sector Fund</t>
  </si>
  <si>
    <t>NOVA Hybrid Balanced Fund</t>
  </si>
  <si>
    <t>PACAM Balanced Fund</t>
  </si>
  <si>
    <t>Samtl Mixed Income Fund</t>
  </si>
  <si>
    <t>Samtl Fund Managers Limited</t>
  </si>
  <si>
    <t>Stanbic IBTC Balanced Fund</t>
  </si>
  <si>
    <t>STL Balanced Fund</t>
  </si>
  <si>
    <t>The Nigeria Football Fund</t>
  </si>
  <si>
    <t>United Capital Balanced Fund</t>
  </si>
  <si>
    <t>United Capital Wealth For Women Fund</t>
  </si>
  <si>
    <t>ValuAlliance Value Fund</t>
  </si>
  <si>
    <t>Zenith Balanced Strategy Fund</t>
  </si>
  <si>
    <t>ETHICAL FUNDS</t>
  </si>
  <si>
    <t>CFG Ethical Fund</t>
  </si>
  <si>
    <t>CFG Asset Management Limited</t>
  </si>
  <si>
    <t>Stanbic IBTC Ethical Fund</t>
  </si>
  <si>
    <t>Zenith ESG Impact Fund</t>
  </si>
  <si>
    <t>SHARI'AH COMPLIANT FUNDS</t>
  </si>
  <si>
    <t>EQUITIES</t>
  </si>
  <si>
    <t>Lotus Halal Investment  Fund</t>
  </si>
  <si>
    <t>Lotus Capital Limited</t>
  </si>
  <si>
    <t>Stanbic IBTC Imaan Fund</t>
  </si>
  <si>
    <t>ARM Sharia Compliant Fixed Income Fund</t>
  </si>
  <si>
    <t>Capital Trust Halal Fixed Income Fund</t>
  </si>
  <si>
    <t>Capital Trust Investments &amp; Asset Mgt. Ltd</t>
  </si>
  <si>
    <t>Cordros Halal Fixed Income Fund</t>
  </si>
  <si>
    <t>D'Namaz Halal Fixed Income Fund</t>
  </si>
  <si>
    <t>D'Namaz Capital Limited</t>
  </si>
  <si>
    <t>EDC Halal Fund</t>
  </si>
  <si>
    <t>Emerging Africa Halal Fund</t>
  </si>
  <si>
    <t>First Asset Halal Fund</t>
  </si>
  <si>
    <t>FSDH Halal Fund</t>
  </si>
  <si>
    <t>Lotus Halal Fixed Income Fund</t>
  </si>
  <si>
    <t>Marble Halal Commodities Fund</t>
  </si>
  <si>
    <t xml:space="preserve">Marble Capital Limited </t>
  </si>
  <si>
    <t>Marble Halal Fixed Income Fund</t>
  </si>
  <si>
    <t>Norrenberger Islamic Fund</t>
  </si>
  <si>
    <t>Stanbic IBTC Shariah Fixed Income Fund</t>
  </si>
  <si>
    <t>United Capital Sukuk Fund</t>
  </si>
  <si>
    <t>BALANCED</t>
  </si>
  <si>
    <t>Afrinvest Halal Fund</t>
  </si>
  <si>
    <t>Afrinvest Asset Mgt Ltd.</t>
  </si>
  <si>
    <t>ARM Halal Balanced Fund</t>
  </si>
  <si>
    <t>Lotus Waqf (Endowment) Fund</t>
  </si>
  <si>
    <t>One17 Halal Fund</t>
  </si>
  <si>
    <t>One17 Capital Limited</t>
  </si>
  <si>
    <t>Mutual Fund Total</t>
  </si>
  <si>
    <t>SPECIALISED FUNDS</t>
  </si>
  <si>
    <t>ARM Specialized Dollar Fund</t>
  </si>
  <si>
    <t>Clean Energy Fund</t>
  </si>
  <si>
    <t>Fundco Capital Managers Limited</t>
  </si>
  <si>
    <t>FCMB-TLG Private Debt Fund</t>
  </si>
  <si>
    <t>FCMB Asset Management Limited</t>
  </si>
  <si>
    <t>First Asset Blended Dollar Fund</t>
  </si>
  <si>
    <t>United Capital Children Investment Fund</t>
  </si>
  <si>
    <t>Grand Total</t>
  </si>
  <si>
    <t>Note:</t>
  </si>
  <si>
    <r>
      <rPr>
        <sz val="8"/>
        <color theme="0"/>
        <rFont val="Times New Roman"/>
        <family val="1"/>
      </rPr>
      <t>US$/NG</t>
    </r>
    <r>
      <rPr>
        <strike/>
        <sz val="8"/>
        <color theme="0"/>
        <rFont val="Times New Roman"/>
        <family val="1"/>
      </rPr>
      <t>N</t>
    </r>
    <r>
      <rPr>
        <sz val="8"/>
        <color theme="0"/>
        <rFont val="Times New Roman"/>
        <family val="1"/>
      </rPr>
      <t xml:space="preserve"> I&amp;E as at 30th June, 2026 = N1379.6842</t>
    </r>
  </si>
  <si>
    <t>FUNDS</t>
  </si>
  <si>
    <t>BONDS/FIXED INCOME FUNDS</t>
  </si>
  <si>
    <t>REAL ESTATE INVESTMENT TRUST</t>
  </si>
  <si>
    <t>SHARI'AH COMPLAINT FUNDS</t>
  </si>
  <si>
    <t>UNIT HOLDERS</t>
  </si>
  <si>
    <t>First Asset Management Limited</t>
  </si>
  <si>
    <t>Myrtle Nest(MyNest Money Market Fund)</t>
  </si>
  <si>
    <t>Myrtle Asset Management and Trust Limited</t>
  </si>
  <si>
    <t>FCMBAM Debt Fund</t>
  </si>
  <si>
    <t>First Asset Bond Fund</t>
  </si>
  <si>
    <t>Chapel Hill Denham Nigeria Bond Fund</t>
  </si>
  <si>
    <t>Myrtle Dollar Shield Fund</t>
  </si>
  <si>
    <t>Myrtle Asset Management Limited</t>
  </si>
  <si>
    <t>Myrtle Balanced Plus Fund</t>
  </si>
  <si>
    <t>Myrtle asset Management Limited</t>
  </si>
  <si>
    <t>ValuAlliance Specialized Dollar Fund</t>
  </si>
  <si>
    <t>Jun 2026</t>
  </si>
  <si>
    <t>Apr 2026</t>
  </si>
  <si>
    <t>May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</si>
</sst>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5" formatCode="&quot;$&quot;#,##0_);\(&quot;$&quot;#,##0\)"/>
    <numFmt numFmtId="43" formatCode="_(* #,##0.00_);_(* \(#,##0.00\);_(* &quot;-&quot;??_);_(@_)"/>
    <numFmt numFmtId="164" formatCode="_-* #,##0.00_-;\-* #,##0.00_-;_-* &quot;-&quot;??_-;_-@_-"/>
    <numFmt numFmtId="165" formatCode="0;[Red]0"/>
    <numFmt numFmtId="166" formatCode="mmm\-yyyy"/>
    <numFmt numFmtId="167" formatCode="dd/mm/yy;@"/>
    <numFmt numFmtId="168" formatCode="[$-409]d\-mmm\-yy;@"/>
    <numFmt numFmtId="169" formatCode="&quot;Yes&quot;;&quot;Yes&quot;;&quot;No&quot;"/>
    <numFmt numFmtId="170" formatCode="0.00_)"/>
    <numFmt numFmtId="171" formatCode="_(* #,##0_);_(* \(#,##0\);_(* &quot;-&quot;??_);_(@_)"/>
    <numFmt numFmtId="172" formatCode="_-* #,##0_-;\-* #,##0_-;_-* &quot;-&quot;??_-;_-@_-"/>
    <numFmt numFmtId="173" formatCode="&quot; &quot;* #,##0.00&quot; &quot;;&quot;-&quot;* #,##0.00&quot; &quot;;&quot; &quot;* &quot;-&quot;??&quot; &quot;"/>
    <numFmt numFmtId="174" formatCode="&quot; &quot;* #,##0&quot; &quot;;&quot;-&quot;* #,##0&quot; &quot;;&quot; &quot;* &quot;-&quot;??&quot; &quot;"/>
    <numFmt numFmtId="175" formatCode="&quot; &quot;* #,##0.00&quot; &quot;;&quot; &quot;* \(#,##0.00\);&quot; &quot;* &quot;-&quot;??&quot; &quot;"/>
  </numFmts>
  <fonts count="5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Arial Narrow"/>
      <family val="2"/>
    </font>
    <font>
      <b/>
      <sz val="11"/>
      <color theme="0"/>
      <name val="Calibri"/>
      <family val="2"/>
      <scheme val="minor"/>
    </font>
    <font>
      <b/>
      <sz val="11"/>
      <color theme="0"/>
      <name val="Arial Narrow"/>
      <family val="2"/>
    </font>
    <font>
      <sz val="10"/>
      <color theme="0"/>
      <name val="Arial Narrow"/>
      <family val="2"/>
    </font>
    <font>
      <sz val="8"/>
      <name val="Century Gothic"/>
      <family val="2"/>
    </font>
    <font>
      <sz val="11"/>
      <name val="Arial Narrow"/>
      <family val="2"/>
    </font>
    <font>
      <b/>
      <sz val="11"/>
      <name val="Arial Narrow"/>
      <family val="2"/>
    </font>
    <font>
      <sz val="10"/>
      <color rgb="FFFF0000"/>
      <name val="Arial Narrow"/>
      <family val="2"/>
    </font>
    <font>
      <sz val="11"/>
      <color theme="1"/>
      <name val="Arial Narrow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28"/>
      <color theme="0"/>
      <name val="Segoe UI Black"/>
      <family val="2"/>
    </font>
    <font>
      <b/>
      <sz val="10"/>
      <name val="Century Gothic"/>
      <family val="2"/>
    </font>
    <font>
      <sz val="8"/>
      <color theme="1"/>
      <name val="Century Gothic"/>
      <family val="2"/>
    </font>
    <font>
      <b/>
      <sz val="8"/>
      <name val="Century Gothic"/>
      <family val="2"/>
    </font>
    <font>
      <b/>
      <sz val="9"/>
      <name val="Century Gothic"/>
      <family val="2"/>
    </font>
    <font>
      <sz val="8"/>
      <color rgb="FF424242"/>
      <name val="Arial"/>
      <family val="2"/>
    </font>
    <font>
      <sz val="10"/>
      <name val="Century Gothic"/>
      <family val="2"/>
    </font>
    <font>
      <b/>
      <sz val="10"/>
      <name val="Calibri"/>
      <family val="2"/>
    </font>
    <font>
      <b/>
      <sz val="10"/>
      <color rgb="FFFF0000"/>
      <name val="Calibri"/>
      <family val="2"/>
    </font>
    <font>
      <b/>
      <sz val="8"/>
      <color theme="0"/>
      <name val="Times New Roman"/>
      <family val="1"/>
    </font>
    <font>
      <sz val="8"/>
      <color theme="0"/>
      <name val="Times New Roman"/>
      <family val="1"/>
    </font>
    <font>
      <sz val="10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sz val="11"/>
      <color rgb="FF9C5700"/>
      <name val="Calibri"/>
      <family val="2"/>
      <scheme val="minor"/>
    </font>
    <font>
      <b/>
      <i/>
      <sz val="16"/>
      <name val="Helv"/>
      <charset val="134"/>
    </font>
    <font>
      <sz val="10"/>
      <color theme="1"/>
      <name val="Futura Bk BT"/>
      <charset val="134"/>
    </font>
    <font>
      <sz val="18"/>
      <color theme="3"/>
      <name val="Calibri Light"/>
      <family val="2"/>
      <scheme val="major"/>
    </font>
    <font>
      <b/>
      <sz val="18"/>
      <color theme="3"/>
      <name val="Calibri Light"/>
      <family val="2"/>
      <scheme val="major"/>
    </font>
    <font>
      <strike/>
      <sz val="8"/>
      <color theme="0"/>
      <name val="Times New Roman"/>
      <family val="1"/>
    </font>
    <font>
      <sz val="11"/>
      <color theme="1"/>
      <name val="Calibri"/>
      <family val="2"/>
      <scheme val="minor"/>
    </font>
    <font>
      <sz val="8"/>
      <name val="Century Gothic"/>
      <family val="2"/>
    </font>
    <font>
      <sz val="8"/>
      <color theme="1"/>
      <name val="Century Gothic"/>
      <family val="2"/>
    </font>
    <font>
      <sz val="7.1"/>
      <color rgb="FF000000"/>
      <name val="Tahoma-Bold-Identity-H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Arial Narrow"/>
      <family val="2"/>
    </font>
    <font>
      <b/>
      <sz val="10"/>
      <name val="Arial Narrow"/>
      <family val="2"/>
    </font>
    <font>
      <b/>
      <sz val="12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sz val="8"/>
      <name val="Arial Narrow"/>
      <family val="2"/>
    </font>
    <font>
      <sz val="10"/>
      <color theme="0"/>
      <name val="Arial Narrow"/>
      <family val="2"/>
    </font>
    <font>
      <b/>
      <sz val="10"/>
      <color theme="0"/>
      <name val="Arial Narrow"/>
      <family val="2"/>
    </font>
    <font>
      <b/>
      <sz val="11"/>
      <color theme="0"/>
      <name val="Arial Narrow"/>
      <family val="2"/>
    </font>
    <font>
      <sz val="8"/>
      <color theme="0"/>
      <name val="Arial Narrow"/>
      <family val="2"/>
    </font>
  </fonts>
  <fills count="3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73754081850645"/>
        <bgColor indexed="64"/>
      </patternFill>
    </fill>
    <fill>
      <patternFill patternType="solid">
        <fgColor theme="5" tint="0.7997375408185064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76805932798245"/>
        <bgColor indexed="64"/>
      </patternFill>
    </fill>
    <fill>
      <patternFill patternType="solid">
        <fgColor theme="5" tint="0.79976805932798245"/>
        <bgColor indexed="64"/>
      </patternFill>
    </fill>
    <fill>
      <patternFill patternType="solid">
        <fgColor theme="6" tint="0.79976805932798245"/>
        <bgColor indexed="64"/>
      </patternFill>
    </fill>
    <fill>
      <patternFill patternType="solid">
        <fgColor theme="7" tint="0.79976805932798245"/>
        <bgColor indexed="64"/>
      </patternFill>
    </fill>
    <fill>
      <patternFill patternType="solid">
        <fgColor theme="8" tint="0.79976805932798245"/>
        <bgColor indexed="64"/>
      </patternFill>
    </fill>
    <fill>
      <patternFill patternType="solid">
        <fgColor theme="9" tint="0.79976805932798245"/>
        <bgColor indexed="64"/>
      </patternFill>
    </fill>
    <fill>
      <patternFill patternType="solid">
        <fgColor theme="4" tint="0.39976195562608724"/>
        <bgColor indexed="64"/>
      </patternFill>
    </fill>
    <fill>
      <patternFill patternType="solid">
        <fgColor theme="5" tint="0.39976195562608724"/>
        <bgColor indexed="64"/>
      </patternFill>
    </fill>
    <fill>
      <patternFill patternType="solid">
        <fgColor theme="6" tint="0.39976195562608724"/>
        <bgColor indexed="64"/>
      </patternFill>
    </fill>
    <fill>
      <patternFill patternType="solid">
        <fgColor theme="7" tint="0.39976195562608724"/>
        <bgColor indexed="64"/>
      </patternFill>
    </fill>
    <fill>
      <patternFill patternType="solid">
        <fgColor theme="8" tint="0.39976195562608724"/>
        <bgColor indexed="64"/>
      </patternFill>
    </fill>
    <fill>
      <patternFill patternType="solid">
        <fgColor theme="9" tint="0.3997619556260872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theme="4" tint="0.59999389629810485"/>
      </left>
      <right/>
      <top style="thin">
        <color theme="4" tint="0.59999389629810485"/>
      </top>
      <bottom style="thin">
        <color theme="4" tint="0.59999389629810485"/>
      </bottom>
      <diagonal/>
    </border>
    <border>
      <left/>
      <right/>
      <top style="thin">
        <color theme="4" tint="0.59999389629810485"/>
      </top>
      <bottom style="thin">
        <color theme="4" tint="0.59999389629810485"/>
      </bottom>
      <diagonal/>
    </border>
    <border>
      <left/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/>
      <diagonal/>
    </border>
    <border>
      <left style="thin">
        <color theme="4" tint="0.59999389629810485"/>
      </left>
      <right style="thin">
        <color theme="4" tint="0.59999389629810485"/>
      </right>
      <top/>
      <bottom style="thin">
        <color theme="4" tint="0.5999938962981048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465">
    <xf numFmtId="0" fontId="0" fillId="0" borderId="0"/>
    <xf numFmtId="164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8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19" borderId="0" applyNumberFormat="0" applyBorder="0" applyAlignment="0" applyProtection="0"/>
    <xf numFmtId="0" fontId="37" fillId="20" borderId="0" applyNumberFormat="0" applyBorder="0" applyAlignment="0" applyProtection="0"/>
    <xf numFmtId="0" fontId="37" fillId="20" borderId="0" applyNumberFormat="0" applyBorder="0" applyAlignment="0" applyProtection="0"/>
    <xf numFmtId="0" fontId="37" fillId="20" borderId="0" applyNumberFormat="0" applyBorder="0" applyAlignment="0" applyProtection="0"/>
    <xf numFmtId="0" fontId="37" fillId="20" borderId="0" applyNumberFormat="0" applyBorder="0" applyAlignment="0" applyProtection="0"/>
    <xf numFmtId="0" fontId="37" fillId="20" borderId="0" applyNumberFormat="0" applyBorder="0" applyAlignment="0" applyProtection="0"/>
    <xf numFmtId="0" fontId="37" fillId="20" borderId="0" applyNumberFormat="0" applyBorder="0" applyAlignment="0" applyProtection="0"/>
    <xf numFmtId="0" fontId="37" fillId="20" borderId="0" applyNumberFormat="0" applyBorder="0" applyAlignment="0" applyProtection="0"/>
    <xf numFmtId="0" fontId="37" fillId="20" borderId="0" applyNumberFormat="0" applyBorder="0" applyAlignment="0" applyProtection="0"/>
    <xf numFmtId="0" fontId="37" fillId="20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1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2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23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4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17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6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165" fontId="28" fillId="0" borderId="0" applyFont="0" applyFill="0" applyBorder="0" applyAlignment="0" applyProtection="0"/>
    <xf numFmtId="164" fontId="3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37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37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43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5" fontId="30" fillId="0" borderId="0" applyFont="0" applyFill="0" applyBorder="0" applyAlignment="0" applyProtection="0"/>
    <xf numFmtId="5" fontId="3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9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31" fillId="11" borderId="0" applyNumberFormat="0" applyBorder="0" applyAlignment="0" applyProtection="0"/>
    <xf numFmtId="170" fontId="3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9" fillId="0" borderId="0"/>
    <xf numFmtId="0" fontId="29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9" fillId="0" borderId="0"/>
    <xf numFmtId="49" fontId="29" fillId="0" borderId="0"/>
    <xf numFmtId="49" fontId="29" fillId="0" borderId="0"/>
    <xf numFmtId="49" fontId="29" fillId="0" borderId="0"/>
    <xf numFmtId="49" fontId="29" fillId="0" borderId="0"/>
    <xf numFmtId="0" fontId="29" fillId="0" borderId="0"/>
    <xf numFmtId="37" fontId="29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0" fillId="0" borderId="0"/>
    <xf numFmtId="0" fontId="30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9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0" fontId="37" fillId="10" borderId="8" applyNumberFormat="0" applyFont="0" applyAlignment="0" applyProtection="0"/>
    <xf numFmtId="9" fontId="2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</cellStyleXfs>
  <cellXfs count="19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right"/>
    </xf>
    <xf numFmtId="171" fontId="3" fillId="0" borderId="0" xfId="201" applyNumberFormat="1" applyFont="1"/>
    <xf numFmtId="0" fontId="6" fillId="0" borderId="0" xfId="0" applyFont="1" applyAlignment="1">
      <alignment horizontal="right"/>
    </xf>
    <xf numFmtId="172" fontId="3" fillId="0" borderId="0" xfId="1" applyNumberFormat="1" applyFont="1"/>
    <xf numFmtId="0" fontId="10" fillId="0" borderId="0" xfId="0" applyFont="1" applyAlignment="1">
      <alignment horizontal="right"/>
    </xf>
    <xf numFmtId="0" fontId="12" fillId="2" borderId="0" xfId="0" applyFont="1" applyFill="1" applyAlignment="1">
      <alignment wrapText="1"/>
    </xf>
    <xf numFmtId="4" fontId="9" fillId="2" borderId="0" xfId="0" applyNumberFormat="1" applyFont="1" applyFill="1"/>
    <xf numFmtId="0" fontId="13" fillId="2" borderId="0" xfId="0" applyFont="1" applyFill="1"/>
    <xf numFmtId="0" fontId="13" fillId="3" borderId="0" xfId="0" applyFont="1" applyFill="1"/>
    <xf numFmtId="0" fontId="14" fillId="0" borderId="0" xfId="0" applyFont="1"/>
    <xf numFmtId="0" fontId="15" fillId="0" borderId="0" xfId="0" applyFont="1"/>
    <xf numFmtId="0" fontId="13" fillId="0" borderId="0" xfId="0" applyFont="1"/>
    <xf numFmtId="49" fontId="17" fillId="5" borderId="2" xfId="0" applyNumberFormat="1" applyFont="1" applyFill="1" applyBorder="1" applyAlignment="1">
      <alignment horizontal="center" vertical="top" wrapText="1"/>
    </xf>
    <xf numFmtId="164" fontId="17" fillId="5" borderId="2" xfId="1" applyFont="1" applyFill="1" applyBorder="1" applyAlignment="1">
      <alignment horizontal="center" vertical="top" wrapText="1"/>
    </xf>
    <xf numFmtId="49" fontId="8" fillId="2" borderId="2" xfId="0" applyNumberFormat="1" applyFont="1" applyFill="1" applyBorder="1" applyAlignment="1">
      <alignment wrapText="1"/>
    </xf>
    <xf numFmtId="164" fontId="8" fillId="2" borderId="2" xfId="1" applyNumberFormat="1" applyFont="1" applyFill="1" applyBorder="1"/>
    <xf numFmtId="164" fontId="8" fillId="2" borderId="2" xfId="1" applyFont="1" applyFill="1" applyBorder="1" applyAlignment="1"/>
    <xf numFmtId="164" fontId="8" fillId="2" borderId="2" xfId="1" applyFont="1" applyFill="1" applyBorder="1" applyAlignment="1">
      <alignment horizontal="left"/>
    </xf>
    <xf numFmtId="10" fontId="8" fillId="2" borderId="2" xfId="0" applyNumberFormat="1" applyFont="1" applyFill="1" applyBorder="1" applyAlignment="1">
      <alignment horizontal="center"/>
    </xf>
    <xf numFmtId="164" fontId="8" fillId="2" borderId="2" xfId="1" applyNumberFormat="1" applyFont="1" applyFill="1" applyBorder="1" applyAlignment="1">
      <alignment horizontal="left"/>
    </xf>
    <xf numFmtId="10" fontId="19" fillId="6" borderId="2" xfId="0" applyNumberFormat="1" applyFont="1" applyFill="1" applyBorder="1" applyAlignment="1">
      <alignment horizontal="center" vertical="center"/>
    </xf>
    <xf numFmtId="10" fontId="8" fillId="6" borderId="2" xfId="0" applyNumberFormat="1" applyFont="1" applyFill="1" applyBorder="1" applyAlignment="1">
      <alignment horizontal="center" vertical="center"/>
    </xf>
    <xf numFmtId="173" fontId="8" fillId="6" borderId="2" xfId="0" applyNumberFormat="1" applyFont="1" applyFill="1" applyBorder="1" applyAlignment="1">
      <alignment horizontal="right" vertical="center"/>
    </xf>
    <xf numFmtId="164" fontId="8" fillId="2" borderId="2" xfId="1" applyFont="1" applyFill="1" applyBorder="1"/>
    <xf numFmtId="174" fontId="8" fillId="2" borderId="2" xfId="0" applyNumberFormat="1" applyFont="1" applyFill="1" applyBorder="1" applyAlignment="1">
      <alignment horizontal="center" wrapText="1"/>
    </xf>
    <xf numFmtId="49" fontId="8" fillId="2" borderId="2" xfId="0" applyNumberFormat="1" applyFont="1" applyFill="1" applyBorder="1"/>
    <xf numFmtId="49" fontId="8" fillId="2" borderId="2" xfId="0" applyNumberFormat="1" applyFont="1" applyFill="1" applyBorder="1" applyAlignment="1">
      <alignment vertical="center" wrapText="1"/>
    </xf>
    <xf numFmtId="4" fontId="8" fillId="2" borderId="2" xfId="0" applyNumberFormat="1" applyFont="1" applyFill="1" applyBorder="1" applyAlignment="1">
      <alignment wrapText="1"/>
    </xf>
    <xf numFmtId="0" fontId="8" fillId="2" borderId="2" xfId="0" applyFont="1" applyFill="1" applyBorder="1" applyAlignment="1">
      <alignment wrapText="1"/>
    </xf>
    <xf numFmtId="164" fontId="8" fillId="0" borderId="2" xfId="1" applyFont="1" applyBorder="1"/>
    <xf numFmtId="164" fontId="8" fillId="0" borderId="2" xfId="1" applyNumberFormat="1" applyFont="1" applyBorder="1"/>
    <xf numFmtId="164" fontId="19" fillId="2" borderId="2" xfId="1" applyFont="1" applyFill="1" applyBorder="1" applyAlignment="1">
      <alignment horizontal="right"/>
    </xf>
    <xf numFmtId="164" fontId="19" fillId="2" borderId="2" xfId="1" applyFont="1" applyFill="1" applyBorder="1" applyAlignment="1">
      <alignment horizontal="left"/>
    </xf>
    <xf numFmtId="10" fontId="19" fillId="2" borderId="2" xfId="0" applyNumberFormat="1" applyFont="1" applyFill="1" applyBorder="1" applyAlignment="1">
      <alignment horizontal="center"/>
    </xf>
    <xf numFmtId="173" fontId="19" fillId="6" borderId="2" xfId="0" applyNumberFormat="1" applyFont="1" applyFill="1" applyBorder="1" applyAlignment="1">
      <alignment horizontal="right" vertical="center"/>
    </xf>
    <xf numFmtId="164" fontId="19" fillId="2" borderId="2" xfId="1" applyFont="1" applyFill="1" applyBorder="1"/>
    <xf numFmtId="164" fontId="8" fillId="7" borderId="2" xfId="1" applyFont="1" applyFill="1" applyBorder="1"/>
    <xf numFmtId="164" fontId="8" fillId="7" borderId="2" xfId="1" applyNumberFormat="1" applyFont="1" applyFill="1" applyBorder="1"/>
    <xf numFmtId="173" fontId="8" fillId="6" borderId="2" xfId="0" applyNumberFormat="1" applyFont="1" applyFill="1" applyBorder="1" applyAlignment="1">
      <alignment horizontal="center" vertical="center"/>
    </xf>
    <xf numFmtId="164" fontId="8" fillId="0" borderId="2" xfId="1" applyNumberFormat="1" applyFont="1" applyFill="1" applyBorder="1"/>
    <xf numFmtId="164" fontId="8" fillId="0" borderId="2" xfId="1" applyFont="1" applyFill="1" applyBorder="1"/>
    <xf numFmtId="164" fontId="8" fillId="2" borderId="2" xfId="1" applyFont="1" applyFill="1" applyBorder="1" applyAlignment="1">
      <alignment wrapText="1"/>
    </xf>
    <xf numFmtId="49" fontId="8" fillId="2" borderId="2" xfId="0" applyNumberFormat="1" applyFont="1" applyFill="1" applyBorder="1" applyAlignment="1">
      <alignment vertical="top" wrapText="1"/>
    </xf>
    <xf numFmtId="173" fontId="19" fillId="2" borderId="2" xfId="0" applyNumberFormat="1" applyFont="1" applyFill="1" applyBorder="1"/>
    <xf numFmtId="173" fontId="19" fillId="6" borderId="2" xfId="0" applyNumberFormat="1" applyFont="1" applyFill="1" applyBorder="1" applyAlignment="1">
      <alignment horizontal="center" vertical="center"/>
    </xf>
    <xf numFmtId="164" fontId="8" fillId="2" borderId="2" xfId="1" applyNumberFormat="1" applyFont="1" applyFill="1" applyBorder="1" applyAlignment="1">
      <alignment horizontal="right"/>
    </xf>
    <xf numFmtId="174" fontId="8" fillId="2" borderId="2" xfId="0" applyNumberFormat="1" applyFont="1" applyFill="1" applyBorder="1" applyAlignment="1">
      <alignment horizontal="right" wrapText="1"/>
    </xf>
    <xf numFmtId="164" fontId="8" fillId="0" borderId="2" xfId="1" applyFont="1" applyFill="1" applyBorder="1" applyAlignment="1">
      <alignment horizontal="right"/>
    </xf>
    <xf numFmtId="172" fontId="8" fillId="2" borderId="2" xfId="1" applyNumberFormat="1" applyFont="1" applyFill="1" applyBorder="1" applyAlignment="1">
      <alignment horizontal="center" wrapText="1"/>
    </xf>
    <xf numFmtId="164" fontId="8" fillId="0" borderId="2" xfId="1" applyFont="1" applyBorder="1" applyAlignment="1"/>
    <xf numFmtId="164" fontId="8" fillId="0" borderId="2" xfId="1" applyNumberFormat="1" applyFont="1" applyBorder="1" applyAlignment="1"/>
    <xf numFmtId="164" fontId="19" fillId="2" borderId="2" xfId="1" applyFont="1" applyFill="1" applyBorder="1" applyAlignment="1"/>
    <xf numFmtId="164" fontId="8" fillId="2" borderId="2" xfId="1" applyFont="1" applyFill="1" applyBorder="1" applyAlignment="1">
      <alignment horizontal="left" vertical="top" wrapText="1"/>
    </xf>
    <xf numFmtId="164" fontId="8" fillId="2" borderId="2" xfId="1" applyNumberFormat="1" applyFont="1" applyFill="1" applyBorder="1" applyAlignment="1">
      <alignment horizontal="right" vertical="top" wrapText="1"/>
    </xf>
    <xf numFmtId="164" fontId="8" fillId="2" borderId="2" xfId="1" applyFont="1" applyFill="1" applyBorder="1" applyAlignment="1">
      <alignment horizontal="right" vertical="top" wrapText="1"/>
    </xf>
    <xf numFmtId="164" fontId="8" fillId="2" borderId="2" xfId="1" applyNumberFormat="1" applyFont="1" applyFill="1" applyBorder="1" applyAlignment="1">
      <alignment horizontal="center" vertical="top" wrapText="1"/>
    </xf>
    <xf numFmtId="164" fontId="8" fillId="2" borderId="2" xfId="1" applyFont="1" applyFill="1" applyBorder="1" applyAlignment="1">
      <alignment vertical="top" wrapText="1"/>
    </xf>
    <xf numFmtId="164" fontId="19" fillId="2" borderId="2" xfId="1" applyFont="1" applyFill="1" applyBorder="1" applyAlignment="1">
      <alignment wrapText="1"/>
    </xf>
    <xf numFmtId="164" fontId="8" fillId="2" borderId="2" xfId="1" applyNumberFormat="1" applyFont="1" applyFill="1" applyBorder="1" applyAlignment="1">
      <alignment wrapText="1"/>
    </xf>
    <xf numFmtId="10" fontId="19" fillId="6" borderId="2" xfId="0" applyNumberFormat="1" applyFont="1" applyFill="1" applyBorder="1" applyAlignment="1">
      <alignment horizontal="right" vertical="center"/>
    </xf>
    <xf numFmtId="164" fontId="8" fillId="2" borderId="2" xfId="1" applyNumberFormat="1" applyFont="1" applyFill="1" applyBorder="1" applyAlignment="1">
      <alignment horizontal="right" wrapText="1"/>
    </xf>
    <xf numFmtId="0" fontId="8" fillId="2" borderId="2" xfId="0" applyFont="1" applyFill="1" applyBorder="1" applyAlignment="1">
      <alignment horizontal="right" wrapText="1"/>
    </xf>
    <xf numFmtId="2" fontId="8" fillId="2" borderId="2" xfId="0" applyNumberFormat="1" applyFont="1" applyFill="1" applyBorder="1"/>
    <xf numFmtId="2" fontId="8" fillId="2" borderId="2" xfId="0" applyNumberFormat="1" applyFont="1" applyFill="1" applyBorder="1" applyAlignment="1">
      <alignment wrapText="1"/>
    </xf>
    <xf numFmtId="164" fontId="8" fillId="0" borderId="2" xfId="1" applyNumberFormat="1" applyFont="1" applyFill="1" applyBorder="1" applyAlignment="1" applyProtection="1"/>
    <xf numFmtId="164" fontId="8" fillId="0" borderId="2" xfId="1" applyFont="1" applyFill="1" applyBorder="1" applyAlignment="1" applyProtection="1"/>
    <xf numFmtId="2" fontId="8" fillId="2" borderId="2" xfId="414" applyNumberFormat="1" applyFont="1" applyFill="1" applyBorder="1" applyAlignment="1">
      <alignment wrapText="1"/>
    </xf>
    <xf numFmtId="173" fontId="8" fillId="2" borderId="2" xfId="0" applyNumberFormat="1" applyFont="1" applyFill="1" applyBorder="1" applyAlignment="1">
      <alignment horizontal="right"/>
    </xf>
    <xf numFmtId="171" fontId="8" fillId="0" borderId="2" xfId="0" applyNumberFormat="1" applyFont="1" applyBorder="1"/>
    <xf numFmtId="173" fontId="8" fillId="2" borderId="2" xfId="0" applyNumberFormat="1" applyFont="1" applyFill="1" applyBorder="1"/>
    <xf numFmtId="172" fontId="8" fillId="0" borderId="2" xfId="0" applyNumberFormat="1" applyFont="1" applyBorder="1"/>
    <xf numFmtId="174" fontId="8" fillId="2" borderId="2" xfId="0" applyNumberFormat="1" applyFont="1" applyFill="1" applyBorder="1"/>
    <xf numFmtId="172" fontId="8" fillId="2" borderId="3" xfId="1" applyNumberFormat="1" applyFont="1" applyFill="1" applyBorder="1" applyAlignment="1">
      <alignment horizontal="right" wrapText="1"/>
    </xf>
    <xf numFmtId="164" fontId="8" fillId="2" borderId="0" xfId="1" applyFont="1" applyFill="1" applyBorder="1" applyAlignment="1">
      <alignment wrapText="1"/>
    </xf>
    <xf numFmtId="164" fontId="8" fillId="2" borderId="5" xfId="1" applyNumberFormat="1" applyFont="1" applyFill="1" applyBorder="1" applyAlignment="1">
      <alignment horizontal="right"/>
    </xf>
    <xf numFmtId="164" fontId="8" fillId="2" borderId="2" xfId="1" applyFont="1" applyFill="1" applyBorder="1" applyAlignment="1">
      <alignment horizontal="right"/>
    </xf>
    <xf numFmtId="164" fontId="8" fillId="2" borderId="2" xfId="1" applyFont="1" applyFill="1" applyBorder="1" applyAlignment="1">
      <alignment horizontal="center" wrapText="1"/>
    </xf>
    <xf numFmtId="10" fontId="8" fillId="2" borderId="2" xfId="2" applyNumberFormat="1" applyFont="1" applyFill="1" applyBorder="1" applyAlignment="1">
      <alignment horizontal="center" wrapText="1"/>
    </xf>
    <xf numFmtId="164" fontId="8" fillId="2" borderId="2" xfId="1" applyNumberFormat="1" applyFont="1" applyFill="1" applyBorder="1" applyAlignment="1">
      <alignment horizontal="center" wrapText="1"/>
    </xf>
    <xf numFmtId="164" fontId="8" fillId="2" borderId="7" xfId="1" applyFont="1" applyFill="1" applyBorder="1" applyAlignment="1">
      <alignment wrapText="1"/>
    </xf>
    <xf numFmtId="172" fontId="8" fillId="2" borderId="2" xfId="1" applyNumberFormat="1" applyFont="1" applyFill="1" applyBorder="1" applyAlignment="1">
      <alignment horizontal="right" vertical="center" wrapText="1"/>
    </xf>
    <xf numFmtId="0" fontId="21" fillId="0" borderId="0" xfId="0" applyFont="1"/>
    <xf numFmtId="164" fontId="20" fillId="5" borderId="2" xfId="1" applyFont="1" applyFill="1" applyBorder="1"/>
    <xf numFmtId="10" fontId="20" fillId="5" borderId="2" xfId="0" applyNumberFormat="1" applyFont="1" applyFill="1" applyBorder="1"/>
    <xf numFmtId="10" fontId="20" fillId="5" borderId="2" xfId="0" applyNumberFormat="1" applyFont="1" applyFill="1" applyBorder="1" applyAlignment="1">
      <alignment horizontal="right" vertical="center"/>
    </xf>
    <xf numFmtId="173" fontId="20" fillId="5" borderId="2" xfId="0" applyNumberFormat="1" applyFont="1" applyFill="1" applyBorder="1" applyAlignment="1">
      <alignment horizontal="right" vertical="center"/>
    </xf>
    <xf numFmtId="49" fontId="19" fillId="2" borderId="2" xfId="0" applyNumberFormat="1" applyFont="1" applyFill="1" applyBorder="1" applyAlignment="1">
      <alignment horizontal="right"/>
    </xf>
    <xf numFmtId="10" fontId="19" fillId="2" borderId="2" xfId="0" applyNumberFormat="1" applyFont="1" applyFill="1" applyBorder="1"/>
    <xf numFmtId="10" fontId="19" fillId="2" borderId="2" xfId="0" applyNumberFormat="1" applyFont="1" applyFill="1" applyBorder="1" applyAlignment="1">
      <alignment horizontal="right" vertical="center"/>
    </xf>
    <xf numFmtId="173" fontId="19" fillId="2" borderId="2" xfId="0" applyNumberFormat="1" applyFont="1" applyFill="1" applyBorder="1" applyAlignment="1">
      <alignment horizontal="right" vertical="center"/>
    </xf>
    <xf numFmtId="172" fontId="8" fillId="2" borderId="2" xfId="1" applyNumberFormat="1" applyFont="1" applyFill="1" applyBorder="1" applyAlignment="1">
      <alignment horizontal="right"/>
    </xf>
    <xf numFmtId="164" fontId="20" fillId="2" borderId="2" xfId="1" applyFont="1" applyFill="1" applyBorder="1"/>
    <xf numFmtId="164" fontId="17" fillId="8" borderId="0" xfId="1" applyFont="1" applyFill="1"/>
    <xf numFmtId="0" fontId="22" fillId="8" borderId="0" xfId="0" applyFont="1" applyFill="1"/>
    <xf numFmtId="164" fontId="22" fillId="8" borderId="0" xfId="1" applyFont="1" applyFill="1"/>
    <xf numFmtId="0" fontId="23" fillId="2" borderId="0" xfId="0" applyFont="1" applyFill="1"/>
    <xf numFmtId="0" fontId="24" fillId="2" borderId="0" xfId="0" applyFont="1" applyFill="1"/>
    <xf numFmtId="164" fontId="13" fillId="2" borderId="0" xfId="1" applyFont="1" applyFill="1" applyBorder="1" applyAlignment="1"/>
    <xf numFmtId="0" fontId="25" fillId="9" borderId="0" xfId="0" applyFont="1" applyFill="1" applyAlignment="1">
      <alignment horizontal="right" vertical="center"/>
    </xf>
    <xf numFmtId="0" fontId="26" fillId="9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173" fontId="27" fillId="2" borderId="0" xfId="0" applyNumberFormat="1" applyFont="1" applyFill="1"/>
    <xf numFmtId="175" fontId="27" fillId="2" borderId="0" xfId="0" applyNumberFormat="1" applyFont="1" applyFill="1"/>
    <xf numFmtId="164" fontId="14" fillId="0" borderId="0" xfId="1" applyFont="1"/>
    <xf numFmtId="4" fontId="14" fillId="0" borderId="0" xfId="0" applyNumberFormat="1" applyFont="1"/>
    <xf numFmtId="174" fontId="8" fillId="2" borderId="2" xfId="0" applyNumberFormat="1" applyFont="1" applyFill="1" applyBorder="1" applyAlignment="1">
      <alignment horizontal="center" wrapText="1"/>
    </xf>
    <xf numFmtId="49" fontId="38" fillId="2" borderId="2" xfId="0" applyNumberFormat="1" applyFont="1" applyFill="1" applyBorder="1" applyAlignment="1">
      <alignment wrapText="1"/>
    </xf>
    <xf numFmtId="49" fontId="39" fillId="2" borderId="2" xfId="0" applyNumberFormat="1" applyFont="1" applyFill="1" applyBorder="1" applyAlignment="1">
      <alignment wrapText="1"/>
    </xf>
    <xf numFmtId="0" fontId="38" fillId="2" borderId="2" xfId="0" applyFont="1" applyFill="1" applyBorder="1" applyAlignment="1">
      <alignment wrapText="1"/>
    </xf>
    <xf numFmtId="0" fontId="38" fillId="2" borderId="9" xfId="0" applyFont="1" applyFill="1" applyBorder="1" applyAlignment="1">
      <alignment wrapText="1"/>
    </xf>
    <xf numFmtId="4" fontId="1" fillId="0" borderId="0" xfId="0" applyNumberFormat="1" applyFont="1"/>
    <xf numFmtId="4" fontId="40" fillId="0" borderId="0" xfId="0" applyNumberFormat="1" applyFont="1"/>
    <xf numFmtId="174" fontId="8" fillId="2" borderId="2" xfId="0" applyNumberFormat="1" applyFont="1" applyFill="1" applyBorder="1" applyAlignment="1">
      <alignment horizontal="center" wrapText="1"/>
    </xf>
    <xf numFmtId="164" fontId="38" fillId="2" borderId="2" xfId="1" applyFont="1" applyFill="1" applyBorder="1" applyAlignment="1">
      <alignment horizontal="left"/>
    </xf>
    <xf numFmtId="164" fontId="38" fillId="0" borderId="2" xfId="1" applyFont="1" applyBorder="1"/>
    <xf numFmtId="164" fontId="38" fillId="7" borderId="2" xfId="1" applyFont="1" applyFill="1" applyBorder="1"/>
    <xf numFmtId="164" fontId="38" fillId="7" borderId="2" xfId="1" applyNumberFormat="1" applyFont="1" applyFill="1" applyBorder="1"/>
    <xf numFmtId="164" fontId="38" fillId="2" borderId="2" xfId="1" applyFont="1" applyFill="1" applyBorder="1"/>
    <xf numFmtId="164" fontId="38" fillId="2" borderId="2" xfId="1" applyNumberFormat="1" applyFont="1" applyFill="1" applyBorder="1"/>
    <xf numFmtId="164" fontId="38" fillId="2" borderId="2" xfId="1" applyFont="1" applyFill="1" applyBorder="1" applyAlignment="1">
      <alignment horizontal="center" vertical="top" wrapText="1"/>
    </xf>
    <xf numFmtId="164" fontId="38" fillId="2" borderId="2" xfId="1" applyNumberFormat="1" applyFont="1" applyFill="1" applyBorder="1" applyAlignment="1">
      <alignment horizontal="center" vertical="top" wrapText="1"/>
    </xf>
    <xf numFmtId="164" fontId="38" fillId="0" borderId="2" xfId="1" applyNumberFormat="1" applyFont="1" applyBorder="1"/>
    <xf numFmtId="2" fontId="38" fillId="2" borderId="2" xfId="414" applyNumberFormat="1" applyFont="1" applyFill="1" applyBorder="1" applyAlignment="1">
      <alignment wrapText="1"/>
    </xf>
    <xf numFmtId="164" fontId="38" fillId="0" borderId="2" xfId="1" applyFont="1" applyFill="1" applyBorder="1" applyAlignment="1" applyProtection="1"/>
    <xf numFmtId="164" fontId="38" fillId="0" borderId="2" xfId="1" applyNumberFormat="1" applyFont="1" applyFill="1" applyBorder="1" applyAlignment="1" applyProtection="1"/>
    <xf numFmtId="164" fontId="38" fillId="2" borderId="2" xfId="1" applyFont="1" applyFill="1" applyBorder="1" applyAlignment="1">
      <alignment horizontal="center" wrapText="1"/>
    </xf>
    <xf numFmtId="174" fontId="18" fillId="2" borderId="2" xfId="0" applyNumberFormat="1" applyFont="1" applyFill="1" applyBorder="1" applyAlignment="1">
      <alignment horizontal="center" wrapText="1"/>
    </xf>
    <xf numFmtId="49" fontId="18" fillId="2" borderId="2" xfId="0" applyNumberFormat="1" applyFont="1" applyFill="1" applyBorder="1" applyAlignment="1">
      <alignment wrapText="1"/>
    </xf>
    <xf numFmtId="174" fontId="38" fillId="2" borderId="2" xfId="0" applyNumberFormat="1" applyFont="1" applyFill="1" applyBorder="1" applyAlignment="1">
      <alignment horizontal="center" wrapText="1"/>
    </xf>
    <xf numFmtId="174" fontId="38" fillId="2" borderId="2" xfId="0" applyNumberFormat="1" applyFont="1" applyFill="1" applyBorder="1" applyAlignment="1">
      <alignment horizontal="right" wrapText="1"/>
    </xf>
    <xf numFmtId="4" fontId="38" fillId="2" borderId="2" xfId="0" applyNumberFormat="1" applyFont="1" applyFill="1" applyBorder="1" applyAlignment="1">
      <alignment wrapText="1"/>
    </xf>
    <xf numFmtId="0" fontId="42" fillId="0" borderId="0" xfId="0" applyFont="1"/>
    <xf numFmtId="0" fontId="43" fillId="0" borderId="0" xfId="0" applyFont="1"/>
    <xf numFmtId="0" fontId="44" fillId="2" borderId="0" xfId="0" applyFont="1" applyFill="1" applyAlignment="1">
      <alignment horizontal="right"/>
    </xf>
    <xf numFmtId="0" fontId="44" fillId="2" borderId="0" xfId="0" applyFont="1" applyFill="1" applyAlignment="1">
      <alignment horizontal="right" wrapText="1"/>
    </xf>
    <xf numFmtId="0" fontId="44" fillId="0" borderId="0" xfId="0" applyFont="1" applyAlignment="1">
      <alignment horizontal="right"/>
    </xf>
    <xf numFmtId="16" fontId="44" fillId="2" borderId="0" xfId="0" applyNumberFormat="1" applyFont="1" applyFill="1"/>
    <xf numFmtId="164" fontId="43" fillId="0" borderId="0" xfId="1" applyFont="1" applyBorder="1"/>
    <xf numFmtId="4" fontId="43" fillId="2" borderId="0" xfId="0" applyNumberFormat="1" applyFont="1" applyFill="1"/>
    <xf numFmtId="0" fontId="45" fillId="0" borderId="0" xfId="0" applyFont="1" applyAlignment="1">
      <alignment horizontal="right"/>
    </xf>
    <xf numFmtId="4" fontId="46" fillId="2" borderId="0" xfId="0" applyNumberFormat="1" applyFont="1" applyFill="1" applyAlignment="1">
      <alignment horizontal="right"/>
    </xf>
    <xf numFmtId="0" fontId="47" fillId="0" borderId="0" xfId="0" applyFont="1" applyAlignment="1">
      <alignment horizontal="right"/>
    </xf>
    <xf numFmtId="4" fontId="46" fillId="2" borderId="0" xfId="0" applyNumberFormat="1" applyFont="1" applyFill="1"/>
    <xf numFmtId="164" fontId="46" fillId="2" borderId="0" xfId="1" applyFont="1" applyFill="1" applyBorder="1" applyAlignment="1">
      <alignment horizontal="right" vertical="top" wrapText="1"/>
    </xf>
    <xf numFmtId="43" fontId="42" fillId="0" borderId="0" xfId="201" applyFont="1" applyBorder="1"/>
    <xf numFmtId="4" fontId="48" fillId="2" borderId="0" xfId="0" applyNumberFormat="1" applyFont="1" applyFill="1"/>
    <xf numFmtId="4" fontId="48" fillId="2" borderId="0" xfId="0" applyNumberFormat="1" applyFont="1" applyFill="1" applyAlignment="1">
      <alignment horizontal="right"/>
    </xf>
    <xf numFmtId="173" fontId="38" fillId="2" borderId="0" xfId="0" applyNumberFormat="1" applyFont="1" applyFill="1"/>
    <xf numFmtId="0" fontId="46" fillId="0" borderId="0" xfId="0" applyFont="1" applyAlignment="1">
      <alignment horizontal="right"/>
    </xf>
    <xf numFmtId="0" fontId="41" fillId="0" borderId="0" xfId="0" applyFont="1"/>
    <xf numFmtId="16" fontId="50" fillId="2" borderId="0" xfId="0" quotePrefix="1" applyNumberFormat="1" applyFont="1" applyFill="1" applyAlignment="1">
      <alignment horizontal="right" wrapText="1"/>
    </xf>
    <xf numFmtId="0" fontId="50" fillId="0" borderId="2" xfId="0" applyFont="1" applyBorder="1" applyAlignment="1">
      <alignment horizontal="right"/>
    </xf>
    <xf numFmtId="16" fontId="50" fillId="2" borderId="2" xfId="0" quotePrefix="1" applyNumberFormat="1" applyFont="1" applyFill="1" applyBorder="1" applyAlignment="1">
      <alignment horizontal="right"/>
    </xf>
    <xf numFmtId="164" fontId="49" fillId="2" borderId="2" xfId="1" applyFont="1" applyFill="1" applyBorder="1" applyAlignment="1">
      <alignment horizontal="right" vertical="top" wrapText="1"/>
    </xf>
    <xf numFmtId="164" fontId="49" fillId="2" borderId="2" xfId="1" applyFont="1" applyFill="1" applyBorder="1"/>
    <xf numFmtId="4" fontId="49" fillId="2" borderId="2" xfId="0" applyNumberFormat="1" applyFont="1" applyFill="1" applyBorder="1"/>
    <xf numFmtId="4" fontId="49" fillId="2" borderId="2" xfId="0" applyNumberFormat="1" applyFont="1" applyFill="1" applyBorder="1" applyAlignment="1">
      <alignment horizontal="right"/>
    </xf>
    <xf numFmtId="0" fontId="51" fillId="0" borderId="0" xfId="0" applyFont="1" applyAlignment="1">
      <alignment horizontal="right"/>
    </xf>
    <xf numFmtId="164" fontId="52" fillId="2" borderId="0" xfId="1" applyFont="1" applyFill="1" applyBorder="1"/>
    <xf numFmtId="43" fontId="41" fillId="0" borderId="0" xfId="201" applyFont="1" applyBorder="1"/>
    <xf numFmtId="4" fontId="52" fillId="2" borderId="0" xfId="0" applyNumberFormat="1" applyFont="1" applyFill="1"/>
    <xf numFmtId="4" fontId="52" fillId="2" borderId="0" xfId="0" applyNumberFormat="1" applyFont="1" applyFill="1" applyAlignment="1">
      <alignment horizontal="right"/>
    </xf>
    <xf numFmtId="172" fontId="38" fillId="2" borderId="2" xfId="1" applyNumberFormat="1" applyFont="1" applyFill="1" applyBorder="1" applyAlignment="1">
      <alignment horizontal="center" wrapText="1"/>
    </xf>
    <xf numFmtId="172" fontId="8" fillId="2" borderId="2" xfId="1" applyNumberFormat="1" applyFont="1" applyFill="1" applyBorder="1" applyAlignment="1">
      <alignment horizontal="right" wrapText="1"/>
    </xf>
    <xf numFmtId="164" fontId="8" fillId="2" borderId="7" xfId="1" applyFont="1" applyFill="1" applyBorder="1"/>
    <xf numFmtId="172" fontId="38" fillId="2" borderId="2" xfId="1" applyNumberFormat="1" applyFont="1" applyFill="1" applyBorder="1" applyAlignment="1">
      <alignment horizontal="right"/>
    </xf>
    <xf numFmtId="4" fontId="38" fillId="2" borderId="9" xfId="0" applyNumberFormat="1" applyFont="1" applyFill="1" applyBorder="1" applyAlignment="1">
      <alignment wrapText="1"/>
    </xf>
    <xf numFmtId="174" fontId="8" fillId="2" borderId="2" xfId="0" applyNumberFormat="1" applyFont="1" applyFill="1" applyBorder="1" applyAlignment="1">
      <alignment horizontal="center" wrapText="1"/>
    </xf>
    <xf numFmtId="49" fontId="16" fillId="4" borderId="3" xfId="0" applyNumberFormat="1" applyFont="1" applyFill="1" applyBorder="1" applyAlignment="1">
      <alignment horizontal="center"/>
    </xf>
    <xf numFmtId="49" fontId="16" fillId="4" borderId="4" xfId="0" applyNumberFormat="1" applyFont="1" applyFill="1" applyBorder="1" applyAlignment="1">
      <alignment horizontal="center"/>
    </xf>
    <xf numFmtId="49" fontId="16" fillId="4" borderId="5" xfId="0" applyNumberFormat="1" applyFont="1" applyFill="1" applyBorder="1" applyAlignment="1">
      <alignment horizontal="center"/>
    </xf>
    <xf numFmtId="49" fontId="17" fillId="2" borderId="2" xfId="0" applyNumberFormat="1" applyFont="1" applyFill="1" applyBorder="1" applyAlignment="1">
      <alignment horizontal="center" vertical="top" wrapText="1"/>
    </xf>
    <xf numFmtId="164" fontId="19" fillId="2" borderId="2" xfId="1" applyFont="1" applyFill="1" applyBorder="1" applyAlignment="1">
      <alignment horizontal="right"/>
    </xf>
    <xf numFmtId="174" fontId="19" fillId="2" borderId="2" xfId="0" applyNumberFormat="1" applyFont="1" applyFill="1" applyBorder="1" applyAlignment="1">
      <alignment horizontal="center"/>
    </xf>
    <xf numFmtId="49" fontId="19" fillId="2" borderId="2" xfId="0" applyNumberFormat="1" applyFont="1" applyFill="1" applyBorder="1" applyAlignment="1">
      <alignment horizontal="center" wrapText="1"/>
    </xf>
    <xf numFmtId="49" fontId="17" fillId="2" borderId="3" xfId="0" applyNumberFormat="1" applyFont="1" applyFill="1" applyBorder="1" applyAlignment="1">
      <alignment horizontal="center" vertical="top" wrapText="1"/>
    </xf>
    <xf numFmtId="49" fontId="17" fillId="2" borderId="4" xfId="0" applyNumberFormat="1" applyFont="1" applyFill="1" applyBorder="1" applyAlignment="1">
      <alignment horizontal="center" vertical="top" wrapText="1"/>
    </xf>
    <xf numFmtId="49" fontId="17" fillId="2" borderId="5" xfId="0" applyNumberFormat="1" applyFont="1" applyFill="1" applyBorder="1" applyAlignment="1">
      <alignment horizontal="center" vertical="top" wrapText="1"/>
    </xf>
    <xf numFmtId="173" fontId="20" fillId="2" borderId="2" xfId="0" applyNumberFormat="1" applyFont="1" applyFill="1" applyBorder="1" applyAlignment="1">
      <alignment horizontal="center" wrapText="1"/>
    </xf>
    <xf numFmtId="174" fontId="8" fillId="2" borderId="2" xfId="0" applyNumberFormat="1" applyFont="1" applyFill="1" applyBorder="1" applyAlignment="1">
      <alignment horizontal="center" wrapText="1"/>
    </xf>
    <xf numFmtId="173" fontId="20" fillId="2" borderId="3" xfId="0" applyNumberFormat="1" applyFont="1" applyFill="1" applyBorder="1" applyAlignment="1">
      <alignment horizontal="center" wrapText="1"/>
    </xf>
    <xf numFmtId="173" fontId="20" fillId="2" borderId="4" xfId="0" applyNumberFormat="1" applyFont="1" applyFill="1" applyBorder="1" applyAlignment="1">
      <alignment horizontal="center" wrapText="1"/>
    </xf>
    <xf numFmtId="173" fontId="20" fillId="2" borderId="5" xfId="0" applyNumberFormat="1" applyFont="1" applyFill="1" applyBorder="1" applyAlignment="1">
      <alignment horizontal="center" wrapText="1"/>
    </xf>
    <xf numFmtId="174" fontId="19" fillId="2" borderId="2" xfId="0" applyNumberFormat="1" applyFont="1" applyFill="1" applyBorder="1" applyAlignment="1">
      <alignment horizontal="center" wrapText="1"/>
    </xf>
    <xf numFmtId="0" fontId="20" fillId="2" borderId="2" xfId="0" applyFont="1" applyFill="1" applyBorder="1" applyAlignment="1">
      <alignment horizontal="center" wrapText="1"/>
    </xf>
    <xf numFmtId="2" fontId="20" fillId="2" borderId="2" xfId="0" applyNumberFormat="1" applyFont="1" applyFill="1" applyBorder="1" applyAlignment="1">
      <alignment horizontal="center" wrapText="1"/>
    </xf>
    <xf numFmtId="164" fontId="17" fillId="8" borderId="2" xfId="1" applyFont="1" applyFill="1" applyBorder="1" applyAlignment="1">
      <alignment horizontal="right"/>
    </xf>
    <xf numFmtId="0" fontId="20" fillId="2" borderId="6" xfId="0" applyFont="1" applyFill="1" applyBorder="1" applyAlignment="1">
      <alignment horizontal="center" wrapText="1"/>
    </xf>
    <xf numFmtId="49" fontId="20" fillId="5" borderId="2" xfId="0" applyNumberFormat="1" applyFont="1" applyFill="1" applyBorder="1" applyAlignment="1">
      <alignment horizontal="right"/>
    </xf>
    <xf numFmtId="49" fontId="17" fillId="2" borderId="2" xfId="0" applyNumberFormat="1" applyFont="1" applyFill="1" applyBorder="1" applyAlignment="1">
      <alignment horizontal="center"/>
    </xf>
    <xf numFmtId="0" fontId="11" fillId="2" borderId="0" xfId="0" applyFont="1" applyFill="1" applyAlignment="1">
      <alignment horizontal="center" wrapText="1"/>
    </xf>
    <xf numFmtId="4" fontId="9" fillId="2" borderId="0" xfId="0" applyNumberFormat="1" applyFont="1" applyFill="1" applyAlignment="1">
      <alignment horizontal="right"/>
    </xf>
    <xf numFmtId="2" fontId="7" fillId="0" borderId="0" xfId="0" applyNumberFormat="1" applyFont="1"/>
    <xf numFmtId="0" fontId="7" fillId="0" borderId="0" xfId="0" applyFont="1"/>
  </cellXfs>
  <cellStyles count="465">
    <cellStyle name="20% - Accent1 2" xfId="3"/>
    <cellStyle name="20% - Accent1 2 2" xfId="4"/>
    <cellStyle name="20% - Accent1 2 3" xfId="5"/>
    <cellStyle name="20% - Accent1 3" xfId="6"/>
    <cellStyle name="20% - Accent1 3 2" xfId="7"/>
    <cellStyle name="20% - Accent1 3 3" xfId="8"/>
    <cellStyle name="20% - Accent1 4" xfId="9"/>
    <cellStyle name="20% - Accent1 4 2" xfId="10"/>
    <cellStyle name="20% - Accent1 5" xfId="11"/>
    <cellStyle name="20% - Accent1 6" xfId="12"/>
    <cellStyle name="20% - Accent2 2" xfId="13"/>
    <cellStyle name="20% - Accent2 2 2" xfId="14"/>
    <cellStyle name="20% - Accent2 2 3" xfId="15"/>
    <cellStyle name="20% - Accent2 3" xfId="16"/>
    <cellStyle name="20% - Accent2 3 2" xfId="17"/>
    <cellStyle name="20% - Accent2 3 3" xfId="18"/>
    <cellStyle name="20% - Accent2 4" xfId="19"/>
    <cellStyle name="20% - Accent2 4 2" xfId="20"/>
    <cellStyle name="20% - Accent2 5" xfId="21"/>
    <cellStyle name="20% - Accent2 6" xfId="22"/>
    <cellStyle name="20% - Accent3 2" xfId="23"/>
    <cellStyle name="20% - Accent3 2 2" xfId="24"/>
    <cellStyle name="20% - Accent3 2 3" xfId="25"/>
    <cellStyle name="20% - Accent3 3" xfId="26"/>
    <cellStyle name="20% - Accent3 3 2" xfId="27"/>
    <cellStyle name="20% - Accent3 3 3" xfId="28"/>
    <cellStyle name="20% - Accent3 4" xfId="29"/>
    <cellStyle name="20% - Accent3 4 2" xfId="30"/>
    <cellStyle name="20% - Accent3 5" xfId="31"/>
    <cellStyle name="20% - Accent3 6" xfId="32"/>
    <cellStyle name="20% - Accent4 2" xfId="33"/>
    <cellStyle name="20% - Accent4 2 2" xfId="34"/>
    <cellStyle name="20% - Accent4 2 3" xfId="35"/>
    <cellStyle name="20% - Accent4 3" xfId="36"/>
    <cellStyle name="20% - Accent4 3 2" xfId="37"/>
    <cellStyle name="20% - Accent4 3 3" xfId="38"/>
    <cellStyle name="20% - Accent4 4" xfId="39"/>
    <cellStyle name="20% - Accent4 4 2" xfId="40"/>
    <cellStyle name="20% - Accent4 5" xfId="41"/>
    <cellStyle name="20% - Accent4 6" xfId="42"/>
    <cellStyle name="20% - Accent5 2" xfId="43"/>
    <cellStyle name="20% - Accent5 2 2" xfId="44"/>
    <cellStyle name="20% - Accent5 2 3" xfId="45"/>
    <cellStyle name="20% - Accent5 3" xfId="46"/>
    <cellStyle name="20% - Accent5 3 2" xfId="47"/>
    <cellStyle name="20% - Accent5 3 3" xfId="48"/>
    <cellStyle name="20% - Accent5 4" xfId="49"/>
    <cellStyle name="20% - Accent5 4 2" xfId="50"/>
    <cellStyle name="20% - Accent5 5" xfId="51"/>
    <cellStyle name="20% - Accent5 6" xfId="52"/>
    <cellStyle name="20% - Accent6 2" xfId="53"/>
    <cellStyle name="20% - Accent6 2 2" xfId="54"/>
    <cellStyle name="20% - Accent6 2 3" xfId="55"/>
    <cellStyle name="20% - Accent6 3" xfId="56"/>
    <cellStyle name="20% - Accent6 3 2" xfId="57"/>
    <cellStyle name="20% - Accent6 3 3" xfId="58"/>
    <cellStyle name="20% - Accent6 4" xfId="59"/>
    <cellStyle name="20% - Accent6 4 2" xfId="60"/>
    <cellStyle name="20% - Accent6 5" xfId="61"/>
    <cellStyle name="20% - Accent6 6" xfId="62"/>
    <cellStyle name="40% - Accent1 2" xfId="63"/>
    <cellStyle name="40% - Accent1 2 2" xfId="64"/>
    <cellStyle name="40% - Accent1 2 3" xfId="65"/>
    <cellStyle name="40% - Accent1 3" xfId="66"/>
    <cellStyle name="40% - Accent1 3 2" xfId="67"/>
    <cellStyle name="40% - Accent1 3 3" xfId="68"/>
    <cellStyle name="40% - Accent1 4" xfId="69"/>
    <cellStyle name="40% - Accent1 4 2" xfId="70"/>
    <cellStyle name="40% - Accent1 5" xfId="71"/>
    <cellStyle name="40% - Accent1 6" xfId="72"/>
    <cellStyle name="40% - Accent2 2" xfId="73"/>
    <cellStyle name="40% - Accent2 2 2" xfId="74"/>
    <cellStyle name="40% - Accent2 2 3" xfId="75"/>
    <cellStyle name="40% - Accent2 3" xfId="76"/>
    <cellStyle name="40% - Accent2 3 2" xfId="77"/>
    <cellStyle name="40% - Accent2 3 3" xfId="78"/>
    <cellStyle name="40% - Accent2 4" xfId="79"/>
    <cellStyle name="40% - Accent2 4 2" xfId="80"/>
    <cellStyle name="40% - Accent2 5" xfId="81"/>
    <cellStyle name="40% - Accent2 6" xfId="82"/>
    <cellStyle name="40% - Accent3 2" xfId="83"/>
    <cellStyle name="40% - Accent3 2 2" xfId="84"/>
    <cellStyle name="40% - Accent3 2 3" xfId="85"/>
    <cellStyle name="40% - Accent3 3" xfId="86"/>
    <cellStyle name="40% - Accent3 3 2" xfId="87"/>
    <cellStyle name="40% - Accent3 3 3" xfId="88"/>
    <cellStyle name="40% - Accent3 4" xfId="89"/>
    <cellStyle name="40% - Accent3 4 2" xfId="90"/>
    <cellStyle name="40% - Accent3 5" xfId="91"/>
    <cellStyle name="40% - Accent3 6" xfId="92"/>
    <cellStyle name="40% - Accent4 2" xfId="93"/>
    <cellStyle name="40% - Accent4 2 2" xfId="94"/>
    <cellStyle name="40% - Accent4 2 3" xfId="95"/>
    <cellStyle name="40% - Accent4 3" xfId="96"/>
    <cellStyle name="40% - Accent4 3 2" xfId="97"/>
    <cellStyle name="40% - Accent4 3 3" xfId="98"/>
    <cellStyle name="40% - Accent4 4" xfId="99"/>
    <cellStyle name="40% - Accent4 4 2" xfId="100"/>
    <cellStyle name="40% - Accent4 5" xfId="101"/>
    <cellStyle name="40% - Accent4 6" xfId="102"/>
    <cellStyle name="40% - Accent5 2" xfId="103"/>
    <cellStyle name="40% - Accent5 2 2" xfId="104"/>
    <cellStyle name="40% - Accent5 2 3" xfId="105"/>
    <cellStyle name="40% - Accent5 3" xfId="106"/>
    <cellStyle name="40% - Accent5 3 2" xfId="107"/>
    <cellStyle name="40% - Accent5 3 3" xfId="108"/>
    <cellStyle name="40% - Accent5 4" xfId="109"/>
    <cellStyle name="40% - Accent5 4 2" xfId="110"/>
    <cellStyle name="40% - Accent5 5" xfId="111"/>
    <cellStyle name="40% - Accent5 6" xfId="112"/>
    <cellStyle name="40% - Accent6 2" xfId="113"/>
    <cellStyle name="40% - Accent6 2 2" xfId="114"/>
    <cellStyle name="40% - Accent6 2 3" xfId="115"/>
    <cellStyle name="40% - Accent6 3" xfId="116"/>
    <cellStyle name="40% - Accent6 3 2" xfId="117"/>
    <cellStyle name="40% - Accent6 3 3" xfId="118"/>
    <cellStyle name="40% - Accent6 4" xfId="119"/>
    <cellStyle name="40% - Accent6 4 2" xfId="120"/>
    <cellStyle name="40% - Accent6 5" xfId="121"/>
    <cellStyle name="40% - Accent6 6" xfId="122"/>
    <cellStyle name="60% - Accent1 2" xfId="123"/>
    <cellStyle name="60% - Accent1 2 2" xfId="124"/>
    <cellStyle name="60% - Accent1 2 3" xfId="125"/>
    <cellStyle name="60% - Accent1 3" xfId="126"/>
    <cellStyle name="60% - Accent1 3 2" xfId="127"/>
    <cellStyle name="60% - Accent1 3 3" xfId="128"/>
    <cellStyle name="60% - Accent1 4" xfId="129"/>
    <cellStyle name="60% - Accent1 4 2" xfId="130"/>
    <cellStyle name="60% - Accent1 5" xfId="131"/>
    <cellStyle name="60% - Accent1 6" xfId="132"/>
    <cellStyle name="60% - Accent2 2" xfId="133"/>
    <cellStyle name="60% - Accent2 2 2" xfId="134"/>
    <cellStyle name="60% - Accent2 2 3" xfId="135"/>
    <cellStyle name="60% - Accent2 3" xfId="136"/>
    <cellStyle name="60% - Accent2 3 2" xfId="137"/>
    <cellStyle name="60% - Accent2 3 3" xfId="138"/>
    <cellStyle name="60% - Accent2 4" xfId="139"/>
    <cellStyle name="60% - Accent2 4 2" xfId="140"/>
    <cellStyle name="60% - Accent2 5" xfId="141"/>
    <cellStyle name="60% - Accent2 6" xfId="142"/>
    <cellStyle name="60% - Accent3 2" xfId="143"/>
    <cellStyle name="60% - Accent3 2 2" xfId="144"/>
    <cellStyle name="60% - Accent3 2 3" xfId="145"/>
    <cellStyle name="60% - Accent3 3" xfId="146"/>
    <cellStyle name="60% - Accent3 3 2" xfId="147"/>
    <cellStyle name="60% - Accent3 3 3" xfId="148"/>
    <cellStyle name="60% - Accent3 4" xfId="149"/>
    <cellStyle name="60% - Accent3 4 2" xfId="150"/>
    <cellStyle name="60% - Accent3 5" xfId="151"/>
    <cellStyle name="60% - Accent3 6" xfId="152"/>
    <cellStyle name="60% - Accent4 2" xfId="153"/>
    <cellStyle name="60% - Accent4 2 2" xfId="154"/>
    <cellStyle name="60% - Accent4 2 3" xfId="155"/>
    <cellStyle name="60% - Accent4 3" xfId="156"/>
    <cellStyle name="60% - Accent4 3 2" xfId="157"/>
    <cellStyle name="60% - Accent4 3 3" xfId="158"/>
    <cellStyle name="60% - Accent4 4" xfId="159"/>
    <cellStyle name="60% - Accent4 4 2" xfId="160"/>
    <cellStyle name="60% - Accent4 5" xfId="161"/>
    <cellStyle name="60% - Accent4 6" xfId="162"/>
    <cellStyle name="60% - Accent5 2" xfId="163"/>
    <cellStyle name="60% - Accent5 2 2" xfId="164"/>
    <cellStyle name="60% - Accent5 2 3" xfId="165"/>
    <cellStyle name="60% - Accent5 3" xfId="166"/>
    <cellStyle name="60% - Accent5 3 2" xfId="167"/>
    <cellStyle name="60% - Accent5 3 3" xfId="168"/>
    <cellStyle name="60% - Accent5 4" xfId="169"/>
    <cellStyle name="60% - Accent5 4 2" xfId="170"/>
    <cellStyle name="60% - Accent5 5" xfId="171"/>
    <cellStyle name="60% - Accent5 6" xfId="172"/>
    <cellStyle name="60% - Accent6 2" xfId="173"/>
    <cellStyle name="60% - Accent6 2 2" xfId="174"/>
    <cellStyle name="60% - Accent6 2 3" xfId="175"/>
    <cellStyle name="60% - Accent6 3" xfId="176"/>
    <cellStyle name="60% - Accent6 3 2" xfId="177"/>
    <cellStyle name="60% - Accent6 3 3" xfId="178"/>
    <cellStyle name="60% - Accent6 4" xfId="179"/>
    <cellStyle name="60% - Accent6 4 2" xfId="180"/>
    <cellStyle name="60% - Accent6 5" xfId="181"/>
    <cellStyle name="60% - Accent6 6" xfId="182"/>
    <cellStyle name="Comma" xfId="1" builtinId="3"/>
    <cellStyle name="Comma 10" xfId="183"/>
    <cellStyle name="Comma 10 13" xfId="184"/>
    <cellStyle name="Comma 11" xfId="185"/>
    <cellStyle name="Comma 12" xfId="186"/>
    <cellStyle name="Comma 12 2" xfId="187"/>
    <cellStyle name="Comma 12 3" xfId="188"/>
    <cellStyle name="Comma 13" xfId="189"/>
    <cellStyle name="Comma 13 2" xfId="190"/>
    <cellStyle name="Comma 13 3" xfId="191"/>
    <cellStyle name="Comma 14" xfId="192"/>
    <cellStyle name="Comma 15" xfId="193"/>
    <cellStyle name="Comma 15 2" xfId="194"/>
    <cellStyle name="Comma 15 3" xfId="195"/>
    <cellStyle name="Comma 16" xfId="196"/>
    <cellStyle name="Comma 16 2" xfId="197"/>
    <cellStyle name="Comma 16 3" xfId="198"/>
    <cellStyle name="Comma 17" xfId="199"/>
    <cellStyle name="Comma 18" xfId="200"/>
    <cellStyle name="Comma 2" xfId="201"/>
    <cellStyle name="Comma 2 10" xfId="202"/>
    <cellStyle name="Comma 2 10 2" xfId="203"/>
    <cellStyle name="Comma 2 11" xfId="204"/>
    <cellStyle name="Comma 2 11 2" xfId="205"/>
    <cellStyle name="Comma 2 12" xfId="206"/>
    <cellStyle name="Comma 2 13" xfId="207"/>
    <cellStyle name="Comma 2 2" xfId="208"/>
    <cellStyle name="Comma 2 2 2" xfId="209"/>
    <cellStyle name="Comma 2 2 2 2" xfId="210"/>
    <cellStyle name="Comma 2 2 2 2 2" xfId="211"/>
    <cellStyle name="Comma 2 2 2 2 3" xfId="212"/>
    <cellStyle name="Comma 2 2 2 3" xfId="213"/>
    <cellStyle name="Comma 2 3" xfId="214"/>
    <cellStyle name="Comma 2 3 2" xfId="215"/>
    <cellStyle name="Comma 2 4" xfId="216"/>
    <cellStyle name="Comma 2 4 2" xfId="217"/>
    <cellStyle name="Comma 2 5" xfId="218"/>
    <cellStyle name="Comma 2 5 2" xfId="219"/>
    <cellStyle name="Comma 2 6" xfId="220"/>
    <cellStyle name="Comma 2 6 2" xfId="221"/>
    <cellStyle name="Comma 2 7" xfId="222"/>
    <cellStyle name="Comma 2 7 2" xfId="223"/>
    <cellStyle name="Comma 2 8" xfId="224"/>
    <cellStyle name="Comma 2 8 2" xfId="225"/>
    <cellStyle name="Comma 2 9" xfId="226"/>
    <cellStyle name="Comma 2 9 2" xfId="227"/>
    <cellStyle name="Comma 3" xfId="228"/>
    <cellStyle name="Comma 3 2" xfId="229"/>
    <cellStyle name="Comma 3 2 2" xfId="230"/>
    <cellStyle name="Comma 3 3" xfId="231"/>
    <cellStyle name="Comma 3 4" xfId="232"/>
    <cellStyle name="Comma 3 4 3" xfId="233"/>
    <cellStyle name="Comma 3 4 4" xfId="234"/>
    <cellStyle name="Comma 4" xfId="235"/>
    <cellStyle name="Comma 4 2" xfId="236"/>
    <cellStyle name="Comma 4 3" xfId="237"/>
    <cellStyle name="Comma 5" xfId="238"/>
    <cellStyle name="Comma 6" xfId="239"/>
    <cellStyle name="Comma 7" xfId="240"/>
    <cellStyle name="Comma 8" xfId="241"/>
    <cellStyle name="Comma 8 2" xfId="242"/>
    <cellStyle name="Comma 9" xfId="243"/>
    <cellStyle name="Neutral 2" xfId="244"/>
    <cellStyle name="Normal" xfId="0" builtinId="0"/>
    <cellStyle name="Normal - Style1" xfId="245"/>
    <cellStyle name="Normal 10" xfId="246"/>
    <cellStyle name="Normal 10 2" xfId="247"/>
    <cellStyle name="Normal 10 3" xfId="248"/>
    <cellStyle name="Normal 11" xfId="249"/>
    <cellStyle name="Normal 11 2" xfId="250"/>
    <cellStyle name="Normal 11 3" xfId="251"/>
    <cellStyle name="Normal 12" xfId="252"/>
    <cellStyle name="Normal 12 2" xfId="253"/>
    <cellStyle name="Normal 12 2 2" xfId="254"/>
    <cellStyle name="Normal 12 2 3" xfId="255"/>
    <cellStyle name="Normal 12 3" xfId="256"/>
    <cellStyle name="Normal 12 4" xfId="257"/>
    <cellStyle name="Normal 13" xfId="258"/>
    <cellStyle name="Normal 13 2" xfId="259"/>
    <cellStyle name="Normal 13 3" xfId="260"/>
    <cellStyle name="Normal 14" xfId="261"/>
    <cellStyle name="Normal 14 2" xfId="262"/>
    <cellStyle name="Normal 15" xfId="263"/>
    <cellStyle name="Normal 15 2" xfId="264"/>
    <cellStyle name="Normal 15 3" xfId="265"/>
    <cellStyle name="Normal 16" xfId="266"/>
    <cellStyle name="Normal 16 2" xfId="267"/>
    <cellStyle name="Normal 16 3" xfId="268"/>
    <cellStyle name="Normal 17" xfId="269"/>
    <cellStyle name="Normal 17 2" xfId="270"/>
    <cellStyle name="Normal 17 3" xfId="271"/>
    <cellStyle name="Normal 18" xfId="272"/>
    <cellStyle name="Normal 18 2" xfId="273"/>
    <cellStyle name="Normal 18 3" xfId="274"/>
    <cellStyle name="Normal 19" xfId="275"/>
    <cellStyle name="Normal 19 2" xfId="276"/>
    <cellStyle name="Normal 19 3" xfId="277"/>
    <cellStyle name="Normal 2" xfId="278"/>
    <cellStyle name="Normal 2 2" xfId="279"/>
    <cellStyle name="Normal 2 2 2" xfId="280"/>
    <cellStyle name="Normal 2 3" xfId="281"/>
    <cellStyle name="Normal 2 4" xfId="282"/>
    <cellStyle name="Normal 2 5" xfId="283"/>
    <cellStyle name="Normal 2 6" xfId="284"/>
    <cellStyle name="Normal 20" xfId="285"/>
    <cellStyle name="Normal 20 2" xfId="286"/>
    <cellStyle name="Normal 20 3" xfId="287"/>
    <cellStyle name="Normal 21" xfId="288"/>
    <cellStyle name="Normal 21 2" xfId="289"/>
    <cellStyle name="Normal 21 3" xfId="290"/>
    <cellStyle name="Normal 22" xfId="291"/>
    <cellStyle name="Normal 22 2" xfId="292"/>
    <cellStyle name="Normal 22 3" xfId="293"/>
    <cellStyle name="Normal 23" xfId="294"/>
    <cellStyle name="Normal 23 2" xfId="295"/>
    <cellStyle name="Normal 23 3" xfId="296"/>
    <cellStyle name="Normal 24" xfId="297"/>
    <cellStyle name="Normal 24 2" xfId="298"/>
    <cellStyle name="Normal 24 3" xfId="299"/>
    <cellStyle name="Normal 25" xfId="300"/>
    <cellStyle name="Normal 25 2" xfId="301"/>
    <cellStyle name="Normal 25 3" xfId="302"/>
    <cellStyle name="Normal 26" xfId="303"/>
    <cellStyle name="Normal 26 2" xfId="304"/>
    <cellStyle name="Normal 26 3" xfId="305"/>
    <cellStyle name="Normal 27" xfId="306"/>
    <cellStyle name="Normal 27 2" xfId="307"/>
    <cellStyle name="Normal 27 2 2" xfId="308"/>
    <cellStyle name="Normal 27 3" xfId="309"/>
    <cellStyle name="Normal 28" xfId="310"/>
    <cellStyle name="Normal 28 2" xfId="311"/>
    <cellStyle name="Normal 29" xfId="312"/>
    <cellStyle name="Normal 29 2" xfId="313"/>
    <cellStyle name="Normal 3" xfId="314"/>
    <cellStyle name="Normal 3 2" xfId="315"/>
    <cellStyle name="Normal 3 2 2" xfId="316"/>
    <cellStyle name="Normal 3 2 3" xfId="317"/>
    <cellStyle name="Normal 3 3" xfId="318"/>
    <cellStyle name="Normal 3 4" xfId="319"/>
    <cellStyle name="Normal 30" xfId="320"/>
    <cellStyle name="Normal 30 2" xfId="321"/>
    <cellStyle name="Normal 31" xfId="322"/>
    <cellStyle name="Normal 31 2" xfId="323"/>
    <cellStyle name="Normal 32" xfId="324"/>
    <cellStyle name="Normal 32 2" xfId="325"/>
    <cellStyle name="Normal 33" xfId="326"/>
    <cellStyle name="Normal 33 2" xfId="327"/>
    <cellStyle name="Normal 34" xfId="328"/>
    <cellStyle name="Normal 34 2" xfId="329"/>
    <cellStyle name="Normal 35" xfId="330"/>
    <cellStyle name="Normal 35 2" xfId="331"/>
    <cellStyle name="Normal 36" xfId="332"/>
    <cellStyle name="Normal 36 2" xfId="333"/>
    <cellStyle name="Normal 37" xfId="334"/>
    <cellStyle name="Normal 37 2" xfId="335"/>
    <cellStyle name="Normal 38" xfId="336"/>
    <cellStyle name="Normal 38 2" xfId="337"/>
    <cellStyle name="Normal 39" xfId="338"/>
    <cellStyle name="Normal 39 2" xfId="339"/>
    <cellStyle name="Normal 4" xfId="340"/>
    <cellStyle name="Normal 4 2" xfId="341"/>
    <cellStyle name="Normal 40" xfId="342"/>
    <cellStyle name="Normal 40 2" xfId="343"/>
    <cellStyle name="Normal 41" xfId="344"/>
    <cellStyle name="Normal 41 2" xfId="345"/>
    <cellStyle name="Normal 42" xfId="346"/>
    <cellStyle name="Normal 42 2" xfId="347"/>
    <cellStyle name="Normal 43" xfId="348"/>
    <cellStyle name="Normal 43 2" xfId="349"/>
    <cellStyle name="Normal 44" xfId="350"/>
    <cellStyle name="Normal 44 2" xfId="351"/>
    <cellStyle name="Normal 45" xfId="352"/>
    <cellStyle name="Normal 45 2" xfId="353"/>
    <cellStyle name="Normal 46" xfId="354"/>
    <cellStyle name="Normal 46 2" xfId="355"/>
    <cellStyle name="Normal 47" xfId="356"/>
    <cellStyle name="Normal 47 2" xfId="357"/>
    <cellStyle name="Normal 48" xfId="358"/>
    <cellStyle name="Normal 48 2" xfId="359"/>
    <cellStyle name="Normal 49" xfId="360"/>
    <cellStyle name="Normal 49 2" xfId="361"/>
    <cellStyle name="Normal 5" xfId="362"/>
    <cellStyle name="Normal 50" xfId="363"/>
    <cellStyle name="Normal 50 2" xfId="364"/>
    <cellStyle name="Normal 51" xfId="365"/>
    <cellStyle name="Normal 51 2" xfId="366"/>
    <cellStyle name="Normal 52" xfId="367"/>
    <cellStyle name="Normal 52 2" xfId="368"/>
    <cellStyle name="Normal 53" xfId="369"/>
    <cellStyle name="Normal 53 2" xfId="370"/>
    <cellStyle name="Normal 54" xfId="371"/>
    <cellStyle name="Normal 54 2" xfId="372"/>
    <cellStyle name="Normal 55" xfId="373"/>
    <cellStyle name="Normal 55 2" xfId="374"/>
    <cellStyle name="Normal 56" xfId="375"/>
    <cellStyle name="Normal 56 2" xfId="376"/>
    <cellStyle name="Normal 57" xfId="377"/>
    <cellStyle name="Normal 57 2" xfId="378"/>
    <cellStyle name="Normal 58" xfId="379"/>
    <cellStyle name="Normal 58 2" xfId="380"/>
    <cellStyle name="Normal 59" xfId="381"/>
    <cellStyle name="Normal 59 2" xfId="382"/>
    <cellStyle name="Normal 6" xfId="383"/>
    <cellStyle name="Normal 6 2" xfId="384"/>
    <cellStyle name="Normal 6 3" xfId="385"/>
    <cellStyle name="Normal 60" xfId="386"/>
    <cellStyle name="Normal 60 2" xfId="387"/>
    <cellStyle name="Normal 61" xfId="388"/>
    <cellStyle name="Normal 61 2" xfId="389"/>
    <cellStyle name="Normal 62" xfId="390"/>
    <cellStyle name="Normal 62 2" xfId="391"/>
    <cellStyle name="Normal 63" xfId="392"/>
    <cellStyle name="Normal 63 2" xfId="393"/>
    <cellStyle name="Normal 64" xfId="394"/>
    <cellStyle name="Normal 64 2" xfId="395"/>
    <cellStyle name="Normal 65" xfId="396"/>
    <cellStyle name="Normal 65 2" xfId="397"/>
    <cellStyle name="Normal 66" xfId="398"/>
    <cellStyle name="Normal 66 2" xfId="399"/>
    <cellStyle name="Normal 67" xfId="400"/>
    <cellStyle name="Normal 67 2" xfId="401"/>
    <cellStyle name="Normal 68" xfId="402"/>
    <cellStyle name="Normal 68 2" xfId="403"/>
    <cellStyle name="Normal 69" xfId="404"/>
    <cellStyle name="Normal 69 2" xfId="405"/>
    <cellStyle name="Normal 7" xfId="406"/>
    <cellStyle name="Normal 7 2" xfId="407"/>
    <cellStyle name="Normal 7 3" xfId="408"/>
    <cellStyle name="Normal 70" xfId="409"/>
    <cellStyle name="Normal 71" xfId="410"/>
    <cellStyle name="Normal 72" xfId="411"/>
    <cellStyle name="Normal 73" xfId="412"/>
    <cellStyle name="Normal 74" xfId="413"/>
    <cellStyle name="Normal 75" xfId="414"/>
    <cellStyle name="Normal 8" xfId="415"/>
    <cellStyle name="Normal 8 2" xfId="416"/>
    <cellStyle name="Normal 8 3" xfId="417"/>
    <cellStyle name="Normal 9" xfId="418"/>
    <cellStyle name="Normal 9 2" xfId="419"/>
    <cellStyle name="Normal 9 3" xfId="420"/>
    <cellStyle name="Note 10" xfId="421"/>
    <cellStyle name="Note 10 2" xfId="422"/>
    <cellStyle name="Note 10 3" xfId="423"/>
    <cellStyle name="Note 11" xfId="424"/>
    <cellStyle name="Note 11 2" xfId="425"/>
    <cellStyle name="Note 11 3" xfId="426"/>
    <cellStyle name="Note 12" xfId="427"/>
    <cellStyle name="Note 12 2" xfId="428"/>
    <cellStyle name="Note 12 3" xfId="429"/>
    <cellStyle name="Note 13" xfId="430"/>
    <cellStyle name="Note 13 2" xfId="431"/>
    <cellStyle name="Note 14" xfId="432"/>
    <cellStyle name="Note 14 2" xfId="433"/>
    <cellStyle name="Note 2" xfId="434"/>
    <cellStyle name="Note 2 2" xfId="435"/>
    <cellStyle name="Note 2 3" xfId="436"/>
    <cellStyle name="Note 3" xfId="437"/>
    <cellStyle name="Note 3 2" xfId="438"/>
    <cellStyle name="Note 3 3" xfId="439"/>
    <cellStyle name="Note 4" xfId="440"/>
    <cellStyle name="Note 4 2" xfId="441"/>
    <cellStyle name="Note 4 3" xfId="442"/>
    <cellStyle name="Note 5" xfId="443"/>
    <cellStyle name="Note 5 2" xfId="444"/>
    <cellStyle name="Note 5 3" xfId="445"/>
    <cellStyle name="Note 6" xfId="446"/>
    <cellStyle name="Note 6 2" xfId="447"/>
    <cellStyle name="Note 6 3" xfId="448"/>
    <cellStyle name="Note 7" xfId="449"/>
    <cellStyle name="Note 7 2" xfId="450"/>
    <cellStyle name="Note 7 3" xfId="451"/>
    <cellStyle name="Note 8" xfId="452"/>
    <cellStyle name="Note 8 2" xfId="453"/>
    <cellStyle name="Note 8 3" xfId="454"/>
    <cellStyle name="Note 9" xfId="455"/>
    <cellStyle name="Note 9 2" xfId="456"/>
    <cellStyle name="Note 9 3" xfId="457"/>
    <cellStyle name="Percent" xfId="2" builtinId="5"/>
    <cellStyle name="Percent 2" xfId="458"/>
    <cellStyle name="Percent 2 2" xfId="459"/>
    <cellStyle name="Percent 2 2 2" xfId="460"/>
    <cellStyle name="Percent 3" xfId="461"/>
    <cellStyle name="Percent 4" xfId="462"/>
    <cellStyle name="Title 2" xfId="463"/>
    <cellStyle name="Title 3" xfId="464"/>
  </cellStyles>
  <dxfs count="0"/>
  <tableStyles count="0" defaultTableStyle="TableStyleMedium2" defaultPivotStyle="PivotStyleLight16"/>
  <colors>
    <mruColors>
      <color rgb="FF66CCFF"/>
      <color rgb="FF0C6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2400"/>
              <a:t>NAV BY CLASS OF FUNDS (N'Bn)</a:t>
            </a:r>
            <a:endParaRPr lang="en-US" sz="240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0"/>
      <c:rotY val="0"/>
      <c:depthPercent val="60"/>
      <c:rAngAx val="0"/>
      <c:perspective val="100"/>
    </c:view3D>
    <c:floor>
      <c:thickness val="0"/>
      <c:spPr>
        <a:solidFill>
          <a:schemeClr val="lt1">
            <a:lumMod val="95000"/>
          </a:schemeClr>
        </a:solidFill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'NAV Comparison'!$B$4</c:f>
              <c:strCache>
                <c:ptCount val="1"/>
                <c:pt idx="0">
                  <c:v>Apr 2026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accent1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1">
                  <a:lumMod val="75000"/>
                </a:schemeClr>
              </a:contourClr>
            </a:sp3d>
          </c:spPr>
          <c:invertIfNegative val="0"/>
          <c:dLbls>
            <c:dLbl>
              <c:idx val="1"/>
              <c:layout>
                <c:manualLayout>
                  <c:x val="-1.0638297872340425E-2"/>
                  <c:y val="-1.37061403508772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1E35-4497-B582-142FBD8AB4DD}"/>
                </c:ext>
              </c:extLst>
            </c:dLbl>
            <c:dLbl>
              <c:idx val="2"/>
              <c:layout>
                <c:manualLayout>
                  <c:x val="4.7281323877068557E-3"/>
                  <c:y val="-1.0051053480015784E-1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1E35-4497-B582-142FBD8AB4DD}"/>
                </c:ext>
              </c:extLst>
            </c:dLbl>
            <c:dLbl>
              <c:idx val="3"/>
              <c:layout>
                <c:manualLayout>
                  <c:x val="-1.5366430260047324E-2"/>
                  <c:y val="-3.56359649122808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1E35-4497-B582-142FBD8AB4DD}"/>
                </c:ext>
              </c:extLst>
            </c:dLbl>
            <c:dLbl>
              <c:idx val="4"/>
              <c:layout>
                <c:manualLayout>
                  <c:x val="-3.5460992907801418E-3"/>
                  <c:y val="-4.38596491228070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1E35-4497-B582-142FBD8AB4DD}"/>
                </c:ext>
              </c:extLst>
            </c:dLbl>
            <c:dLbl>
              <c:idx val="5"/>
              <c:layout>
                <c:manualLayout>
                  <c:x val="-7.0921985815602835E-3"/>
                  <c:y val="-1.09649122807017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1E35-4497-B582-142FBD8AB4DD}"/>
                </c:ext>
              </c:extLst>
            </c:dLbl>
            <c:dLbl>
              <c:idx val="7"/>
              <c:layout>
                <c:manualLayout>
                  <c:x val="-1.1820330969267052E-2"/>
                  <c:y val="-3.28947368421052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1E35-4497-B582-142FBD8AB4D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'NAV Comparison'!$A$5:$A$13</c:f>
              <c:strCache>
                <c:ptCount val="9"/>
                <c:pt idx="0">
                  <c:v>EQUITY BASED FUNDS</c:v>
                </c:pt>
                <c:pt idx="1">
                  <c:v>MONEY MARKET FUNDS</c:v>
                </c:pt>
                <c:pt idx="2">
                  <c:v>BONDS/FIXED INCOME FUNDS</c:v>
                </c:pt>
                <c:pt idx="3">
                  <c:v>DOLLAR FUNDS</c:v>
                </c:pt>
                <c:pt idx="4">
                  <c:v>REAL ESTATE INVESTMENT TRUST</c:v>
                </c:pt>
                <c:pt idx="5">
                  <c:v>BALANCED FUNDS</c:v>
                </c:pt>
                <c:pt idx="6">
                  <c:v>ETHICAL FUNDS</c:v>
                </c:pt>
                <c:pt idx="7">
                  <c:v>SHARI'AH COMPLAINT FUNDS</c:v>
                </c:pt>
                <c:pt idx="8">
                  <c:v>SPECIALISED FUNDS</c:v>
                </c:pt>
              </c:strCache>
            </c:strRef>
          </c:cat>
          <c:val>
            <c:numRef>
              <c:f>'NAV Comparison'!$B$5:$B$13</c:f>
              <c:numCache>
                <c:formatCode>0.00</c:formatCode>
                <c:ptCount val="9"/>
                <c:pt idx="0">
                  <c:v>235.55133925593</c:v>
                </c:pt>
                <c:pt idx="1">
                  <c:v>5695.4340585764612</c:v>
                </c:pt>
                <c:pt idx="2">
                  <c:v>234.62439952482995</c:v>
                </c:pt>
                <c:pt idx="3">
                  <c:v>1858.7017859926186</c:v>
                </c:pt>
                <c:pt idx="4">
                  <c:v>526.89377204159996</c:v>
                </c:pt>
                <c:pt idx="5">
                  <c:v>144.17948628507881</c:v>
                </c:pt>
                <c:pt idx="6">
                  <c:v>19.528484775740001</c:v>
                </c:pt>
                <c:pt idx="7">
                  <c:v>133.7210214308819</c:v>
                </c:pt>
                <c:pt idx="8">
                  <c:v>30.829078365314142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89-4878-BF06-C517339BDFAC}"/>
            </c:ext>
          </c:extLst>
        </c:ser>
        <c:ser>
          <c:idx val="1"/>
          <c:order val="1"/>
          <c:tx>
            <c:strRef>
              <c:f>'NAV Comparison'!$C$4</c:f>
              <c:strCache>
                <c:ptCount val="1"/>
                <c:pt idx="0">
                  <c:v>May 2026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accent2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2">
                  <a:lumMod val="75000"/>
                </a:schemeClr>
              </a:contourClr>
            </a:sp3d>
          </c:spPr>
          <c:invertIfNegative val="0"/>
          <c:dLbls>
            <c:dLbl>
              <c:idx val="0"/>
              <c:layout>
                <c:manualLayout>
                  <c:x val="2.3640661938534062E-3"/>
                  <c:y val="-7.12719298245614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1E35-4497-B582-142FBD8AB4DD}"/>
                </c:ext>
              </c:extLst>
            </c:dLbl>
            <c:dLbl>
              <c:idx val="1"/>
              <c:layout>
                <c:manualLayout>
                  <c:x val="-3.5460992907801418E-3"/>
                  <c:y val="-4.93421052631578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1E35-4497-B582-142FBD8AB4DD}"/>
                </c:ext>
              </c:extLst>
            </c:dLbl>
            <c:dLbl>
              <c:idx val="2"/>
              <c:layout>
                <c:manualLayout>
                  <c:x val="0"/>
                  <c:y val="-7.67543859649122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1E35-4497-B582-142FBD8AB4DD}"/>
                </c:ext>
              </c:extLst>
            </c:dLbl>
            <c:dLbl>
              <c:idx val="5"/>
              <c:layout>
                <c:manualLayout>
                  <c:x val="-1.1820330969267139E-3"/>
                  <c:y val="-6.30482456140351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1E35-4497-B582-142FBD8AB4DD}"/>
                </c:ext>
              </c:extLst>
            </c:dLbl>
            <c:dLbl>
              <c:idx val="6"/>
              <c:layout>
                <c:manualLayout>
                  <c:x val="-1.1820330969268874E-3"/>
                  <c:y val="-5.756578947368420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1E35-4497-B582-142FBD8AB4DD}"/>
                </c:ext>
              </c:extLst>
            </c:dLbl>
            <c:dLbl>
              <c:idx val="8"/>
              <c:layout>
                <c:manualLayout>
                  <c:x val="-3.5460992907803152E-3"/>
                  <c:y val="-5.75657894736843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1E35-4497-B582-142FBD8AB4D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'NAV Comparison'!$A$5:$A$13</c:f>
              <c:strCache>
                <c:ptCount val="9"/>
                <c:pt idx="0">
                  <c:v>EQUITY BASED FUNDS</c:v>
                </c:pt>
                <c:pt idx="1">
                  <c:v>MONEY MARKET FUNDS</c:v>
                </c:pt>
                <c:pt idx="2">
                  <c:v>BONDS/FIXED INCOME FUNDS</c:v>
                </c:pt>
                <c:pt idx="3">
                  <c:v>DOLLAR FUNDS</c:v>
                </c:pt>
                <c:pt idx="4">
                  <c:v>REAL ESTATE INVESTMENT TRUST</c:v>
                </c:pt>
                <c:pt idx="5">
                  <c:v>BALANCED FUNDS</c:v>
                </c:pt>
                <c:pt idx="6">
                  <c:v>ETHICAL FUNDS</c:v>
                </c:pt>
                <c:pt idx="7">
                  <c:v>SHARI'AH COMPLAINT FUNDS</c:v>
                </c:pt>
                <c:pt idx="8">
                  <c:v>SPECIALISED FUNDS</c:v>
                </c:pt>
              </c:strCache>
            </c:strRef>
          </c:cat>
          <c:val>
            <c:numRef>
              <c:f>'NAV Comparison'!$C$5:$C$13</c:f>
              <c:numCache>
                <c:formatCode>0.00</c:formatCode>
                <c:ptCount val="9"/>
                <c:pt idx="0">
                  <c:v>262.04603652085001</c:v>
                </c:pt>
                <c:pt idx="1">
                  <c:v>5836.1190802569317</c:v>
                </c:pt>
                <c:pt idx="2">
                  <c:v>233.72032571471999</c:v>
                </c:pt>
                <c:pt idx="3">
                  <c:v>1841.4176133460965</c:v>
                </c:pt>
                <c:pt idx="4">
                  <c:v>527.75099154406996</c:v>
                </c:pt>
                <c:pt idx="5">
                  <c:v>157.21304944591</c:v>
                </c:pt>
                <c:pt idx="6">
                  <c:v>21.33055565894</c:v>
                </c:pt>
                <c:pt idx="7">
                  <c:v>143.95374458200001</c:v>
                </c:pt>
                <c:pt idx="8">
                  <c:v>31.096845296421385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89-4878-BF06-C517339BDFAC}"/>
            </c:ext>
          </c:extLst>
        </c:ser>
        <c:ser>
          <c:idx val="2"/>
          <c:order val="2"/>
          <c:tx>
            <c:strRef>
              <c:f>'NAV Comparison'!$D$4</c:f>
              <c:strCache>
                <c:ptCount val="1"/>
                <c:pt idx="0">
                  <c:v>Jun 2026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accent3">
                  <a:lumMod val="75000"/>
                </a:schemeClr>
              </a:solidFill>
              <a:round/>
            </a:ln>
            <a:effectLst/>
            <a:sp3d contourW="9525">
              <a:contourClr>
                <a:schemeClr val="accent3">
                  <a:lumMod val="75000"/>
                </a:schemeClr>
              </a:contourClr>
            </a:sp3d>
          </c:spPr>
          <c:invertIfNegative val="0"/>
          <c:dLbls>
            <c:dLbl>
              <c:idx val="1"/>
              <c:layout>
                <c:manualLayout>
                  <c:x val="9.4562647754137114E-3"/>
                  <c:y val="-2.19298245614035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1E35-4497-B582-142FBD8AB4DD}"/>
                </c:ext>
              </c:extLst>
            </c:dLbl>
            <c:dLbl>
              <c:idx val="2"/>
              <c:layout>
                <c:manualLayout>
                  <c:x val="3.5460992907801418E-3"/>
                  <c:y val="-2.741228070175539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1E35-4497-B582-142FBD8AB4DD}"/>
                </c:ext>
              </c:extLst>
            </c:dLbl>
            <c:dLbl>
              <c:idx val="3"/>
              <c:layout>
                <c:manualLayout>
                  <c:x val="1.8912529550827423E-2"/>
                  <c:y val="-1.91885964912280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1E35-4497-B582-142FBD8AB4DD}"/>
                </c:ext>
              </c:extLst>
            </c:dLbl>
            <c:dLbl>
              <c:idx val="4"/>
              <c:layout>
                <c:manualLayout>
                  <c:x val="2.2458628841607566E-2"/>
                  <c:y val="-3.56359649122808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1E35-4497-B582-142FBD8AB4DD}"/>
                </c:ext>
              </c:extLst>
            </c:dLbl>
            <c:dLbl>
              <c:idx val="5"/>
              <c:layout>
                <c:manualLayout>
                  <c:x val="1.418439716312048E-2"/>
                  <c:y val="-2.19298245614036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1E35-4497-B582-142FBD8AB4DD}"/>
                </c:ext>
              </c:extLst>
            </c:dLbl>
            <c:dLbl>
              <c:idx val="7"/>
              <c:layout>
                <c:manualLayout>
                  <c:x val="8.2742316784869974E-3"/>
                  <c:y val="-3.28947368421052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1E35-4497-B582-142FBD8AB4D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'NAV Comparison'!$A$5:$A$13</c:f>
              <c:strCache>
                <c:ptCount val="9"/>
                <c:pt idx="0">
                  <c:v>EQUITY BASED FUNDS</c:v>
                </c:pt>
                <c:pt idx="1">
                  <c:v>MONEY MARKET FUNDS</c:v>
                </c:pt>
                <c:pt idx="2">
                  <c:v>BONDS/FIXED INCOME FUNDS</c:v>
                </c:pt>
                <c:pt idx="3">
                  <c:v>DOLLAR FUNDS</c:v>
                </c:pt>
                <c:pt idx="4">
                  <c:v>REAL ESTATE INVESTMENT TRUST</c:v>
                </c:pt>
                <c:pt idx="5">
                  <c:v>BALANCED FUNDS</c:v>
                </c:pt>
                <c:pt idx="6">
                  <c:v>ETHICAL FUNDS</c:v>
                </c:pt>
                <c:pt idx="7">
                  <c:v>SHARI'AH COMPLAINT FUNDS</c:v>
                </c:pt>
                <c:pt idx="8">
                  <c:v>SPECIALISED FUNDS</c:v>
                </c:pt>
              </c:strCache>
            </c:strRef>
          </c:cat>
          <c:val>
            <c:numRef>
              <c:f>'NAV Comparison'!$D$5:$D$13</c:f>
              <c:numCache>
                <c:formatCode>0.00</c:formatCode>
                <c:ptCount val="9"/>
                <c:pt idx="0">
                  <c:v>228.66727299104002</c:v>
                </c:pt>
                <c:pt idx="1">
                  <c:v>6011.1481524692708</c:v>
                </c:pt>
                <c:pt idx="2">
                  <c:v>237.74935106990003</c:v>
                </c:pt>
                <c:pt idx="3">
                  <c:v>1851.6010627390665</c:v>
                </c:pt>
                <c:pt idx="4">
                  <c:v>529.08901903765002</c:v>
                </c:pt>
                <c:pt idx="5">
                  <c:v>148.77127395047</c:v>
                </c:pt>
                <c:pt idx="6">
                  <c:v>18.413579392370004</c:v>
                </c:pt>
                <c:pt idx="7">
                  <c:v>135.98274179482996</c:v>
                </c:pt>
                <c:pt idx="8">
                  <c:v>31.421590105979892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A89-4878-BF06-C517339BDFA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65"/>
        <c:shape val="box"/>
        <c:axId val="345335999"/>
        <c:axId val="345333503"/>
        <c:axId val="0"/>
      </c:bar3DChart>
      <c:catAx>
        <c:axId val="3453359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5333503"/>
        <c:crosses val="autoZero"/>
        <c:auto val="1"/>
        <c:lblAlgn val="ctr"/>
        <c:lblOffset val="100"/>
        <c:noMultiLvlLbl val="0"/>
      </c:catAx>
      <c:valAx>
        <c:axId val="3453335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53359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2000" b="0" i="0" u="none" strike="noStrike" kern="1200" spc="0" baseline="0">
                <a:solidFill>
                  <a:schemeClr val="lt1"/>
                </a:solidFill>
                <a:latin typeface="Tahoma" panose="020B0804030504040204" pitchFamily="34" charset="0"/>
                <a:ea typeface="Tahoma" panose="020B0804030504040204" pitchFamily="34" charset="0"/>
                <a:cs typeface="Tahoma" panose="020B0804030504040204" pitchFamily="34" charset="0"/>
              </a:defRPr>
            </a:pPr>
            <a:r>
              <a:rPr lang="en-US" sz="2000">
                <a:solidFill>
                  <a:schemeClr val="lt1"/>
                </a:solidFill>
                <a:latin typeface="Tahoma" panose="020B0804030504040204" pitchFamily="34" charset="0"/>
                <a:ea typeface="Tahoma" panose="020B0804030504040204" pitchFamily="34" charset="0"/>
                <a:cs typeface="Tahoma" panose="020B0804030504040204" pitchFamily="34" charset="0"/>
              </a:rPr>
              <a:t>PERCENTAGE MARKET</a:t>
            </a:r>
            <a:r>
              <a:rPr lang="en-US" sz="2000" baseline="0">
                <a:solidFill>
                  <a:schemeClr val="lt1"/>
                </a:solidFill>
                <a:latin typeface="Tahoma" panose="020B0804030504040204" pitchFamily="34" charset="0"/>
                <a:ea typeface="Tahoma" panose="020B0804030504040204" pitchFamily="34" charset="0"/>
                <a:cs typeface="Tahoma" panose="020B0804030504040204" pitchFamily="34" charset="0"/>
              </a:rPr>
              <a:t> SHARE OF FUNDS BY CLASS</a:t>
            </a:r>
          </a:p>
        </c:rich>
      </c:tx>
      <c:layout>
        <c:manualLayout>
          <c:xMode val="edge"/>
          <c:yMode val="edge"/>
          <c:x val="0.231843809708693"/>
          <c:y val="9.3377148481089307E-3"/>
        </c:manualLayout>
      </c:layout>
      <c:overlay val="0"/>
      <c:spPr>
        <a:solidFill>
          <a:schemeClr val="dk1"/>
        </a:solidFill>
        <a:ln w="12700" cap="flat" cmpd="sng" algn="ctr">
          <a:solidFill>
            <a:schemeClr val="dk1">
              <a:shade val="15000"/>
            </a:schemeClr>
          </a:solidFill>
          <a:prstDash val="solid"/>
          <a:miter lim="800000"/>
        </a:ln>
        <a:effectLst/>
      </c:spPr>
    </c:title>
    <c:autoTitleDeleted val="0"/>
    <c:view3D>
      <c:rotX val="30"/>
      <c:rotY val="235"/>
      <c:depthPercent val="100"/>
      <c:rAngAx val="0"/>
    </c:view3D>
    <c:floor>
      <c:thickness val="0"/>
      <c:spPr>
        <a:noFill/>
        <a:ln>
          <a:noFill/>
        </a:ln>
        <a:effectLst/>
      </c:spPr>
    </c:floor>
    <c:sideWall>
      <c:thickness val="0"/>
      <c:spPr>
        <a:noFill/>
        <a:ln>
          <a:noFill/>
        </a:ln>
        <a:effectLst/>
      </c:spPr>
    </c:sideWall>
    <c:backWall>
      <c:thickness val="0"/>
      <c:spPr>
        <a:noFill/>
        <a:ln>
          <a:noFill/>
        </a:ln>
        <a:effectLst/>
      </c:spPr>
    </c:backWall>
    <c:plotArea>
      <c:layout>
        <c:manualLayout>
          <c:layoutTarget val="inner"/>
          <c:xMode val="edge"/>
          <c:yMode val="edge"/>
          <c:x val="0.154306120363988"/>
          <c:y val="0.165166341142437"/>
          <c:w val="0.84316500743410205"/>
          <c:h val="0.81423920364184199"/>
        </c:manualLayout>
      </c:layout>
      <c:pie3DChart>
        <c:varyColors val="1"/>
        <c:ser>
          <c:idx val="0"/>
          <c:order val="0"/>
          <c:tx>
            <c:strRef>
              <c:f>'Market Share'!$B$1</c:f>
              <c:strCache>
                <c:ptCount val="1"/>
                <c:pt idx="0">
                  <c:v>Jun 2026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2C44-47AB-BCB2-0CAB16754C1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2C44-47AB-BCB2-0CAB16754C15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2C44-47AB-BCB2-0CAB16754C15}"/>
              </c:ext>
            </c:extLst>
          </c:dPt>
          <c:dPt>
            <c:idx val="3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2C44-47AB-BCB2-0CAB16754C15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2C44-47AB-BCB2-0CAB16754C15}"/>
              </c:ext>
            </c:extLst>
          </c:dPt>
          <c:dPt>
            <c:idx val="5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2C44-47AB-BCB2-0CAB16754C15}"/>
              </c:ext>
            </c:extLst>
          </c:dPt>
          <c:dPt>
            <c:idx val="6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D-2C44-47AB-BCB2-0CAB16754C15}"/>
              </c:ext>
            </c:extLst>
          </c:dPt>
          <c:dPt>
            <c:idx val="7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F-2C44-47AB-BCB2-0CAB16754C15}"/>
              </c:ext>
            </c:extLst>
          </c:dPt>
          <c:dPt>
            <c:idx val="8"/>
            <c:bubble3D val="0"/>
            <c:extLst>
              <c:ext xmlns:c16="http://schemas.microsoft.com/office/drawing/2014/chart" uri="{C3380CC4-5D6E-409C-BE32-E72D297353CC}">
                <c16:uniqueId val="{00000010-2C44-47AB-BCB2-0CAB16754C15}"/>
              </c:ext>
            </c:extLst>
          </c:dPt>
          <c:dLbls>
            <c:dLbl>
              <c:idx val="0"/>
              <c:layout>
                <c:manualLayout>
                  <c:x val="-4.31242058258033E-2"/>
                  <c:y val="0.115998558608087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C44-47AB-BCB2-0CAB16754C15}"/>
                </c:ext>
              </c:extLst>
            </c:dLbl>
            <c:dLbl>
              <c:idx val="1"/>
              <c:layout>
                <c:manualLayout>
                  <c:x val="-8.3929154372232501E-2"/>
                  <c:y val="5.523740886099379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C44-47AB-BCB2-0CAB16754C15}"/>
                </c:ext>
              </c:extLst>
            </c:dLbl>
            <c:dLbl>
              <c:idx val="2"/>
              <c:layout>
                <c:manualLayout>
                  <c:x val="-6.3908902826365604E-2"/>
                  <c:y val="-8.2856113291490605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2C44-47AB-BCB2-0CAB16754C15}"/>
                </c:ext>
              </c:extLst>
            </c:dLbl>
            <c:dLbl>
              <c:idx val="3"/>
              <c:layout>
                <c:manualLayout>
                  <c:x val="-2.6526955148730099E-2"/>
                  <c:y val="-6.352302019014280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2C44-47AB-BCB2-0CAB16754C15}"/>
                </c:ext>
              </c:extLst>
            </c:dLbl>
            <c:dLbl>
              <c:idx val="4"/>
              <c:layout>
                <c:manualLayout>
                  <c:x val="-2.2105334402515699E-2"/>
                  <c:y val="-0.102189206392838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2C44-47AB-BCB2-0CAB16754C15}"/>
                </c:ext>
              </c:extLst>
            </c:dLbl>
            <c:dLbl>
              <c:idx val="5"/>
              <c:layout>
                <c:manualLayout>
                  <c:x val="2.9649290241234302E-2"/>
                  <c:y val="-0.15207084136351101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2C44-47AB-BCB2-0CAB16754C15}"/>
                </c:ext>
              </c:extLst>
            </c:dLbl>
            <c:dLbl>
              <c:idx val="6"/>
              <c:layout>
                <c:manualLayout>
                  <c:x val="0.15913713022161299"/>
                  <c:y val="4.0588289152526102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2C44-47AB-BCB2-0CAB16754C15}"/>
                </c:ext>
              </c:extLst>
            </c:dLbl>
            <c:dLbl>
              <c:idx val="7"/>
              <c:layout>
                <c:manualLayout>
                  <c:x val="0.112169430842536"/>
                  <c:y val="0.119724120513617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2C44-47AB-BCB2-0CAB16754C15}"/>
                </c:ext>
              </c:extLst>
            </c:dLbl>
            <c:dLbl>
              <c:idx val="8"/>
              <c:layout>
                <c:manualLayout>
                  <c:x val="-0.27590312917245502"/>
                  <c:y val="-0.25129338745824797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2C44-47AB-BCB2-0CAB16754C15}"/>
                </c:ext>
              </c:extLst>
            </c:dLbl>
            <c:numFmt formatCode="0.00%" sourceLinked="0"/>
            <c:spPr>
              <a:gradFill rotWithShape="1">
                <a:gsLst>
                  <a:gs pos="0">
                    <a:schemeClr val="dk1">
                      <a:satMod val="103000"/>
                      <a:lumMod val="102000"/>
                      <a:tint val="94000"/>
                    </a:schemeClr>
                  </a:gs>
                  <a:gs pos="50000">
                    <a:schemeClr val="dk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dk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6350" cap="flat" cmpd="sng" algn="ctr">
                <a:solidFill>
                  <a:schemeClr val="dk1"/>
                </a:solidFill>
                <a:prstDash val="solid"/>
                <a:miter lim="800000"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100" b="0" i="0" u="none" strike="noStrike" kern="1200" baseline="0">
                    <a:solidFill>
                      <a:schemeClr val="lt1"/>
                    </a:solidFill>
                    <a:latin typeface="Tahoma" panose="020B0804030504040204" pitchFamily="34" charset="0"/>
                    <a:ea typeface="Tahoma" panose="020B0804030504040204" pitchFamily="34" charset="0"/>
                    <a:cs typeface="Tahoma" panose="020B0804030504040204" pitchFamily="34" charset="0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25400" cap="flat" cmpd="sng" algn="ctr">
                  <a:solidFill>
                    <a:schemeClr val="tx1"/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'Market Share'!$A$2:$A$10</c:f>
              <c:strCache>
                <c:ptCount val="9"/>
                <c:pt idx="0">
                  <c:v>ETHICAL FUNDS</c:v>
                </c:pt>
                <c:pt idx="1">
                  <c:v>SPECIALISED FUNDS</c:v>
                </c:pt>
                <c:pt idx="2">
                  <c:v>SHARI'AH COMPLAINT FUNDS</c:v>
                </c:pt>
                <c:pt idx="3">
                  <c:v>EQUITY BASED FUNDS</c:v>
                </c:pt>
                <c:pt idx="4">
                  <c:v>BALANCED FUNDS</c:v>
                </c:pt>
                <c:pt idx="5">
                  <c:v>BONDS/FIXED INCOME FUNDS</c:v>
                </c:pt>
                <c:pt idx="6">
                  <c:v>REAL ESTATE INVESTMENT TRUST</c:v>
                </c:pt>
                <c:pt idx="7">
                  <c:v>DOLLAR FUNDS</c:v>
                </c:pt>
                <c:pt idx="8">
                  <c:v>MONEY MARKET FUNDS</c:v>
                </c:pt>
              </c:strCache>
            </c:strRef>
          </c:cat>
          <c:val>
            <c:numRef>
              <c:f>'Market Share'!$B$2:$B$10</c:f>
              <c:numCache>
                <c:formatCode>_-* #,##0.00_-;\-* #,##0.00_-;_-* "-"??_-;_-@_-</c:formatCode>
                <c:ptCount val="9"/>
                <c:pt idx="0">
                  <c:v>18413579392.370003</c:v>
                </c:pt>
                <c:pt idx="1">
                  <c:v>31421590105.979893</c:v>
                </c:pt>
                <c:pt idx="2">
                  <c:v>135982741794.82997</c:v>
                </c:pt>
                <c:pt idx="3" formatCode="#,##0.00">
                  <c:v>228667272991.04001</c:v>
                </c:pt>
                <c:pt idx="4" formatCode="#,##0.00">
                  <c:v>148771273950.47</c:v>
                </c:pt>
                <c:pt idx="5" formatCode="#,##0.00">
                  <c:v>237749351069.90002</c:v>
                </c:pt>
                <c:pt idx="6" formatCode="#,##0.00">
                  <c:v>529089019037.65002</c:v>
                </c:pt>
                <c:pt idx="7" formatCode="#,##0.00">
                  <c:v>1851601062739.0664</c:v>
                </c:pt>
                <c:pt idx="8" formatCode="#,##0.00">
                  <c:v>6011148152469.2705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2C44-47AB-BCB2-0CAB16754C15}"/>
            </c:ext>
          </c:extLst>
        </c:ser>
        <c:dLbls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  <c:extLst>
      <c:ext uri="{0b15fc19-7d7d-44ad-8c2d-2c3a37ce22c3}">
        <chartProps xmlns="https://web.wps.cn/et/2018/main" chartId="{d72fdb7d-1ed2-471c-ac92-45d49fa9d76d}"/>
      </c:ext>
    </c:extLst>
  </c:chart>
  <c:spPr>
    <a:pattFill prst="pct40">
      <a:fgClr>
        <a:schemeClr val="accent1"/>
      </a:fgClr>
      <a:bgClr>
        <a:schemeClr val="bg1"/>
      </a:bgClr>
    </a:patt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  <a:effectLst>
      <a:outerShdw blurRad="50800" dist="50800" dir="5400000" algn="ctr" rotWithShape="0">
        <a:schemeClr val="accent3">
          <a:lumMod val="20000"/>
          <a:lumOff val="80000"/>
        </a:schemeClr>
      </a:outerShdw>
    </a:effectLst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800" b="1" i="0" u="none" strike="noStrike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</a:rPr>
              <a:t>UNITHOLDERS</a:t>
            </a:r>
            <a:endParaRPr lang="en-US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800" b="1" i="0" u="none" strike="noStrike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Unitholders!$B$5</c:f>
              <c:strCache>
                <c:ptCount val="1"/>
                <c:pt idx="0">
                  <c:v>UNIT HOLDERS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900" b="0" i="0" u="none" strike="noStrike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Unitholders!$A$6:$A$14</c:f>
              <c:strCache>
                <c:ptCount val="9"/>
                <c:pt idx="0">
                  <c:v>EQUITY BASED FUNDS</c:v>
                </c:pt>
                <c:pt idx="1">
                  <c:v>MONEY MARKET FUNDS</c:v>
                </c:pt>
                <c:pt idx="2">
                  <c:v>BONDS/FIXED INCOME FUNDS</c:v>
                </c:pt>
                <c:pt idx="3">
                  <c:v>DOLLAR FUNDS</c:v>
                </c:pt>
                <c:pt idx="4">
                  <c:v>REAL ESTATE INVESTMENT TRUST</c:v>
                </c:pt>
                <c:pt idx="5">
                  <c:v>BALANCED FUNDS</c:v>
                </c:pt>
                <c:pt idx="6">
                  <c:v>ETHICAL FUNDS</c:v>
                </c:pt>
                <c:pt idx="7">
                  <c:v>SHARI'AH COMPLAINT FUNDS</c:v>
                </c:pt>
                <c:pt idx="8">
                  <c:v>SPECIALISED FUNDS</c:v>
                </c:pt>
              </c:strCache>
            </c:strRef>
          </c:cat>
          <c:val>
            <c:numRef>
              <c:f>Unitholders!$B$6:$B$14</c:f>
              <c:numCache>
                <c:formatCode>_(* #,##0_);_(* \(#,##0\);_(* "-"??_);_(@_)</c:formatCode>
                <c:ptCount val="9"/>
                <c:pt idx="0">
                  <c:v>102866</c:v>
                </c:pt>
                <c:pt idx="1">
                  <c:v>750973</c:v>
                </c:pt>
                <c:pt idx="2">
                  <c:v>64425</c:v>
                </c:pt>
                <c:pt idx="3">
                  <c:v>30355</c:v>
                </c:pt>
                <c:pt idx="4">
                  <c:v>230697</c:v>
                </c:pt>
                <c:pt idx="5">
                  <c:v>97710</c:v>
                </c:pt>
                <c:pt idx="6">
                  <c:v>18710</c:v>
                </c:pt>
                <c:pt idx="7">
                  <c:v>40457</c:v>
                </c:pt>
                <c:pt idx="8" formatCode="_-* #,##0_-;\-* #,##0_-;_-* &quot;-&quot;??_-;_-@_-">
                  <c:v>158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92-44EB-986C-6DF6BCCD236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0"/>
        <c:axId val="328697840"/>
        <c:axId val="251602304"/>
      </c:barChart>
      <c:catAx>
        <c:axId val="32869784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lang="en-US" sz="900" b="0" i="0" u="none" strike="noStrike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CLASSES OF FUNDS</a:t>
                </a:r>
                <a:endParaRPr lang="en-US" sz="1200"/>
              </a:p>
            </c:rich>
          </c:tx>
          <c:layout>
            <c:manualLayout>
              <c:xMode val="edge"/>
              <c:yMode val="edge"/>
              <c:x val="0.45444441097145799"/>
              <c:y val="0.9362383228544790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lang="en-US" sz="900" b="0" i="0" u="none" strike="noStrike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1602304"/>
        <c:crosses val="autoZero"/>
        <c:auto val="1"/>
        <c:lblAlgn val="ctr"/>
        <c:lblOffset val="100"/>
        <c:noMultiLvlLbl val="0"/>
      </c:catAx>
      <c:valAx>
        <c:axId val="251602304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0">
                    <a:schemeClr val="lt1">
                      <a:lumMod val="75000"/>
                      <a:alpha val="36000"/>
                    </a:schemeClr>
                  </a:gs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crossAx val="3286978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uri="{0b15fc19-7d7d-44ad-8c2d-2c3a37ce22c3}">
        <chartProps xmlns="https://web.wps.cn/et/2018/main" chartId="{978094f0-96cf-4234-a22f-cc5dd80dc40f}"/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 lang="en-US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phClr">
            <a:lumMod val="7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sp3d/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/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6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dk1"/>
    </cs:fontRef>
    <cs:defRPr sz="9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75000"/>
            <a:lumOff val="2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>
                <a:lumMod val="75000"/>
                <a:alpha val="36000"/>
              </a:schemeClr>
            </a:gs>
            <a:gs pos="100000">
              <a:schemeClr val="dk1">
                <a:lumMod val="95000"/>
                <a:lumOff val="5000"/>
                <a:alpha val="42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0">
              <a:schemeClr val="lt1">
                <a:lumMod val="75000"/>
                <a:alpha val="36000"/>
                <a:lumOff val="10000"/>
              </a:schemeClr>
            </a:gs>
            <a:gs pos="100000">
              <a:schemeClr val="dk1">
                <a:lumMod val="95000"/>
                <a:lumOff val="5000"/>
                <a:alpha val="42000"/>
                <a:lumOff val="10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>
      <a:ln w="9525" cap="flat">
        <a:solidFill>
          <a:schemeClr val="bg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/>
  </cs:title>
  <cs:trendline>
    <cs:lnRef idx="0"/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defRPr sz="900"/>
  </cs:valueAxis>
  <cs:wall>
    <cs:lnRef idx="0"/>
    <cs:fillRef idx="0"/>
    <cs:effectRef idx="0"/>
    <cs:fontRef idx="minor">
      <a:schemeClr val="dk1"/>
    </cs:fontRef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460375</xdr:colOff>
      <xdr:row>373</xdr:row>
      <xdr:rowOff>119380</xdr:rowOff>
    </xdr:from>
    <xdr:to>
      <xdr:col>8</xdr:col>
      <xdr:colOff>844550</xdr:colOff>
      <xdr:row>373</xdr:row>
      <xdr:rowOff>119380</xdr:rowOff>
    </xdr:to>
    <xdr:cxnSp macro="">
      <xdr:nvCxnSpPr>
        <xdr:cNvPr id="2" name="AutoShape 245"/>
        <xdr:cNvCxnSpPr>
          <a:cxnSpLocks noChangeShapeType="1"/>
        </xdr:cNvCxnSpPr>
      </xdr:nvCxnSpPr>
      <xdr:spPr>
        <a:xfrm>
          <a:off x="14693900" y="67177285"/>
          <a:ext cx="2009775" cy="0"/>
        </a:xfrm>
        <a:prstGeom prst="straightConnector1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7</xdr:col>
      <xdr:colOff>612775</xdr:colOff>
      <xdr:row>374</xdr:row>
      <xdr:rowOff>106680</xdr:rowOff>
    </xdr:from>
    <xdr:to>
      <xdr:col>8</xdr:col>
      <xdr:colOff>996950</xdr:colOff>
      <xdr:row>374</xdr:row>
      <xdr:rowOff>106680</xdr:rowOff>
    </xdr:to>
    <xdr:cxnSp macro="">
      <xdr:nvCxnSpPr>
        <xdr:cNvPr id="3" name="AutoShape 245"/>
        <xdr:cNvCxnSpPr>
          <a:cxnSpLocks noChangeShapeType="1"/>
        </xdr:cNvCxnSpPr>
      </xdr:nvCxnSpPr>
      <xdr:spPr>
        <a:xfrm>
          <a:off x="14846300" y="67347465"/>
          <a:ext cx="2009775" cy="0"/>
        </a:xfrm>
        <a:prstGeom prst="straightConnector1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0</xdr:colOff>
      <xdr:row>260</xdr:row>
      <xdr:rowOff>127635</xdr:rowOff>
    </xdr:from>
    <xdr:to>
      <xdr:col>10</xdr:col>
      <xdr:colOff>1416050</xdr:colOff>
      <xdr:row>260</xdr:row>
      <xdr:rowOff>127635</xdr:rowOff>
    </xdr:to>
    <xdr:cxnSp macro="">
      <xdr:nvCxnSpPr>
        <xdr:cNvPr id="4" name="AutoShape 159"/>
        <xdr:cNvCxnSpPr>
          <a:cxnSpLocks noChangeShapeType="1"/>
        </xdr:cNvCxnSpPr>
      </xdr:nvCxnSpPr>
      <xdr:spPr>
        <a:xfrm>
          <a:off x="15859125" y="46520100"/>
          <a:ext cx="393573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0</xdr:row>
      <xdr:rowOff>0</xdr:rowOff>
    </xdr:from>
    <xdr:to>
      <xdr:col>18</xdr:col>
      <xdr:colOff>182880</xdr:colOff>
      <xdr:row>23</xdr:row>
      <xdr:rowOff>121920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590550</xdr:colOff>
      <xdr:row>30</xdr:row>
      <xdr:rowOff>171451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19050</xdr:colOff>
      <xdr:row>19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Update%20on%20Registered%20Mutual%20Funds%20as%20at%20May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y"/>
      <sheetName val="NAV Comparison"/>
      <sheetName val="Market Share"/>
      <sheetName val="Unitholders"/>
    </sheetNames>
    <sheetDataSet>
      <sheetData sheetId="0">
        <row r="25">
          <cell r="K25">
            <v>262046036520.85001</v>
          </cell>
        </row>
        <row r="75">
          <cell r="K75">
            <v>5836119080256.9316</v>
          </cell>
        </row>
        <row r="116">
          <cell r="K116">
            <v>233720325714.72</v>
          </cell>
        </row>
        <row r="160">
          <cell r="K160">
            <v>1841417613346.0964</v>
          </cell>
        </row>
        <row r="169">
          <cell r="K169">
            <v>527750991544.07001</v>
          </cell>
        </row>
        <row r="202">
          <cell r="K202">
            <v>157213049445.91</v>
          </cell>
        </row>
        <row r="208">
          <cell r="K208">
            <v>21330555658.939999</v>
          </cell>
        </row>
        <row r="236">
          <cell r="K236">
            <v>143953744582</v>
          </cell>
        </row>
        <row r="246">
          <cell r="K246">
            <v>31096845296.421387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X254"/>
  <sheetViews>
    <sheetView tabSelected="1" view="pageBreakPreview" zoomScaleNormal="70" zoomScaleSheetLayoutView="100" workbookViewId="0">
      <pane ySplit="2" topLeftCell="A3" activePane="bottomLeft" state="frozen"/>
      <selection pane="bottomLeft" activeCell="A3" sqref="A3:V3"/>
    </sheetView>
  </sheetViews>
  <sheetFormatPr defaultColWidth="9" defaultRowHeight="13.8"/>
  <cols>
    <col min="1" max="1" width="6.77734375" style="14" customWidth="1"/>
    <col min="2" max="2" width="44.77734375" style="14" customWidth="1"/>
    <col min="3" max="3" width="43.77734375" style="15" customWidth="1"/>
    <col min="4" max="4" width="21.5546875" style="16" customWidth="1"/>
    <col min="5" max="6" width="19.21875" style="16" customWidth="1"/>
    <col min="7" max="7" width="19.77734375" style="16" customWidth="1"/>
    <col min="8" max="8" width="20" style="16" customWidth="1"/>
    <col min="9" max="9" width="22" style="16" customWidth="1"/>
    <col min="10" max="10" width="9" style="16"/>
    <col min="11" max="11" width="24.5546875" style="16" customWidth="1"/>
    <col min="12" max="12" width="9" style="16"/>
    <col min="13" max="13" width="11.5546875" style="16" customWidth="1"/>
    <col min="14" max="14" width="12.21875" style="16" customWidth="1"/>
    <col min="15" max="15" width="12.5546875" style="16" customWidth="1"/>
    <col min="16" max="17" width="12.21875" style="16" customWidth="1"/>
    <col min="18" max="18" width="14.44140625" style="16" customWidth="1"/>
    <col min="19" max="19" width="13.21875" style="16" customWidth="1"/>
    <col min="20" max="20" width="16.44140625" style="16" customWidth="1"/>
    <col min="21" max="22" width="20.21875" style="16" customWidth="1"/>
    <col min="23" max="16384" width="9" style="16"/>
  </cols>
  <sheetData>
    <row r="1" spans="1:23" ht="39.6">
      <c r="A1" s="173" t="s">
        <v>0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75"/>
    </row>
    <row r="2" spans="1:23" ht="48" customHeight="1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7" t="s">
        <v>7</v>
      </c>
      <c r="H2" s="18" t="s">
        <v>8</v>
      </c>
      <c r="I2" s="17" t="s">
        <v>9</v>
      </c>
      <c r="J2" s="17" t="s">
        <v>10</v>
      </c>
      <c r="K2" s="17" t="s">
        <v>11</v>
      </c>
      <c r="L2" s="17" t="s">
        <v>10</v>
      </c>
      <c r="M2" s="17" t="s">
        <v>12</v>
      </c>
      <c r="N2" s="17" t="s">
        <v>13</v>
      </c>
      <c r="O2" s="17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</row>
    <row r="3" spans="1:23" ht="6" customHeight="1">
      <c r="A3" s="176" t="s">
        <v>22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6"/>
      <c r="S3" s="176"/>
      <c r="T3" s="176"/>
      <c r="U3" s="176"/>
      <c r="V3" s="176"/>
    </row>
    <row r="4" spans="1:23" ht="16.5" customHeight="1">
      <c r="A4" s="176" t="s">
        <v>23</v>
      </c>
      <c r="B4" s="176"/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176"/>
    </row>
    <row r="5" spans="1:23" ht="15" customHeight="1">
      <c r="A5" s="131">
        <v>1</v>
      </c>
      <c r="B5" s="132" t="s">
        <v>24</v>
      </c>
      <c r="C5" s="19" t="s">
        <v>25</v>
      </c>
      <c r="D5" s="20">
        <v>11683667224.25</v>
      </c>
      <c r="E5" s="20">
        <v>39969392.490000002</v>
      </c>
      <c r="F5" s="20">
        <v>3285261513.2800002</v>
      </c>
      <c r="G5" s="20">
        <v>22097890.829999998</v>
      </c>
      <c r="H5" s="21">
        <f>(E5+F5)-G5</f>
        <v>3303133014.9400001</v>
      </c>
      <c r="I5" s="118">
        <v>15450534781.67</v>
      </c>
      <c r="J5" s="23">
        <f t="shared" ref="J5:J24" si="0">(I5/$I$25)</f>
        <v>5.896114662448123E-2</v>
      </c>
      <c r="K5" s="24">
        <v>11713062986.549999</v>
      </c>
      <c r="L5" s="23">
        <f t="shared" ref="L5" si="1">(K5/$K$25)</f>
        <v>5.1223171699821504E-2</v>
      </c>
      <c r="M5" s="23">
        <f t="shared" ref="M5:M25" si="2">((K5-I5)/I5)</f>
        <v>-0.24189918652874157</v>
      </c>
      <c r="N5" s="25">
        <f t="shared" ref="N5" si="3">(G5/K5)</f>
        <v>1.8866022367825393E-3</v>
      </c>
      <c r="O5" s="26">
        <f t="shared" ref="O5" si="4">H5/K5</f>
        <v>0.28200420494049738</v>
      </c>
      <c r="P5" s="27">
        <f t="shared" ref="P5" si="5">K5/V5</f>
        <v>836.14428698564825</v>
      </c>
      <c r="Q5" s="27">
        <f t="shared" ref="Q5" si="6">H5/V5</f>
        <v>235.79620486692679</v>
      </c>
      <c r="R5" s="28">
        <v>836.14</v>
      </c>
      <c r="S5" s="28">
        <v>846.11</v>
      </c>
      <c r="T5" s="28">
        <v>1715</v>
      </c>
      <c r="U5" s="20">
        <v>16604368.039999999</v>
      </c>
      <c r="V5" s="28">
        <v>14008423.15</v>
      </c>
    </row>
    <row r="6" spans="1:23">
      <c r="A6" s="131">
        <v>2</v>
      </c>
      <c r="B6" s="132" t="s">
        <v>26</v>
      </c>
      <c r="C6" s="19" t="s">
        <v>27</v>
      </c>
      <c r="D6" s="28">
        <v>2016408907</v>
      </c>
      <c r="E6" s="116">
        <v>2478868.04</v>
      </c>
      <c r="F6" s="28">
        <v>824596001.79999995</v>
      </c>
      <c r="G6" s="20">
        <v>3071571.52</v>
      </c>
      <c r="H6" s="21">
        <f>(E6+F6)-G6</f>
        <v>824003298.31999993</v>
      </c>
      <c r="I6" s="118">
        <v>2667810797.4299998</v>
      </c>
      <c r="J6" s="23">
        <f t="shared" si="0"/>
        <v>1.0180695090260341E-2</v>
      </c>
      <c r="K6" s="24">
        <v>2039086122.9000001</v>
      </c>
      <c r="L6" s="23">
        <f t="shared" ref="L6:L24" si="7">(K6/$K$25)</f>
        <v>8.9172626070539562E-3</v>
      </c>
      <c r="M6" s="23">
        <f t="shared" ref="M6:M24" si="8">((K6-I6)/I6)</f>
        <v>-0.23567063868834826</v>
      </c>
      <c r="N6" s="25">
        <f t="shared" ref="N6:N24" si="9">(G6/K6)</f>
        <v>1.506347125560147E-3</v>
      </c>
      <c r="O6" s="26">
        <f t="shared" ref="O6:O24" si="10">H6/K6</f>
        <v>0.40410421564151378</v>
      </c>
      <c r="P6" s="27">
        <f t="shared" ref="P6:P24" si="11">K6/V6</f>
        <v>563.74744843171447</v>
      </c>
      <c r="Q6" s="27">
        <f t="shared" ref="Q6:Q24" si="12">H6/V6</f>
        <v>227.81272046840274</v>
      </c>
      <c r="R6" s="28">
        <v>549.61</v>
      </c>
      <c r="S6" s="28">
        <v>557.62</v>
      </c>
      <c r="T6" s="28">
        <v>625</v>
      </c>
      <c r="U6" s="20">
        <v>4183130</v>
      </c>
      <c r="V6" s="20">
        <v>3617020.58</v>
      </c>
    </row>
    <row r="7" spans="1:23">
      <c r="A7" s="117">
        <v>3</v>
      </c>
      <c r="B7" s="19" t="s">
        <v>28</v>
      </c>
      <c r="C7" s="30" t="s">
        <v>29</v>
      </c>
      <c r="D7" s="20">
        <v>16753306412</v>
      </c>
      <c r="E7" s="20">
        <v>171375414</v>
      </c>
      <c r="F7" s="20">
        <v>-2471181828</v>
      </c>
      <c r="G7" s="20">
        <v>263143844</v>
      </c>
      <c r="H7" s="21">
        <f t="shared" ref="H7:H24" si="13">(E7+F7)-G7</f>
        <v>-2562950258</v>
      </c>
      <c r="I7" s="118">
        <v>18230982660</v>
      </c>
      <c r="J7" s="23">
        <f t="shared" si="0"/>
        <v>6.9571678709780566E-2</v>
      </c>
      <c r="K7" s="24">
        <v>18200475206</v>
      </c>
      <c r="L7" s="23">
        <f t="shared" si="7"/>
        <v>7.9593703847218922E-2</v>
      </c>
      <c r="M7" s="23">
        <f t="shared" si="8"/>
        <v>-1.6733850593218655E-3</v>
      </c>
      <c r="N7" s="25">
        <f t="shared" si="9"/>
        <v>1.4458075463505016E-2</v>
      </c>
      <c r="O7" s="26">
        <f t="shared" si="10"/>
        <v>-0.14081776596443446</v>
      </c>
      <c r="P7" s="27">
        <f t="shared" si="11"/>
        <v>69.573379325284122</v>
      </c>
      <c r="Q7" s="27">
        <f t="shared" si="12"/>
        <v>-9.7971678471826831</v>
      </c>
      <c r="R7" s="28">
        <v>69.225499999999997</v>
      </c>
      <c r="S7" s="28">
        <v>71.312700000000007</v>
      </c>
      <c r="T7" s="20">
        <v>12471</v>
      </c>
      <c r="U7" s="20">
        <v>271765093</v>
      </c>
      <c r="V7" s="20">
        <v>261601138</v>
      </c>
    </row>
    <row r="8" spans="1:23">
      <c r="A8" s="117">
        <v>4</v>
      </c>
      <c r="B8" s="31" t="s">
        <v>30</v>
      </c>
      <c r="C8" s="31" t="s">
        <v>31</v>
      </c>
      <c r="D8" s="28">
        <v>2396970567.9000001</v>
      </c>
      <c r="E8" s="28">
        <v>349431.49</v>
      </c>
      <c r="F8" s="28">
        <v>517848779.49000001</v>
      </c>
      <c r="G8" s="28">
        <v>4583944.84</v>
      </c>
      <c r="H8" s="21">
        <f t="shared" si="13"/>
        <v>513614266.14000005</v>
      </c>
      <c r="I8" s="118">
        <v>3249787710.6100001</v>
      </c>
      <c r="J8" s="23">
        <f t="shared" si="0"/>
        <v>1.2401590780600977E-2</v>
      </c>
      <c r="K8" s="22">
        <v>3061318005.1100001</v>
      </c>
      <c r="L8" s="23">
        <f t="shared" si="7"/>
        <v>1.3387652570772353E-2</v>
      </c>
      <c r="M8" s="23">
        <f t="shared" si="8"/>
        <v>-5.7994466803071076E-2</v>
      </c>
      <c r="N8" s="25">
        <f t="shared" si="9"/>
        <v>1.4973762387143078E-3</v>
      </c>
      <c r="O8" s="26">
        <f t="shared" si="10"/>
        <v>0.16777553500899517</v>
      </c>
      <c r="P8" s="27">
        <f t="shared" si="11"/>
        <v>354.84066957823785</v>
      </c>
      <c r="Q8" s="27">
        <f t="shared" si="12"/>
        <v>59.533583181438921</v>
      </c>
      <c r="R8" s="28">
        <v>353.06650000000002</v>
      </c>
      <c r="S8" s="28">
        <v>356.61489999999998</v>
      </c>
      <c r="T8" s="28">
        <v>2711</v>
      </c>
      <c r="U8" s="28">
        <v>8504064.8800000008</v>
      </c>
      <c r="V8" s="28">
        <v>8627303.0899999999</v>
      </c>
    </row>
    <row r="9" spans="1:23">
      <c r="A9" s="131">
        <v>5</v>
      </c>
      <c r="B9" s="132" t="s">
        <v>32</v>
      </c>
      <c r="C9" s="30" t="s">
        <v>33</v>
      </c>
      <c r="D9" s="20">
        <v>11765446563.24</v>
      </c>
      <c r="E9" s="28">
        <v>117449222.42</v>
      </c>
      <c r="F9" s="20">
        <v>-1303040191.79</v>
      </c>
      <c r="G9" s="20">
        <v>15215145.4</v>
      </c>
      <c r="H9" s="21">
        <f t="shared" si="13"/>
        <v>-1200806114.77</v>
      </c>
      <c r="I9" s="118">
        <v>12549062952.27</v>
      </c>
      <c r="J9" s="23">
        <f t="shared" si="0"/>
        <v>4.7888772213013492E-2</v>
      </c>
      <c r="K9" s="24">
        <v>12025212063.57</v>
      </c>
      <c r="L9" s="23">
        <f t="shared" si="7"/>
        <v>5.2588251507425771E-2</v>
      </c>
      <c r="M9" s="23">
        <f t="shared" si="8"/>
        <v>-4.1744223508356965E-2</v>
      </c>
      <c r="N9" s="25">
        <f t="shared" si="9"/>
        <v>1.265270443428919E-3</v>
      </c>
      <c r="O9" s="26">
        <f t="shared" si="10"/>
        <v>-9.9857375356215486E-2</v>
      </c>
      <c r="P9" s="27">
        <f t="shared" si="11"/>
        <v>2.7831994867661369</v>
      </c>
      <c r="Q9" s="27">
        <f t="shared" si="12"/>
        <v>-0.27792299584123242</v>
      </c>
      <c r="R9" s="20">
        <v>27840</v>
      </c>
      <c r="S9" s="28">
        <v>2.7818000000000001</v>
      </c>
      <c r="T9" s="28">
        <v>2864</v>
      </c>
      <c r="U9" s="20">
        <v>4109335316.4299998</v>
      </c>
      <c r="V9" s="20">
        <v>4320643245.5699997</v>
      </c>
    </row>
    <row r="10" spans="1:23">
      <c r="A10" s="117">
        <v>6</v>
      </c>
      <c r="B10" s="32" t="s">
        <v>34</v>
      </c>
      <c r="C10" s="33" t="s">
        <v>35</v>
      </c>
      <c r="D10" s="28">
        <v>680383377.75</v>
      </c>
      <c r="E10" s="28">
        <v>15158577.77</v>
      </c>
      <c r="F10" s="34">
        <v>189518017.22999999</v>
      </c>
      <c r="G10" s="28">
        <v>1031427.83</v>
      </c>
      <c r="H10" s="21">
        <f t="shared" si="13"/>
        <v>203645167.16999999</v>
      </c>
      <c r="I10" s="119">
        <v>778149847.47000003</v>
      </c>
      <c r="J10" s="23">
        <f t="shared" si="0"/>
        <v>2.9695158064643561E-3</v>
      </c>
      <c r="K10" s="34">
        <v>675903709.08000004</v>
      </c>
      <c r="L10" s="23">
        <f t="shared" si="7"/>
        <v>2.9558392866585867E-3</v>
      </c>
      <c r="M10" s="23">
        <f t="shared" si="8"/>
        <v>-0.13139646396183594</v>
      </c>
      <c r="N10" s="25">
        <f t="shared" si="9"/>
        <v>1.5259981801311879E-3</v>
      </c>
      <c r="O10" s="26">
        <f t="shared" si="10"/>
        <v>0.30129316415083696</v>
      </c>
      <c r="P10" s="27">
        <f t="shared" si="11"/>
        <v>364.45859857966752</v>
      </c>
      <c r="Q10" s="27">
        <f t="shared" si="12"/>
        <v>109.80888436804776</v>
      </c>
      <c r="R10" s="28">
        <v>364.46</v>
      </c>
      <c r="S10" s="28">
        <v>367.75</v>
      </c>
      <c r="T10" s="28">
        <v>204</v>
      </c>
      <c r="U10" s="20">
        <v>2397718.7999999998</v>
      </c>
      <c r="V10" s="20">
        <v>1854541.81</v>
      </c>
    </row>
    <row r="11" spans="1:23">
      <c r="A11" s="117">
        <v>7</v>
      </c>
      <c r="B11" s="132" t="s">
        <v>36</v>
      </c>
      <c r="C11" s="111" t="s">
        <v>312</v>
      </c>
      <c r="D11" s="20">
        <v>4018529021.6900001</v>
      </c>
      <c r="E11" s="20">
        <v>15439597.220000001</v>
      </c>
      <c r="F11" s="28"/>
      <c r="G11" s="20">
        <v>7112766.6799999997</v>
      </c>
      <c r="H11" s="21">
        <f t="shared" si="13"/>
        <v>8326830.540000001</v>
      </c>
      <c r="I11" s="118">
        <v>4323251775.8100004</v>
      </c>
      <c r="J11" s="23">
        <f t="shared" si="0"/>
        <v>1.649806207034929E-2</v>
      </c>
      <c r="K11" s="24">
        <v>3986915393.1700001</v>
      </c>
      <c r="L11" s="23">
        <f t="shared" si="7"/>
        <v>1.7435443826394087E-2</v>
      </c>
      <c r="M11" s="23">
        <f t="shared" si="8"/>
        <v>-7.7797084250774334E-2</v>
      </c>
      <c r="N11" s="25">
        <f t="shared" si="9"/>
        <v>1.784027494585139E-3</v>
      </c>
      <c r="O11" s="26">
        <f t="shared" si="10"/>
        <v>2.0885395647634573E-3</v>
      </c>
      <c r="P11" s="27">
        <f t="shared" si="11"/>
        <v>7.7442670476648239</v>
      </c>
      <c r="Q11" s="27">
        <f t="shared" si="12"/>
        <v>1.6174208129141877E-2</v>
      </c>
      <c r="R11" s="28">
        <v>7.64</v>
      </c>
      <c r="S11" s="28">
        <v>7.79</v>
      </c>
      <c r="T11" s="28">
        <v>3844</v>
      </c>
      <c r="U11" s="20">
        <v>509051577</v>
      </c>
      <c r="V11" s="20">
        <v>514821527.80000001</v>
      </c>
    </row>
    <row r="12" spans="1:23">
      <c r="A12" s="117">
        <v>8</v>
      </c>
      <c r="B12" s="19" t="s">
        <v>37</v>
      </c>
      <c r="C12" s="19" t="s">
        <v>323</v>
      </c>
      <c r="D12" s="20">
        <v>6877062041.4499998</v>
      </c>
      <c r="E12" s="20">
        <v>26393805.59</v>
      </c>
      <c r="F12" s="20">
        <v>-486133520.43000001</v>
      </c>
      <c r="G12" s="20">
        <v>11383698.35</v>
      </c>
      <c r="H12" s="21">
        <f t="shared" si="13"/>
        <v>-471123413.19000006</v>
      </c>
      <c r="I12" s="118">
        <v>6755316954.3599997</v>
      </c>
      <c r="J12" s="23">
        <f t="shared" si="0"/>
        <v>2.5779122798609871E-2</v>
      </c>
      <c r="K12" s="24">
        <v>6789262548.25</v>
      </c>
      <c r="L12" s="23">
        <f t="shared" si="7"/>
        <v>2.9690573816901326E-2</v>
      </c>
      <c r="M12" s="23">
        <f t="shared" si="8"/>
        <v>5.0250186807432127E-3</v>
      </c>
      <c r="N12" s="25">
        <f t="shared" si="9"/>
        <v>1.6767208911274555E-3</v>
      </c>
      <c r="O12" s="26">
        <f t="shared" si="10"/>
        <v>-6.9392428093893177E-2</v>
      </c>
      <c r="P12" s="27">
        <f t="shared" si="11"/>
        <v>609.39471077568771</v>
      </c>
      <c r="Q12" s="27">
        <f t="shared" si="12"/>
        <v>-42.287378648300738</v>
      </c>
      <c r="R12" s="28">
        <v>609.39</v>
      </c>
      <c r="S12" s="28">
        <v>617.35</v>
      </c>
      <c r="T12" s="28">
        <v>2893</v>
      </c>
      <c r="U12" s="20">
        <v>10468920.57</v>
      </c>
      <c r="V12" s="20">
        <v>11140993.560000001</v>
      </c>
    </row>
    <row r="13" spans="1:23">
      <c r="A13" s="117">
        <v>9</v>
      </c>
      <c r="B13" s="19" t="s">
        <v>38</v>
      </c>
      <c r="C13" s="30" t="s">
        <v>39</v>
      </c>
      <c r="D13" s="20">
        <v>602872130.22000003</v>
      </c>
      <c r="E13" s="20">
        <v>25941721.359999999</v>
      </c>
      <c r="F13" s="28">
        <v>65549139.960000001</v>
      </c>
      <c r="G13" s="20">
        <v>1843526.51</v>
      </c>
      <c r="H13" s="21">
        <f>(E13+F13-G13)</f>
        <v>89647334.809999987</v>
      </c>
      <c r="I13" s="118">
        <v>645587742.77999997</v>
      </c>
      <c r="J13" s="23">
        <f t="shared" si="0"/>
        <v>2.4636424627953991E-3</v>
      </c>
      <c r="K13" s="24">
        <v>571423767.92999995</v>
      </c>
      <c r="L13" s="23">
        <f t="shared" si="7"/>
        <v>2.4989311345502002E-3</v>
      </c>
      <c r="M13" s="23">
        <f t="shared" si="8"/>
        <v>-0.11487822635950082</v>
      </c>
      <c r="N13" s="25">
        <f t="shared" si="9"/>
        <v>3.2261985123199044E-3</v>
      </c>
      <c r="O13" s="26">
        <f t="shared" si="10"/>
        <v>0.15688415470492276</v>
      </c>
      <c r="P13" s="27">
        <f t="shared" si="11"/>
        <v>285.43002181845424</v>
      </c>
      <c r="Q13" s="27">
        <f t="shared" si="12"/>
        <v>44.779447700395856</v>
      </c>
      <c r="R13" s="28">
        <v>285.43</v>
      </c>
      <c r="S13" s="28">
        <v>297.37</v>
      </c>
      <c r="T13" s="28">
        <v>2475</v>
      </c>
      <c r="U13" s="20">
        <v>2001975</v>
      </c>
      <c r="V13" s="20">
        <v>2001975</v>
      </c>
    </row>
    <row r="14" spans="1:23">
      <c r="A14" s="117">
        <v>10</v>
      </c>
      <c r="B14" s="19" t="s">
        <v>40</v>
      </c>
      <c r="C14" s="19" t="s">
        <v>41</v>
      </c>
      <c r="D14" s="20">
        <v>157027637</v>
      </c>
      <c r="E14" s="20">
        <v>1185139.47</v>
      </c>
      <c r="F14" s="20">
        <v>31479186.059999999</v>
      </c>
      <c r="G14" s="20">
        <v>3973532.21</v>
      </c>
      <c r="H14" s="21">
        <f t="shared" si="13"/>
        <v>28690793.319999997</v>
      </c>
      <c r="I14" s="118">
        <v>158039407.96000001</v>
      </c>
      <c r="J14" s="23">
        <f t="shared" si="0"/>
        <v>6.0309787569492741E-4</v>
      </c>
      <c r="K14" s="24">
        <v>163901277.18000001</v>
      </c>
      <c r="L14" s="23">
        <f t="shared" si="7"/>
        <v>7.1676753317656539E-4</v>
      </c>
      <c r="M14" s="23">
        <f t="shared" si="8"/>
        <v>3.7091186911328129E-2</v>
      </c>
      <c r="N14" s="25">
        <f t="shared" si="9"/>
        <v>2.4243448729421302E-2</v>
      </c>
      <c r="O14" s="26">
        <f t="shared" si="10"/>
        <v>0.17504923581828549</v>
      </c>
      <c r="P14" s="27">
        <f t="shared" si="11"/>
        <v>493.22200339198076</v>
      </c>
      <c r="Q14" s="27">
        <f t="shared" si="12"/>
        <v>86.338134782530048</v>
      </c>
      <c r="R14" s="28">
        <v>484.45</v>
      </c>
      <c r="S14" s="28">
        <v>500.7</v>
      </c>
      <c r="T14" s="28">
        <v>58</v>
      </c>
      <c r="U14" s="20">
        <v>298354.93</v>
      </c>
      <c r="V14" s="20">
        <v>332307.31</v>
      </c>
      <c r="W14" s="12"/>
    </row>
    <row r="15" spans="1:23">
      <c r="A15" s="117">
        <v>11</v>
      </c>
      <c r="B15" s="30" t="s">
        <v>42</v>
      </c>
      <c r="C15" s="30" t="s">
        <v>43</v>
      </c>
      <c r="D15" s="20">
        <v>20355017457.299999</v>
      </c>
      <c r="E15" s="20">
        <v>45736574.990000002</v>
      </c>
      <c r="F15" s="20">
        <v>2451755349.0599999</v>
      </c>
      <c r="G15" s="20">
        <v>39024773.280000001</v>
      </c>
      <c r="H15" s="21">
        <f t="shared" si="13"/>
        <v>2458467150.7699995</v>
      </c>
      <c r="I15" s="118">
        <v>24295875070.889999</v>
      </c>
      <c r="J15" s="23">
        <f t="shared" si="0"/>
        <v>9.2716056283327408E-2</v>
      </c>
      <c r="K15" s="24">
        <v>20296188148</v>
      </c>
      <c r="L15" s="23">
        <f t="shared" si="7"/>
        <v>8.8758604948226572E-2</v>
      </c>
      <c r="M15" s="23">
        <f t="shared" si="8"/>
        <v>-0.16462411463755869</v>
      </c>
      <c r="N15" s="25">
        <f t="shared" si="9"/>
        <v>1.9227636734263094E-3</v>
      </c>
      <c r="O15" s="26">
        <f t="shared" si="10"/>
        <v>0.12112950140404855</v>
      </c>
      <c r="P15" s="27">
        <f t="shared" si="11"/>
        <v>5.3962853030171845</v>
      </c>
      <c r="Q15" s="27">
        <f t="shared" si="12"/>
        <v>0.65364934818846654</v>
      </c>
      <c r="R15" s="28">
        <v>5.39</v>
      </c>
      <c r="S15" s="28">
        <v>5.46</v>
      </c>
      <c r="T15" s="28">
        <v>13505</v>
      </c>
      <c r="U15" s="20">
        <v>4026686963.5500002</v>
      </c>
      <c r="V15" s="20">
        <v>3761140675.1700001</v>
      </c>
    </row>
    <row r="16" spans="1:23">
      <c r="A16" s="117">
        <v>12</v>
      </c>
      <c r="B16" s="32" t="s">
        <v>44</v>
      </c>
      <c r="C16" s="33" t="s">
        <v>45</v>
      </c>
      <c r="D16" s="35">
        <v>193334905.09999999</v>
      </c>
      <c r="E16" s="20">
        <v>33320300.870000001</v>
      </c>
      <c r="F16" s="28">
        <v>0</v>
      </c>
      <c r="G16" s="20">
        <v>2383448.9</v>
      </c>
      <c r="H16" s="21">
        <f t="shared" si="13"/>
        <v>30936851.970000003</v>
      </c>
      <c r="I16" s="119">
        <v>557148557.36000001</v>
      </c>
      <c r="J16" s="23">
        <f t="shared" si="0"/>
        <v>2.1261476218346459E-3</v>
      </c>
      <c r="K16" s="35">
        <v>479470255.5</v>
      </c>
      <c r="L16" s="23">
        <f t="shared" si="7"/>
        <v>2.0968031377134907E-3</v>
      </c>
      <c r="M16" s="23">
        <f t="shared" si="8"/>
        <v>-0.13942116664193099</v>
      </c>
      <c r="N16" s="25">
        <f t="shared" si="9"/>
        <v>4.9710047133466025E-3</v>
      </c>
      <c r="O16" s="26">
        <f t="shared" si="10"/>
        <v>6.4522984721416154E-2</v>
      </c>
      <c r="P16" s="27">
        <f t="shared" si="11"/>
        <v>43.864475475035086</v>
      </c>
      <c r="Q16" s="27">
        <f t="shared" si="12"/>
        <v>2.8302668808886224</v>
      </c>
      <c r="R16" s="28">
        <v>43.864474999999999</v>
      </c>
      <c r="S16" s="28">
        <v>44.316189999999999</v>
      </c>
      <c r="T16" s="28">
        <v>117</v>
      </c>
      <c r="U16" s="35">
        <v>11765228</v>
      </c>
      <c r="V16" s="35">
        <v>10930719</v>
      </c>
    </row>
    <row r="17" spans="1:23">
      <c r="A17" s="117">
        <v>13</v>
      </c>
      <c r="B17" s="19" t="s">
        <v>46</v>
      </c>
      <c r="C17" s="19" t="s">
        <v>47</v>
      </c>
      <c r="D17" s="20">
        <v>9689147119.4899998</v>
      </c>
      <c r="E17" s="20">
        <v>22862346.899999999</v>
      </c>
      <c r="F17" s="20">
        <v>-1183944021.3699999</v>
      </c>
      <c r="G17" s="20">
        <v>14510846.550000001</v>
      </c>
      <c r="H17" s="21">
        <f t="shared" si="13"/>
        <v>-1175592521.0199997</v>
      </c>
      <c r="I17" s="118">
        <v>11441420618.27</v>
      </c>
      <c r="J17" s="23">
        <f t="shared" si="0"/>
        <v>4.3661872433470868E-2</v>
      </c>
      <c r="K17" s="24">
        <v>9541141743.9400005</v>
      </c>
      <c r="L17" s="23">
        <f t="shared" si="7"/>
        <v>4.1724999030857628E-2</v>
      </c>
      <c r="M17" s="23">
        <f t="shared" si="8"/>
        <v>-0.16608766845749715</v>
      </c>
      <c r="N17" s="25">
        <f t="shared" si="9"/>
        <v>1.5208710801531146E-3</v>
      </c>
      <c r="O17" s="26">
        <f t="shared" si="10"/>
        <v>-0.12321298148271095</v>
      </c>
      <c r="P17" s="27">
        <f t="shared" si="11"/>
        <v>44.270984579178439</v>
      </c>
      <c r="Q17" s="27">
        <f t="shared" si="12"/>
        <v>-5.4547600031756955</v>
      </c>
      <c r="R17" s="28">
        <v>43.79</v>
      </c>
      <c r="S17" s="28">
        <v>44.11</v>
      </c>
      <c r="T17" s="28">
        <v>2356</v>
      </c>
      <c r="U17" s="20">
        <v>236003311.37</v>
      </c>
      <c r="V17" s="20">
        <v>215516818.40000001</v>
      </c>
    </row>
    <row r="18" spans="1:23">
      <c r="A18" s="117">
        <v>14</v>
      </c>
      <c r="B18" s="31" t="s">
        <v>48</v>
      </c>
      <c r="C18" s="31" t="s">
        <v>49</v>
      </c>
      <c r="D18" s="20">
        <v>377324688.48000002</v>
      </c>
      <c r="E18" s="20">
        <v>2721934.6</v>
      </c>
      <c r="F18" s="20">
        <v>153482327.31999999</v>
      </c>
      <c r="G18" s="20">
        <v>536008.68999999994</v>
      </c>
      <c r="H18" s="21">
        <f t="shared" si="13"/>
        <v>155668253.22999999</v>
      </c>
      <c r="I18" s="118">
        <v>347110844.19</v>
      </c>
      <c r="J18" s="23">
        <f t="shared" si="0"/>
        <v>1.3246177992178169E-3</v>
      </c>
      <c r="K18" s="24">
        <v>405582366.99000001</v>
      </c>
      <c r="L18" s="23">
        <f t="shared" si="7"/>
        <v>1.7736791176317223E-3</v>
      </c>
      <c r="M18" s="23">
        <f t="shared" si="8"/>
        <v>0.16845201980493046</v>
      </c>
      <c r="N18" s="25">
        <f t="shared" si="9"/>
        <v>1.3215778929886656E-3</v>
      </c>
      <c r="O18" s="26">
        <f t="shared" si="10"/>
        <v>0.38381415441031275</v>
      </c>
      <c r="P18" s="27">
        <f t="shared" si="11"/>
        <v>3.6582129238745296</v>
      </c>
      <c r="Q18" s="27">
        <f t="shared" si="12"/>
        <v>1.4040739000297804</v>
      </c>
      <c r="R18" s="28">
        <v>3.01</v>
      </c>
      <c r="S18" s="28">
        <v>3.06</v>
      </c>
      <c r="T18" s="28">
        <v>45</v>
      </c>
      <c r="U18" s="20">
        <v>108113998.09999999</v>
      </c>
      <c r="V18" s="20">
        <v>110868988.61</v>
      </c>
    </row>
    <row r="19" spans="1:23">
      <c r="A19" s="117">
        <v>15</v>
      </c>
      <c r="B19" s="19" t="s">
        <v>50</v>
      </c>
      <c r="C19" s="19" t="s">
        <v>51</v>
      </c>
      <c r="D19" s="20">
        <v>21096927630.689999</v>
      </c>
      <c r="E19" s="20">
        <v>403672527.88999999</v>
      </c>
      <c r="F19" s="20">
        <v>-5031596345.5</v>
      </c>
      <c r="G19" s="20">
        <v>39525973.759999998</v>
      </c>
      <c r="H19" s="21">
        <f t="shared" si="13"/>
        <v>-4667449791.3699999</v>
      </c>
      <c r="I19" s="118">
        <v>25762550082.68</v>
      </c>
      <c r="J19" s="23">
        <f t="shared" si="0"/>
        <v>9.8313069049720855E-2</v>
      </c>
      <c r="K19" s="24">
        <v>20982432201.330002</v>
      </c>
      <c r="L19" s="23">
        <f t="shared" si="7"/>
        <v>9.1759664279339917E-2</v>
      </c>
      <c r="M19" s="23">
        <f t="shared" si="8"/>
        <v>-0.18554521450745831</v>
      </c>
      <c r="N19" s="25">
        <f t="shared" si="9"/>
        <v>1.8837651126781473E-3</v>
      </c>
      <c r="O19" s="26">
        <f t="shared" si="10"/>
        <v>-0.22244560337834177</v>
      </c>
      <c r="P19" s="27">
        <f t="shared" si="11"/>
        <v>66.117474806049003</v>
      </c>
      <c r="Q19" s="27">
        <f t="shared" si="12"/>
        <v>-14.707541577083882</v>
      </c>
      <c r="R19" s="28">
        <v>66.117500000000007</v>
      </c>
      <c r="S19" s="28">
        <v>66.478300000000004</v>
      </c>
      <c r="T19" s="28">
        <v>17164</v>
      </c>
      <c r="U19" s="20">
        <v>328440391</v>
      </c>
      <c r="V19" s="20">
        <v>317350780</v>
      </c>
    </row>
    <row r="20" spans="1:23">
      <c r="A20" s="117">
        <v>16</v>
      </c>
      <c r="B20" s="30" t="s">
        <v>52</v>
      </c>
      <c r="C20" s="19" t="s">
        <v>53</v>
      </c>
      <c r="D20" s="20">
        <v>4238435159.9699998</v>
      </c>
      <c r="E20" s="20">
        <v>63248510.409999996</v>
      </c>
      <c r="F20" s="20">
        <v>-582176125.50999999</v>
      </c>
      <c r="G20" s="20">
        <v>6467213.9100000001</v>
      </c>
      <c r="H20" s="21">
        <f t="shared" si="13"/>
        <v>-525394829.01000005</v>
      </c>
      <c r="I20" s="118">
        <v>3566018924.3200002</v>
      </c>
      <c r="J20" s="23">
        <f t="shared" si="0"/>
        <v>1.360836810075647E-2</v>
      </c>
      <c r="K20" s="24">
        <v>4255664744.8600001</v>
      </c>
      <c r="L20" s="23">
        <f t="shared" si="7"/>
        <v>1.8610729420063324E-2</v>
      </c>
      <c r="M20" s="23">
        <f t="shared" si="8"/>
        <v>0.19339376351501211</v>
      </c>
      <c r="N20" s="25">
        <f t="shared" si="9"/>
        <v>1.5196718486368348E-3</v>
      </c>
      <c r="O20" s="26">
        <f t="shared" si="10"/>
        <v>-0.12345775819032101</v>
      </c>
      <c r="P20" s="27">
        <f t="shared" si="11"/>
        <v>16315.021671091929</v>
      </c>
      <c r="Q20" s="27">
        <f t="shared" si="12"/>
        <v>-2014.2160003395143</v>
      </c>
      <c r="R20" s="20">
        <v>16177.94</v>
      </c>
      <c r="S20" s="20">
        <v>16408.97</v>
      </c>
      <c r="T20" s="28">
        <v>88</v>
      </c>
      <c r="U20" s="20">
        <v>286639.43</v>
      </c>
      <c r="V20" s="20">
        <v>260843.34</v>
      </c>
    </row>
    <row r="21" spans="1:23">
      <c r="A21" s="117">
        <v>17</v>
      </c>
      <c r="B21" s="19" t="s">
        <v>54</v>
      </c>
      <c r="C21" s="19" t="s">
        <v>53</v>
      </c>
      <c r="D21" s="20">
        <v>65229630809.07</v>
      </c>
      <c r="E21" s="20">
        <v>1630293365.54</v>
      </c>
      <c r="F21" s="20">
        <v>-7252760340.5699997</v>
      </c>
      <c r="G21" s="20">
        <v>239990169.91999999</v>
      </c>
      <c r="H21" s="21">
        <f t="shared" si="13"/>
        <v>-5862457144.9499998</v>
      </c>
      <c r="I21" s="118">
        <v>77321217265.649994</v>
      </c>
      <c r="J21" s="23">
        <f t="shared" si="0"/>
        <v>0.29506730302901507</v>
      </c>
      <c r="K21" s="24">
        <v>66227834845.010002</v>
      </c>
      <c r="L21" s="23">
        <f t="shared" si="7"/>
        <v>0.28962533194509665</v>
      </c>
      <c r="M21" s="23">
        <f t="shared" si="8"/>
        <v>-0.14347138874607754</v>
      </c>
      <c r="N21" s="25">
        <f t="shared" si="9"/>
        <v>3.6237055081392603E-3</v>
      </c>
      <c r="O21" s="26">
        <f t="shared" si="10"/>
        <v>-8.8519535006234801E-2</v>
      </c>
      <c r="P21" s="27">
        <f t="shared" si="11"/>
        <v>59237.411544606752</v>
      </c>
      <c r="Q21" s="27">
        <f t="shared" si="12"/>
        <v>-5243.6681249015546</v>
      </c>
      <c r="R21" s="20">
        <v>58794.95</v>
      </c>
      <c r="S21" s="20">
        <v>59540.66</v>
      </c>
      <c r="T21" s="28">
        <v>33242</v>
      </c>
      <c r="U21" s="20">
        <v>1187382.6299999999</v>
      </c>
      <c r="V21" s="20">
        <v>1118006.8999999999</v>
      </c>
    </row>
    <row r="22" spans="1:23">
      <c r="A22" s="117">
        <v>18</v>
      </c>
      <c r="B22" s="19" t="s">
        <v>55</v>
      </c>
      <c r="C22" s="19" t="s">
        <v>56</v>
      </c>
      <c r="D22" s="28">
        <v>14879426011</v>
      </c>
      <c r="E22" s="28">
        <v>77949413</v>
      </c>
      <c r="F22" s="28">
        <v>-1543572491</v>
      </c>
      <c r="G22" s="28">
        <v>28556257</v>
      </c>
      <c r="H22" s="21">
        <f t="shared" ref="H22" si="14">(E22+F22)-G22</f>
        <v>-1494179335</v>
      </c>
      <c r="I22" s="118">
        <v>18891089162.119999</v>
      </c>
      <c r="J22" s="23">
        <f t="shared" si="0"/>
        <v>7.2090726549176046E-2</v>
      </c>
      <c r="K22" s="22">
        <v>16886569563</v>
      </c>
      <c r="L22" s="23">
        <f t="shared" si="7"/>
        <v>7.3847776037726548E-2</v>
      </c>
      <c r="M22" s="23">
        <f t="shared" si="8"/>
        <v>-0.106109265692283</v>
      </c>
      <c r="N22" s="25">
        <f t="shared" si="9"/>
        <v>1.6910632377679206E-3</v>
      </c>
      <c r="O22" s="26">
        <f t="shared" si="10"/>
        <v>-8.8483296114438892E-2</v>
      </c>
      <c r="P22" s="27">
        <f t="shared" si="11"/>
        <v>2.6800252598154941</v>
      </c>
      <c r="Q22" s="27">
        <f t="shared" si="12"/>
        <v>-0.23713746865843041</v>
      </c>
      <c r="R22" s="28">
        <v>5.36</v>
      </c>
      <c r="S22" s="28">
        <v>2.7</v>
      </c>
      <c r="T22" s="28">
        <v>4651</v>
      </c>
      <c r="U22" s="28">
        <v>6545853407</v>
      </c>
      <c r="V22" s="28">
        <v>6300899404.2700005</v>
      </c>
    </row>
    <row r="23" spans="1:23">
      <c r="A23" s="117">
        <v>19</v>
      </c>
      <c r="B23" s="32" t="s">
        <v>57</v>
      </c>
      <c r="C23" s="32" t="s">
        <v>58</v>
      </c>
      <c r="D23" s="28">
        <v>8384279968.8500004</v>
      </c>
      <c r="E23" s="28">
        <v>334848515.43000001</v>
      </c>
      <c r="F23" s="20">
        <v>-1600363636.77</v>
      </c>
      <c r="G23" s="20">
        <v>17161661.43</v>
      </c>
      <c r="H23" s="21">
        <f t="shared" si="13"/>
        <v>-1282676782.77</v>
      </c>
      <c r="I23" s="118">
        <v>11786579782.01</v>
      </c>
      <c r="J23" s="23">
        <f t="shared" si="0"/>
        <v>4.4979042379342332E-2</v>
      </c>
      <c r="K23" s="22">
        <v>8316491893.6700001</v>
      </c>
      <c r="L23" s="23">
        <f t="shared" si="7"/>
        <v>3.6369401641466508E-2</v>
      </c>
      <c r="M23" s="23">
        <f t="shared" si="8"/>
        <v>-0.29441007930361929</v>
      </c>
      <c r="N23" s="25">
        <f t="shared" si="9"/>
        <v>2.0635697899329879E-3</v>
      </c>
      <c r="O23" s="26">
        <f t="shared" si="10"/>
        <v>-0.15423291445113946</v>
      </c>
      <c r="P23" s="27">
        <f t="shared" si="11"/>
        <v>1.8617432898087609</v>
      </c>
      <c r="Q23" s="27">
        <f t="shared" si="12"/>
        <v>-0.28714209354705755</v>
      </c>
      <c r="R23" s="28">
        <v>1.8616999999999999</v>
      </c>
      <c r="S23" s="28">
        <v>1.8875999999999999</v>
      </c>
      <c r="T23" s="28">
        <v>1655</v>
      </c>
      <c r="U23" s="28">
        <v>6175725877</v>
      </c>
      <c r="V23" s="28">
        <v>4467045451</v>
      </c>
    </row>
    <row r="24" spans="1:23">
      <c r="A24" s="117">
        <v>20</v>
      </c>
      <c r="B24" s="33" t="s">
        <v>59</v>
      </c>
      <c r="C24" s="33" t="s">
        <v>60</v>
      </c>
      <c r="D24" s="20">
        <v>22466578668</v>
      </c>
      <c r="E24" s="20">
        <v>72454403</v>
      </c>
      <c r="F24" s="20">
        <v>-2493489381.1100001</v>
      </c>
      <c r="G24" s="20">
        <v>46085866.469999999</v>
      </c>
      <c r="H24" s="21">
        <f t="shared" si="13"/>
        <v>-2467120844.5799999</v>
      </c>
      <c r="I24" s="118">
        <v>23268501583</v>
      </c>
      <c r="J24" s="23">
        <f t="shared" si="0"/>
        <v>8.8795472322088009E-2</v>
      </c>
      <c r="K24" s="24">
        <v>22049336149</v>
      </c>
      <c r="L24" s="23">
        <f t="shared" si="7"/>
        <v>9.6425412611904335E-2</v>
      </c>
      <c r="M24" s="23">
        <f t="shared" si="8"/>
        <v>-5.2395528334782157E-2</v>
      </c>
      <c r="N24" s="25">
        <f t="shared" si="9"/>
        <v>2.0901248980273778E-3</v>
      </c>
      <c r="O24" s="26">
        <f t="shared" si="10"/>
        <v>-0.11189093530563689</v>
      </c>
      <c r="P24" s="27">
        <f t="shared" si="11"/>
        <v>330.33276505897584</v>
      </c>
      <c r="Q24" s="27">
        <f t="shared" si="12"/>
        <v>-36.961242044546019</v>
      </c>
      <c r="R24" s="28">
        <v>327.05</v>
      </c>
      <c r="S24" s="28">
        <v>332.6</v>
      </c>
      <c r="T24" s="28">
        <v>183</v>
      </c>
      <c r="U24" s="20">
        <v>63890057</v>
      </c>
      <c r="V24" s="20">
        <v>66748862</v>
      </c>
    </row>
    <row r="25" spans="1:23">
      <c r="A25" s="177" t="s">
        <v>61</v>
      </c>
      <c r="B25" s="177"/>
      <c r="C25" s="177"/>
      <c r="D25" s="177"/>
      <c r="E25" s="177"/>
      <c r="F25" s="177"/>
      <c r="G25" s="177"/>
      <c r="H25" s="177"/>
      <c r="I25" s="37">
        <f>SUM(I5:I24)</f>
        <v>262046036520.85001</v>
      </c>
      <c r="J25" s="38">
        <f>(I25/$I$247)</f>
        <v>2.8940498792074394E-2</v>
      </c>
      <c r="K25" s="37">
        <f>SUM(K5:K24)</f>
        <v>228667272991.04001</v>
      </c>
      <c r="L25" s="38">
        <f>(K25/$K$247)</f>
        <v>2.4874486275165961E-2</v>
      </c>
      <c r="M25" s="38">
        <f t="shared" si="2"/>
        <v>-0.12737747906045577</v>
      </c>
      <c r="N25" s="25"/>
      <c r="O25" s="25"/>
      <c r="P25" s="39"/>
      <c r="Q25" s="39"/>
      <c r="R25" s="40"/>
      <c r="S25" s="40"/>
      <c r="T25" s="40">
        <f>SUM(T5:T24)</f>
        <v>102866</v>
      </c>
      <c r="U25" s="40"/>
      <c r="V25" s="40"/>
    </row>
    <row r="26" spans="1:23" ht="6" customHeight="1">
      <c r="A26" s="178"/>
      <c r="B26" s="178"/>
      <c r="C26" s="178"/>
      <c r="D26" s="178"/>
      <c r="E26" s="178"/>
      <c r="F26" s="178"/>
      <c r="G26" s="178"/>
      <c r="H26" s="178"/>
      <c r="I26" s="178"/>
      <c r="J26" s="178"/>
      <c r="K26" s="178"/>
      <c r="L26" s="178"/>
      <c r="M26" s="178"/>
      <c r="N26" s="178"/>
      <c r="O26" s="178"/>
      <c r="P26" s="178"/>
      <c r="Q26" s="178"/>
      <c r="R26" s="178"/>
      <c r="S26" s="178"/>
      <c r="T26" s="178"/>
      <c r="U26" s="178"/>
      <c r="V26" s="178"/>
      <c r="W26" s="14"/>
    </row>
    <row r="27" spans="1:23">
      <c r="A27" s="176" t="s">
        <v>62</v>
      </c>
      <c r="B27" s="176"/>
      <c r="C27" s="176"/>
      <c r="D27" s="176"/>
      <c r="E27" s="176"/>
      <c r="F27" s="176"/>
      <c r="G27" s="176"/>
      <c r="H27" s="176"/>
      <c r="I27" s="176"/>
      <c r="J27" s="176"/>
      <c r="K27" s="176"/>
      <c r="L27" s="176"/>
      <c r="M27" s="176"/>
      <c r="N27" s="176"/>
      <c r="O27" s="176"/>
      <c r="P27" s="176"/>
      <c r="Q27" s="176"/>
      <c r="R27" s="176"/>
      <c r="S27" s="176"/>
      <c r="T27" s="176"/>
      <c r="U27" s="176"/>
      <c r="V27" s="176"/>
    </row>
    <row r="28" spans="1:23" ht="13.05" customHeight="1">
      <c r="A28" s="29">
        <v>21</v>
      </c>
      <c r="B28" s="19" t="s">
        <v>63</v>
      </c>
      <c r="C28" s="19" t="s">
        <v>25</v>
      </c>
      <c r="D28" s="20">
        <v>6764651144.9799995</v>
      </c>
      <c r="E28" s="20">
        <v>92065506.950000003</v>
      </c>
      <c r="F28" s="28">
        <v>0</v>
      </c>
      <c r="G28" s="20">
        <v>11326165.369999999</v>
      </c>
      <c r="H28" s="21">
        <f t="shared" ref="H28:H41" si="15">(E28+F28)-G28</f>
        <v>80739341.579999998</v>
      </c>
      <c r="I28" s="120">
        <v>5892343612.2399998</v>
      </c>
      <c r="J28" s="23">
        <f>(I28/$I$75)</f>
        <v>1.0096338904689711E-3</v>
      </c>
      <c r="K28" s="42">
        <v>6560383146.75</v>
      </c>
      <c r="L28" s="23">
        <f>(K28/$K$75)</f>
        <v>1.0913693990481858E-3</v>
      </c>
      <c r="M28" s="23">
        <f t="shared" ref="M28:M75" si="16">((K28-I28)/I28)</f>
        <v>0.11337416458916287</v>
      </c>
      <c r="N28" s="25">
        <f t="shared" ref="N28" si="17">(G28/K28)</f>
        <v>1.7264487632267268E-3</v>
      </c>
      <c r="O28" s="26">
        <f t="shared" ref="O28" si="18">H28/K28</f>
        <v>1.2307107645076813E-2</v>
      </c>
      <c r="P28" s="43">
        <f t="shared" ref="P28" si="19">K28/V28</f>
        <v>100.23336580821854</v>
      </c>
      <c r="Q28" s="43">
        <f t="shared" ref="Q28" si="20">H28/V28</f>
        <v>1.2335828226301071</v>
      </c>
      <c r="R28" s="28">
        <v>100</v>
      </c>
      <c r="S28" s="28">
        <v>100</v>
      </c>
      <c r="T28" s="28">
        <v>926</v>
      </c>
      <c r="U28" s="44">
        <v>58770370</v>
      </c>
      <c r="V28" s="44">
        <v>65451091</v>
      </c>
    </row>
    <row r="29" spans="1:23" ht="15" customHeight="1">
      <c r="A29" s="29">
        <v>22</v>
      </c>
      <c r="B29" s="19" t="s">
        <v>64</v>
      </c>
      <c r="C29" s="19" t="s">
        <v>65</v>
      </c>
      <c r="D29" s="20">
        <v>42057363200.949997</v>
      </c>
      <c r="E29" s="20">
        <v>713460121.11000001</v>
      </c>
      <c r="F29" s="28">
        <v>0</v>
      </c>
      <c r="G29" s="20">
        <v>65738483.229999997</v>
      </c>
      <c r="H29" s="21">
        <f t="shared" si="15"/>
        <v>647721637.88</v>
      </c>
      <c r="I29" s="120">
        <v>40910524892.449997</v>
      </c>
      <c r="J29" s="23">
        <f t="shared" ref="J29:J74" si="21">(I29/$I$75)</f>
        <v>7.0098852216444038E-3</v>
      </c>
      <c r="K29" s="42">
        <v>42779092178.110001</v>
      </c>
      <c r="L29" s="23">
        <f t="shared" ref="L29:L74" si="22">(K29/$K$75)</f>
        <v>7.1166258247248697E-3</v>
      </c>
      <c r="M29" s="23">
        <f t="shared" ref="M29:M74" si="23">((K29-I29)/I29)</f>
        <v>4.5674488180542663E-2</v>
      </c>
      <c r="N29" s="25">
        <f t="shared" ref="N29:N74" si="24">(G29/K29)</f>
        <v>1.5366965469089193E-3</v>
      </c>
      <c r="O29" s="26">
        <f t="shared" ref="O29:O74" si="25">H29/K29</f>
        <v>1.5141079553142978E-2</v>
      </c>
      <c r="P29" s="43">
        <f t="shared" ref="P29:P74" si="26">K29/V29</f>
        <v>104.1025331435233</v>
      </c>
      <c r="Q29" s="43">
        <f t="shared" ref="Q29:Q74" si="27">H29/V29</f>
        <v>1.5762247360097896</v>
      </c>
      <c r="R29" s="28">
        <v>100</v>
      </c>
      <c r="S29" s="28">
        <v>100</v>
      </c>
      <c r="T29" s="28">
        <v>5218</v>
      </c>
      <c r="U29" s="44">
        <v>397743638.56</v>
      </c>
      <c r="V29" s="44">
        <v>410932288.44999999</v>
      </c>
    </row>
    <row r="30" spans="1:23" ht="15" customHeight="1">
      <c r="A30" s="110">
        <v>23</v>
      </c>
      <c r="B30" s="19" t="s">
        <v>66</v>
      </c>
      <c r="C30" s="19" t="s">
        <v>67</v>
      </c>
      <c r="D30" s="28">
        <v>1135524524.6600001</v>
      </c>
      <c r="E30" s="28">
        <v>29534187.800000001</v>
      </c>
      <c r="F30" s="28">
        <v>0</v>
      </c>
      <c r="G30" s="28">
        <v>3341122</v>
      </c>
      <c r="H30" s="21">
        <f t="shared" si="15"/>
        <v>26193065.800000001</v>
      </c>
      <c r="I30" s="120">
        <v>1698506835.0999999</v>
      </c>
      <c r="J30" s="23">
        <f t="shared" si="21"/>
        <v>2.9103361527455743E-4</v>
      </c>
      <c r="K30" s="41">
        <v>2109991655.55</v>
      </c>
      <c r="L30" s="23">
        <f t="shared" si="22"/>
        <v>3.5101308469385399E-4</v>
      </c>
      <c r="M30" s="23">
        <f t="shared" si="23"/>
        <v>0.24226268151919084</v>
      </c>
      <c r="N30" s="25">
        <f t="shared" si="24"/>
        <v>1.5834764043789965E-3</v>
      </c>
      <c r="O30" s="26">
        <f t="shared" si="25"/>
        <v>1.241382435380883E-2</v>
      </c>
      <c r="P30" s="43">
        <f t="shared" si="26"/>
        <v>0.99827744915040206</v>
      </c>
      <c r="Q30" s="43">
        <f t="shared" si="27"/>
        <v>1.2392440910121417E-2</v>
      </c>
      <c r="R30" s="28">
        <v>1</v>
      </c>
      <c r="S30" s="28">
        <v>1</v>
      </c>
      <c r="T30" s="28">
        <v>223</v>
      </c>
      <c r="U30" s="45">
        <v>1705478144</v>
      </c>
      <c r="V30" s="45">
        <v>2113632495</v>
      </c>
    </row>
    <row r="31" spans="1:23">
      <c r="A31" s="110">
        <v>24</v>
      </c>
      <c r="B31" s="19" t="s">
        <v>68</v>
      </c>
      <c r="C31" s="19" t="s">
        <v>27</v>
      </c>
      <c r="D31" s="20">
        <v>3902920048.0500002</v>
      </c>
      <c r="E31" s="20">
        <v>53825422.18</v>
      </c>
      <c r="F31" s="28">
        <v>0</v>
      </c>
      <c r="G31" s="20">
        <v>4927251.9000000004</v>
      </c>
      <c r="H31" s="21">
        <f t="shared" si="15"/>
        <v>48898170.280000001</v>
      </c>
      <c r="I31" s="120">
        <v>3612153005.73</v>
      </c>
      <c r="J31" s="23">
        <f t="shared" si="21"/>
        <v>6.1893065512483975E-4</v>
      </c>
      <c r="K31" s="42">
        <v>4007341796.5900002</v>
      </c>
      <c r="L31" s="23">
        <f t="shared" si="22"/>
        <v>6.6665164373695511E-4</v>
      </c>
      <c r="M31" s="23">
        <f t="shared" si="23"/>
        <v>0.10940532979447648</v>
      </c>
      <c r="N31" s="25">
        <f t="shared" si="24"/>
        <v>1.2295561871445023E-3</v>
      </c>
      <c r="O31" s="26">
        <f t="shared" si="25"/>
        <v>1.2202146151249019E-2</v>
      </c>
      <c r="P31" s="43">
        <f t="shared" si="26"/>
        <v>127.4667697509738</v>
      </c>
      <c r="Q31" s="43">
        <f t="shared" si="27"/>
        <v>1.5553681539289899</v>
      </c>
      <c r="R31" s="28">
        <v>100</v>
      </c>
      <c r="S31" s="28">
        <v>100</v>
      </c>
      <c r="T31" s="28">
        <v>2068</v>
      </c>
      <c r="U31" s="44">
        <v>28357655.129999999</v>
      </c>
      <c r="V31" s="44">
        <v>31438325.489999998</v>
      </c>
    </row>
    <row r="32" spans="1:23">
      <c r="A32" s="110">
        <v>25</v>
      </c>
      <c r="B32" s="19" t="s">
        <v>69</v>
      </c>
      <c r="C32" s="19" t="s">
        <v>70</v>
      </c>
      <c r="D32" s="20">
        <v>618693235.75999999</v>
      </c>
      <c r="E32" s="20">
        <v>33138152.449999999</v>
      </c>
      <c r="F32" s="28">
        <v>0</v>
      </c>
      <c r="G32" s="20">
        <v>6064317.4699999997</v>
      </c>
      <c r="H32" s="21">
        <f t="shared" si="15"/>
        <v>27073834.98</v>
      </c>
      <c r="I32" s="120">
        <v>1380669724.23</v>
      </c>
      <c r="J32" s="23">
        <f t="shared" si="21"/>
        <v>2.3657326131344407E-4</v>
      </c>
      <c r="K32" s="42">
        <v>1394339224.3499999</v>
      </c>
      <c r="L32" s="23">
        <f t="shared" si="22"/>
        <v>2.3195888522182416E-4</v>
      </c>
      <c r="M32" s="23">
        <f t="shared" si="23"/>
        <v>9.900630020422423E-3</v>
      </c>
      <c r="N32" s="25">
        <f t="shared" si="24"/>
        <v>4.34924110581986E-3</v>
      </c>
      <c r="O32" s="26">
        <f t="shared" si="25"/>
        <v>1.9416964327759644E-2</v>
      </c>
      <c r="P32" s="43">
        <f t="shared" si="26"/>
        <v>100.00000002510149</v>
      </c>
      <c r="Q32" s="43">
        <f t="shared" si="27"/>
        <v>1.9416964332633591</v>
      </c>
      <c r="R32" s="28">
        <v>100</v>
      </c>
      <c r="S32" s="28">
        <v>100</v>
      </c>
      <c r="T32" s="28">
        <v>175</v>
      </c>
      <c r="U32" s="44">
        <v>13806697.24</v>
      </c>
      <c r="V32" s="44">
        <v>13943392.24</v>
      </c>
    </row>
    <row r="33" spans="1:22">
      <c r="A33" s="110">
        <v>26</v>
      </c>
      <c r="B33" s="19" t="s">
        <v>71</v>
      </c>
      <c r="C33" s="30" t="s">
        <v>72</v>
      </c>
      <c r="D33" s="20">
        <v>164698488679</v>
      </c>
      <c r="E33" s="20">
        <v>6327291917</v>
      </c>
      <c r="F33" s="28">
        <v>0</v>
      </c>
      <c r="G33" s="20">
        <v>6327291917</v>
      </c>
      <c r="H33" s="21">
        <f t="shared" si="15"/>
        <v>0</v>
      </c>
      <c r="I33" s="120">
        <v>405313077838</v>
      </c>
      <c r="J33" s="23">
        <f t="shared" si="21"/>
        <v>6.9449076049379777E-2</v>
      </c>
      <c r="K33" s="42">
        <v>417819034405</v>
      </c>
      <c r="L33" s="23">
        <f t="shared" si="22"/>
        <v>6.9507359294308443E-2</v>
      </c>
      <c r="M33" s="23">
        <f t="shared" si="23"/>
        <v>3.0855053169536559E-2</v>
      </c>
      <c r="N33" s="25">
        <f t="shared" si="24"/>
        <v>1.5143618159977926E-2</v>
      </c>
      <c r="O33" s="26">
        <f t="shared" si="25"/>
        <v>0</v>
      </c>
      <c r="P33" s="43">
        <f t="shared" si="26"/>
        <v>1</v>
      </c>
      <c r="Q33" s="43">
        <f t="shared" si="27"/>
        <v>0</v>
      </c>
      <c r="R33" s="28">
        <v>1</v>
      </c>
      <c r="S33" s="28">
        <v>1</v>
      </c>
      <c r="T33" s="28">
        <v>86739</v>
      </c>
      <c r="U33" s="44">
        <v>409672165072</v>
      </c>
      <c r="V33" s="44">
        <v>417819034405</v>
      </c>
    </row>
    <row r="34" spans="1:22">
      <c r="A34" s="110">
        <v>27</v>
      </c>
      <c r="B34" s="19" t="s">
        <v>73</v>
      </c>
      <c r="C34" s="30" t="s">
        <v>74</v>
      </c>
      <c r="D34" s="20">
        <v>1261697968.3599999</v>
      </c>
      <c r="E34" s="20">
        <v>39647205.780000001</v>
      </c>
      <c r="F34" s="28">
        <v>0</v>
      </c>
      <c r="G34" s="20">
        <v>4637039.59</v>
      </c>
      <c r="H34" s="21">
        <f t="shared" si="15"/>
        <v>35010166.189999998</v>
      </c>
      <c r="I34" s="120">
        <v>2146337845.7</v>
      </c>
      <c r="J34" s="23">
        <f t="shared" si="21"/>
        <v>3.6776800064975866E-4</v>
      </c>
      <c r="K34" s="42">
        <v>2129957913.8699999</v>
      </c>
      <c r="L34" s="23">
        <f t="shared" si="22"/>
        <v>3.543346229114403E-4</v>
      </c>
      <c r="M34" s="23">
        <f t="shared" si="23"/>
        <v>-7.6315720112823436E-3</v>
      </c>
      <c r="N34" s="25">
        <f t="shared" si="24"/>
        <v>2.1770569079342934E-3</v>
      </c>
      <c r="O34" s="26">
        <f t="shared" si="25"/>
        <v>1.6437022516744813E-2</v>
      </c>
      <c r="P34" s="43">
        <f t="shared" si="26"/>
        <v>0.94730250775564206</v>
      </c>
      <c r="Q34" s="43">
        <f t="shared" si="27"/>
        <v>1.5570832650148317E-2</v>
      </c>
      <c r="R34" s="28">
        <v>1</v>
      </c>
      <c r="S34" s="28">
        <v>1</v>
      </c>
      <c r="T34" s="28">
        <v>419</v>
      </c>
      <c r="U34" s="44">
        <v>2241725075</v>
      </c>
      <c r="V34" s="44">
        <v>2248445345</v>
      </c>
    </row>
    <row r="35" spans="1:22" ht="15" customHeight="1">
      <c r="A35" s="110">
        <v>28</v>
      </c>
      <c r="B35" s="19" t="s">
        <v>75</v>
      </c>
      <c r="C35" s="19" t="s">
        <v>31</v>
      </c>
      <c r="D35" s="20">
        <v>49570563009.870003</v>
      </c>
      <c r="E35" s="20">
        <v>2453136854.8000002</v>
      </c>
      <c r="F35" s="28">
        <v>0</v>
      </c>
      <c r="G35" s="20">
        <v>229065116.15000001</v>
      </c>
      <c r="H35" s="21">
        <f t="shared" si="15"/>
        <v>2224071738.6500001</v>
      </c>
      <c r="I35" s="120">
        <v>172769901135.07001</v>
      </c>
      <c r="J35" s="23">
        <f t="shared" si="21"/>
        <v>2.960355996153936E-2</v>
      </c>
      <c r="K35" s="42">
        <v>176183407003.82001</v>
      </c>
      <c r="L35" s="23">
        <f t="shared" si="22"/>
        <v>2.9309443476525705E-2</v>
      </c>
      <c r="M35" s="23">
        <f t="shared" si="23"/>
        <v>1.9757526318669075E-2</v>
      </c>
      <c r="N35" s="25">
        <f t="shared" si="24"/>
        <v>1.3001514730898206E-3</v>
      </c>
      <c r="O35" s="26">
        <f t="shared" si="25"/>
        <v>1.2623616357934193E-2</v>
      </c>
      <c r="P35" s="43">
        <f t="shared" si="26"/>
        <v>1.0382366457292722</v>
      </c>
      <c r="Q35" s="43">
        <f t="shared" si="27"/>
        <v>1.3106301104434771E-2</v>
      </c>
      <c r="R35" s="28">
        <v>1</v>
      </c>
      <c r="S35" s="28">
        <v>1</v>
      </c>
      <c r="T35" s="28">
        <v>41308</v>
      </c>
      <c r="U35" s="44">
        <v>168366821585.53</v>
      </c>
      <c r="V35" s="44">
        <v>169694845321.19</v>
      </c>
    </row>
    <row r="36" spans="1:22" ht="15" customHeight="1">
      <c r="A36" s="110">
        <v>29</v>
      </c>
      <c r="B36" s="19" t="s">
        <v>76</v>
      </c>
      <c r="C36" s="19" t="s">
        <v>33</v>
      </c>
      <c r="D36" s="28">
        <v>30890835715.709999</v>
      </c>
      <c r="E36" s="28">
        <v>351762203.16000003</v>
      </c>
      <c r="F36" s="28">
        <v>0</v>
      </c>
      <c r="G36" s="28">
        <v>38166398.549999997</v>
      </c>
      <c r="H36" s="21">
        <f t="shared" si="15"/>
        <v>313595804.61000001</v>
      </c>
      <c r="I36" s="120">
        <v>28576467930.360001</v>
      </c>
      <c r="J36" s="23">
        <f t="shared" si="21"/>
        <v>4.8964847251029599E-3</v>
      </c>
      <c r="K36" s="41">
        <v>30575253626.360001</v>
      </c>
      <c r="L36" s="23">
        <f t="shared" si="22"/>
        <v>5.0864248976795296E-3</v>
      </c>
      <c r="M36" s="23">
        <f t="shared" si="23"/>
        <v>6.9945162602704475E-2</v>
      </c>
      <c r="N36" s="25">
        <f t="shared" si="24"/>
        <v>1.2482774146833373E-3</v>
      </c>
      <c r="O36" s="26">
        <f t="shared" si="25"/>
        <v>1.0256523410802978E-2</v>
      </c>
      <c r="P36" s="43">
        <f t="shared" si="26"/>
        <v>1</v>
      </c>
      <c r="Q36" s="43">
        <f t="shared" si="27"/>
        <v>1.0256523410802978E-2</v>
      </c>
      <c r="R36" s="28">
        <v>1</v>
      </c>
      <c r="S36" s="28">
        <v>1</v>
      </c>
      <c r="T36" s="28">
        <v>1912</v>
      </c>
      <c r="U36" s="45">
        <v>28576467930.360001</v>
      </c>
      <c r="V36" s="45">
        <v>30575253626.360001</v>
      </c>
    </row>
    <row r="37" spans="1:22">
      <c r="A37" s="110">
        <v>30</v>
      </c>
      <c r="B37" s="30" t="s">
        <v>77</v>
      </c>
      <c r="C37" s="30" t="s">
        <v>51</v>
      </c>
      <c r="D37" s="20">
        <v>42680913895.230003</v>
      </c>
      <c r="E37" s="20">
        <v>588659116.38999999</v>
      </c>
      <c r="F37" s="28">
        <v>0</v>
      </c>
      <c r="G37" s="20">
        <v>68703299.079999998</v>
      </c>
      <c r="H37" s="21">
        <f t="shared" si="15"/>
        <v>519955817.31</v>
      </c>
      <c r="I37" s="121">
        <v>39645317401.519997</v>
      </c>
      <c r="J37" s="23">
        <f t="shared" si="21"/>
        <v>6.7930960380223485E-3</v>
      </c>
      <c r="K37" s="42">
        <v>42480904791.760002</v>
      </c>
      <c r="L37" s="23">
        <f t="shared" si="22"/>
        <v>7.0670200957049477E-3</v>
      </c>
      <c r="M37" s="23">
        <f t="shared" si="23"/>
        <v>7.1523891750486762E-2</v>
      </c>
      <c r="N37" s="25">
        <f t="shared" si="24"/>
        <v>1.6172748536496882E-3</v>
      </c>
      <c r="O37" s="26">
        <f t="shared" si="25"/>
        <v>1.2239753834312294E-2</v>
      </c>
      <c r="P37" s="43">
        <f t="shared" si="26"/>
        <v>100.00027110079878</v>
      </c>
      <c r="Q37" s="43">
        <f t="shared" si="27"/>
        <v>1.2239787016382708</v>
      </c>
      <c r="R37" s="28">
        <v>100</v>
      </c>
      <c r="S37" s="28">
        <v>100</v>
      </c>
      <c r="T37" s="28">
        <v>11440</v>
      </c>
      <c r="U37" s="44">
        <v>396452018.49000001</v>
      </c>
      <c r="V37" s="44">
        <v>424807896.25999999</v>
      </c>
    </row>
    <row r="38" spans="1:22">
      <c r="A38" s="110">
        <v>31</v>
      </c>
      <c r="B38" s="46" t="s">
        <v>78</v>
      </c>
      <c r="C38" s="46" t="s">
        <v>79</v>
      </c>
      <c r="D38" s="20">
        <v>3414170404.8699999</v>
      </c>
      <c r="E38" s="20">
        <v>110288033.06999999</v>
      </c>
      <c r="F38" s="28">
        <v>0</v>
      </c>
      <c r="G38" s="20">
        <v>4591660.68</v>
      </c>
      <c r="H38" s="21">
        <f t="shared" si="15"/>
        <v>105696372.38999999</v>
      </c>
      <c r="I38" s="120">
        <v>3295586726.8299999</v>
      </c>
      <c r="J38" s="23">
        <f t="shared" si="21"/>
        <v>5.6468805408352188E-4</v>
      </c>
      <c r="K38" s="42">
        <v>3244230836.8499999</v>
      </c>
      <c r="L38" s="23">
        <f t="shared" si="22"/>
        <v>5.3970235877772018E-4</v>
      </c>
      <c r="M38" s="23">
        <f t="shared" si="23"/>
        <v>-1.558323122310875E-2</v>
      </c>
      <c r="N38" s="25">
        <f t="shared" si="24"/>
        <v>1.4153310633278774E-3</v>
      </c>
      <c r="O38" s="26">
        <f t="shared" si="25"/>
        <v>3.2579794011398502E-2</v>
      </c>
      <c r="P38" s="43">
        <f t="shared" si="26"/>
        <v>0.99877285322916098</v>
      </c>
      <c r="Q38" s="43">
        <f t="shared" si="27"/>
        <v>3.2539813822382815E-2</v>
      </c>
      <c r="R38" s="28">
        <v>1</v>
      </c>
      <c r="S38" s="28">
        <v>1</v>
      </c>
      <c r="T38" s="28">
        <v>840</v>
      </c>
      <c r="U38" s="44">
        <v>3300121235.3000002</v>
      </c>
      <c r="V38" s="44">
        <v>3248216875.6999998</v>
      </c>
    </row>
    <row r="39" spans="1:22">
      <c r="A39" s="110">
        <v>32</v>
      </c>
      <c r="B39" s="19" t="s">
        <v>80</v>
      </c>
      <c r="C39" s="19" t="s">
        <v>81</v>
      </c>
      <c r="D39" s="20">
        <v>105068464499.17999</v>
      </c>
      <c r="E39" s="20">
        <v>1526585991.5799999</v>
      </c>
      <c r="F39" s="28">
        <v>0</v>
      </c>
      <c r="G39" s="20">
        <v>164384780.78999999</v>
      </c>
      <c r="H39" s="21">
        <f t="shared" si="15"/>
        <v>1362201210.79</v>
      </c>
      <c r="I39" s="120">
        <v>102007743080.64</v>
      </c>
      <c r="J39" s="23">
        <f t="shared" si="21"/>
        <v>1.747869460472852E-2</v>
      </c>
      <c r="K39" s="42">
        <v>100660747862.10001</v>
      </c>
      <c r="L39" s="23">
        <f t="shared" si="22"/>
        <v>1.6745677416177208E-2</v>
      </c>
      <c r="M39" s="23">
        <f t="shared" si="23"/>
        <v>-1.3204833063262223E-2</v>
      </c>
      <c r="N39" s="25">
        <f t="shared" si="24"/>
        <v>1.6330574159373285E-3</v>
      </c>
      <c r="O39" s="26">
        <f t="shared" si="25"/>
        <v>1.3532595770658736E-2</v>
      </c>
      <c r="P39" s="43">
        <f t="shared" si="26"/>
        <v>100.00000000009935</v>
      </c>
      <c r="Q39" s="43">
        <f t="shared" si="27"/>
        <v>1.353259577067218</v>
      </c>
      <c r="R39" s="28">
        <v>100</v>
      </c>
      <c r="S39" s="28">
        <v>100</v>
      </c>
      <c r="T39" s="28">
        <v>6318</v>
      </c>
      <c r="U39" s="44">
        <v>1020077430.8099999</v>
      </c>
      <c r="V39" s="44">
        <v>1006607478.62</v>
      </c>
    </row>
    <row r="40" spans="1:22">
      <c r="A40" s="110">
        <v>33</v>
      </c>
      <c r="B40" s="19" t="s">
        <v>82</v>
      </c>
      <c r="C40" s="19" t="s">
        <v>83</v>
      </c>
      <c r="D40" s="20">
        <v>20289676328.200001</v>
      </c>
      <c r="E40" s="20">
        <v>658025730.77999997</v>
      </c>
      <c r="F40" s="28">
        <v>0</v>
      </c>
      <c r="G40" s="20">
        <v>51002068.280000001</v>
      </c>
      <c r="H40" s="21">
        <f t="shared" si="15"/>
        <v>607023662.5</v>
      </c>
      <c r="I40" s="120">
        <v>43632368800</v>
      </c>
      <c r="J40" s="23">
        <f t="shared" si="21"/>
        <v>7.4762643119473688E-3</v>
      </c>
      <c r="K40" s="42">
        <v>45437669800</v>
      </c>
      <c r="L40" s="23">
        <f t="shared" si="22"/>
        <v>7.5589003377557794E-3</v>
      </c>
      <c r="M40" s="23">
        <f t="shared" si="23"/>
        <v>4.1375269086926125E-2</v>
      </c>
      <c r="N40" s="25">
        <f t="shared" si="24"/>
        <v>1.1224622324272448E-3</v>
      </c>
      <c r="O40" s="26">
        <f t="shared" si="25"/>
        <v>1.3359480474502678E-2</v>
      </c>
      <c r="P40" s="43">
        <f t="shared" si="26"/>
        <v>100</v>
      </c>
      <c r="Q40" s="43">
        <f t="shared" si="27"/>
        <v>1.3359480474502679</v>
      </c>
      <c r="R40" s="28">
        <v>100</v>
      </c>
      <c r="S40" s="28">
        <v>100</v>
      </c>
      <c r="T40" s="28">
        <v>6003</v>
      </c>
      <c r="U40" s="44">
        <v>436323688</v>
      </c>
      <c r="V40" s="44">
        <v>454376698</v>
      </c>
    </row>
    <row r="41" spans="1:22">
      <c r="A41" s="110">
        <v>34</v>
      </c>
      <c r="B41" s="19" t="s">
        <v>84</v>
      </c>
      <c r="C41" s="19" t="s">
        <v>85</v>
      </c>
      <c r="D41" s="20">
        <v>98862426540.300003</v>
      </c>
      <c r="E41" s="20">
        <v>1452939599.8900001</v>
      </c>
      <c r="F41" s="28">
        <v>0</v>
      </c>
      <c r="G41" s="20">
        <v>169211091.78999999</v>
      </c>
      <c r="H41" s="21">
        <f t="shared" si="15"/>
        <v>1283728508.1000001</v>
      </c>
      <c r="I41" s="120">
        <v>74456640684.559998</v>
      </c>
      <c r="J41" s="23">
        <f t="shared" si="21"/>
        <v>1.275790292498317E-2</v>
      </c>
      <c r="K41" s="42">
        <v>98551160217.839996</v>
      </c>
      <c r="L41" s="23">
        <f t="shared" si="22"/>
        <v>1.6394731541819838E-2</v>
      </c>
      <c r="M41" s="23">
        <f t="shared" si="23"/>
        <v>0.323604708884972</v>
      </c>
      <c r="N41" s="25">
        <f t="shared" si="24"/>
        <v>1.7169873131475213E-3</v>
      </c>
      <c r="O41" s="26">
        <f t="shared" si="25"/>
        <v>1.3026011112019523E-2</v>
      </c>
      <c r="P41" s="43">
        <f t="shared" si="26"/>
        <v>1</v>
      </c>
      <c r="Q41" s="43">
        <f t="shared" si="27"/>
        <v>1.3026011112019523E-2</v>
      </c>
      <c r="R41" s="28">
        <v>1</v>
      </c>
      <c r="S41" s="28">
        <v>1</v>
      </c>
      <c r="T41" s="28">
        <v>20347</v>
      </c>
      <c r="U41" s="44">
        <v>78162741612.029999</v>
      </c>
      <c r="V41" s="44">
        <v>98551160217.839996</v>
      </c>
    </row>
    <row r="42" spans="1:22">
      <c r="A42" s="110">
        <v>35</v>
      </c>
      <c r="B42" s="32" t="s">
        <v>86</v>
      </c>
      <c r="C42" s="33" t="s">
        <v>87</v>
      </c>
      <c r="D42" s="20">
        <v>1928981915.1300001</v>
      </c>
      <c r="E42" s="20">
        <v>28207475.25</v>
      </c>
      <c r="F42" s="28">
        <v>0</v>
      </c>
      <c r="G42" s="20">
        <v>2914739.11</v>
      </c>
      <c r="H42" s="21">
        <f t="shared" ref="H42:H46" si="28">(E42+F42)-G42</f>
        <v>25292736.140000001</v>
      </c>
      <c r="I42" s="120">
        <v>1621422178.5999999</v>
      </c>
      <c r="J42" s="23">
        <f t="shared" si="21"/>
        <v>2.7782541039731795E-4</v>
      </c>
      <c r="K42" s="42">
        <v>1798511923.4000001</v>
      </c>
      <c r="L42" s="23">
        <f t="shared" si="22"/>
        <v>2.9919607332605904E-4</v>
      </c>
      <c r="M42" s="23">
        <f t="shared" si="23"/>
        <v>0.10921877542893023</v>
      </c>
      <c r="N42" s="25">
        <f t="shared" si="24"/>
        <v>1.6206393030132522E-3</v>
      </c>
      <c r="O42" s="26">
        <f t="shared" si="25"/>
        <v>1.4063146210443411E-2</v>
      </c>
      <c r="P42" s="43">
        <f t="shared" si="26"/>
        <v>1000.0000018904518</v>
      </c>
      <c r="Q42" s="43">
        <f t="shared" si="27"/>
        <v>14.063146237029111</v>
      </c>
      <c r="R42" s="28">
        <v>1000</v>
      </c>
      <c r="S42" s="28">
        <v>1000</v>
      </c>
      <c r="T42" s="28">
        <v>300</v>
      </c>
      <c r="U42" s="44">
        <v>1621422.18</v>
      </c>
      <c r="V42" s="44">
        <v>1798511.92</v>
      </c>
    </row>
    <row r="43" spans="1:22">
      <c r="A43" s="110">
        <v>36</v>
      </c>
      <c r="B43" s="19" t="s">
        <v>88</v>
      </c>
      <c r="C43" s="19" t="s">
        <v>89</v>
      </c>
      <c r="D43" s="20">
        <v>29890742684.34</v>
      </c>
      <c r="E43" s="20">
        <v>1317404886.1700001</v>
      </c>
      <c r="F43" s="28">
        <v>0</v>
      </c>
      <c r="G43" s="20">
        <v>141378547.41</v>
      </c>
      <c r="H43" s="21">
        <f t="shared" si="28"/>
        <v>1176026338.76</v>
      </c>
      <c r="I43" s="120">
        <v>88450133015.860001</v>
      </c>
      <c r="J43" s="23">
        <f t="shared" si="21"/>
        <v>1.5155642268348993E-2</v>
      </c>
      <c r="K43" s="42">
        <v>96297436993.460007</v>
      </c>
      <c r="L43" s="23">
        <f t="shared" si="22"/>
        <v>1.6019807622592495E-2</v>
      </c>
      <c r="M43" s="23">
        <f t="shared" si="23"/>
        <v>8.8720092441160095E-2</v>
      </c>
      <c r="N43" s="25">
        <f t="shared" si="24"/>
        <v>1.4681444472878511E-3</v>
      </c>
      <c r="O43" s="26">
        <f t="shared" si="25"/>
        <v>1.221243654532435E-2</v>
      </c>
      <c r="P43" s="43">
        <f t="shared" si="26"/>
        <v>103.6842592601633</v>
      </c>
      <c r="Q43" s="43">
        <f t="shared" si="27"/>
        <v>1.2662374369637031</v>
      </c>
      <c r="R43" s="28">
        <v>100</v>
      </c>
      <c r="S43" s="28">
        <v>100</v>
      </c>
      <c r="T43" s="28">
        <v>8889</v>
      </c>
      <c r="U43" s="44">
        <v>875556778</v>
      </c>
      <c r="V43" s="44">
        <v>928756570</v>
      </c>
    </row>
    <row r="44" spans="1:22">
      <c r="A44" s="110">
        <v>37</v>
      </c>
      <c r="B44" s="19" t="s">
        <v>90</v>
      </c>
      <c r="C44" s="19" t="s">
        <v>89</v>
      </c>
      <c r="D44" s="20">
        <v>3636266936.0599999</v>
      </c>
      <c r="E44" s="20">
        <v>138003544.71000001</v>
      </c>
      <c r="F44" s="28">
        <v>0</v>
      </c>
      <c r="G44" s="20">
        <v>12584644.279999999</v>
      </c>
      <c r="H44" s="21">
        <f t="shared" si="28"/>
        <v>125418900.43000001</v>
      </c>
      <c r="I44" s="120">
        <v>10382641952.049999</v>
      </c>
      <c r="J44" s="23">
        <f t="shared" si="21"/>
        <v>1.7790318890465323E-3</v>
      </c>
      <c r="K44" s="42">
        <v>9551837150.0900002</v>
      </c>
      <c r="L44" s="23">
        <f t="shared" si="22"/>
        <v>1.5890204180321655E-3</v>
      </c>
      <c r="M44" s="23">
        <f t="shared" si="23"/>
        <v>-8.0018631654341213E-2</v>
      </c>
      <c r="N44" s="25">
        <f t="shared" si="24"/>
        <v>1.3175103471986457E-3</v>
      </c>
      <c r="O44" s="26">
        <f t="shared" si="25"/>
        <v>1.3130343248033523E-2</v>
      </c>
      <c r="P44" s="43">
        <f t="shared" si="26"/>
        <v>1044601.6130894576</v>
      </c>
      <c r="Q44" s="43">
        <f t="shared" si="27"/>
        <v>13715.977737314086</v>
      </c>
      <c r="R44" s="20">
        <v>1034910.8</v>
      </c>
      <c r="S44" s="28">
        <v>1038519.14</v>
      </c>
      <c r="T44" s="28">
        <v>98</v>
      </c>
      <c r="U44" s="45">
        <v>10090</v>
      </c>
      <c r="V44" s="45">
        <v>9144</v>
      </c>
    </row>
    <row r="45" spans="1:22">
      <c r="A45" s="110">
        <v>38</v>
      </c>
      <c r="B45" s="30" t="s">
        <v>91</v>
      </c>
      <c r="C45" s="30" t="s">
        <v>92</v>
      </c>
      <c r="D45" s="20">
        <v>8944369885</v>
      </c>
      <c r="E45" s="20">
        <v>136961918</v>
      </c>
      <c r="F45" s="28">
        <v>0</v>
      </c>
      <c r="G45" s="20">
        <v>13079274</v>
      </c>
      <c r="H45" s="21">
        <f t="shared" si="28"/>
        <v>123882644</v>
      </c>
      <c r="I45" s="121">
        <v>8172229992</v>
      </c>
      <c r="J45" s="23">
        <f t="shared" si="21"/>
        <v>1.4002849975501567E-3</v>
      </c>
      <c r="K45" s="42">
        <v>8534119144</v>
      </c>
      <c r="L45" s="23">
        <f t="shared" si="22"/>
        <v>1.4197153235184095E-3</v>
      </c>
      <c r="M45" s="23">
        <f t="shared" si="23"/>
        <v>4.4282790909490104E-2</v>
      </c>
      <c r="N45" s="25">
        <f t="shared" si="24"/>
        <v>1.532586290313924E-3</v>
      </c>
      <c r="O45" s="26">
        <f t="shared" si="25"/>
        <v>1.4516160591347844E-2</v>
      </c>
      <c r="P45" s="43">
        <f t="shared" si="26"/>
        <v>0.97890977162281023</v>
      </c>
      <c r="Q45" s="43">
        <f t="shared" si="27"/>
        <v>1.4210011449316357E-2</v>
      </c>
      <c r="R45" s="28">
        <v>1</v>
      </c>
      <c r="S45" s="28">
        <v>1</v>
      </c>
      <c r="T45" s="28">
        <v>1302</v>
      </c>
      <c r="U45" s="44">
        <v>8362977301</v>
      </c>
      <c r="V45" s="44">
        <v>8717983405</v>
      </c>
    </row>
    <row r="46" spans="1:22">
      <c r="A46" s="110">
        <v>39</v>
      </c>
      <c r="B46" s="19" t="s">
        <v>93</v>
      </c>
      <c r="C46" s="111" t="s">
        <v>312</v>
      </c>
      <c r="D46" s="20">
        <v>66975717067.410004</v>
      </c>
      <c r="E46" s="20">
        <v>1046803379.35</v>
      </c>
      <c r="F46" s="28">
        <v>0</v>
      </c>
      <c r="G46" s="20">
        <v>93178087.370000005</v>
      </c>
      <c r="H46" s="21">
        <f t="shared" si="28"/>
        <v>953625291.98000002</v>
      </c>
      <c r="I46" s="120">
        <v>68202294121.209999</v>
      </c>
      <c r="J46" s="23">
        <f t="shared" si="21"/>
        <v>1.168624100764706E-2</v>
      </c>
      <c r="K46" s="42">
        <v>66623872720.970001</v>
      </c>
      <c r="L46" s="23">
        <f t="shared" si="22"/>
        <v>1.1083385574784431E-2</v>
      </c>
      <c r="M46" s="23">
        <f t="shared" si="23"/>
        <v>-2.3143230305930868E-2</v>
      </c>
      <c r="N46" s="25">
        <f t="shared" si="24"/>
        <v>1.3985690648792323E-3</v>
      </c>
      <c r="O46" s="26">
        <f t="shared" si="25"/>
        <v>1.4313567390084252E-2</v>
      </c>
      <c r="P46" s="43">
        <f t="shared" si="26"/>
        <v>1.0000804333903395</v>
      </c>
      <c r="Q46" s="43">
        <f t="shared" si="27"/>
        <v>1.4314718678837291E-2</v>
      </c>
      <c r="R46" s="28">
        <v>1</v>
      </c>
      <c r="S46" s="28">
        <v>1</v>
      </c>
      <c r="T46" s="28">
        <v>4057</v>
      </c>
      <c r="U46" s="44">
        <v>68202357327</v>
      </c>
      <c r="V46" s="44">
        <v>66618514368</v>
      </c>
    </row>
    <row r="47" spans="1:22">
      <c r="A47" s="110">
        <v>40</v>
      </c>
      <c r="B47" s="19" t="s">
        <v>95</v>
      </c>
      <c r="C47" s="19" t="s">
        <v>96</v>
      </c>
      <c r="D47" s="20">
        <v>4315192775.1000004</v>
      </c>
      <c r="E47" s="20">
        <v>134051623.93000001</v>
      </c>
      <c r="F47" s="28">
        <v>0</v>
      </c>
      <c r="G47" s="20">
        <v>10275150.119999999</v>
      </c>
      <c r="H47" s="21">
        <f>(E47+F47)-G47</f>
        <v>123776473.81</v>
      </c>
      <c r="I47" s="121">
        <v>7479431364.8299999</v>
      </c>
      <c r="J47" s="23">
        <f t="shared" si="21"/>
        <v>1.281576208774123E-3</v>
      </c>
      <c r="K47" s="42">
        <v>9009083830.1900005</v>
      </c>
      <c r="L47" s="23">
        <f t="shared" si="22"/>
        <v>1.4987292945839693E-3</v>
      </c>
      <c r="M47" s="23">
        <f t="shared" si="23"/>
        <v>0.20451454004281355</v>
      </c>
      <c r="N47" s="25">
        <f t="shared" si="24"/>
        <v>1.1405321910278304E-3</v>
      </c>
      <c r="O47" s="26">
        <f t="shared" si="25"/>
        <v>1.3739074487820541E-2</v>
      </c>
      <c r="P47" s="43">
        <f t="shared" si="26"/>
        <v>1.08382699155647</v>
      </c>
      <c r="Q47" s="43">
        <f t="shared" si="27"/>
        <v>1.4890779768904785E-2</v>
      </c>
      <c r="R47" s="28">
        <v>1</v>
      </c>
      <c r="S47" s="28">
        <v>1</v>
      </c>
      <c r="T47" s="28">
        <v>2528</v>
      </c>
      <c r="U47" s="44">
        <v>6939186921.5500002</v>
      </c>
      <c r="V47" s="44">
        <v>8312289600.0699997</v>
      </c>
    </row>
    <row r="48" spans="1:22">
      <c r="A48" s="110">
        <v>41</v>
      </c>
      <c r="B48" s="19" t="s">
        <v>94</v>
      </c>
      <c r="C48" s="19" t="s">
        <v>323</v>
      </c>
      <c r="D48" s="20">
        <v>756507811999.30005</v>
      </c>
      <c r="E48" s="20">
        <v>10676452110.99</v>
      </c>
      <c r="F48" s="28">
        <v>0</v>
      </c>
      <c r="G48" s="20">
        <v>1196689585.5799999</v>
      </c>
      <c r="H48" s="21">
        <f t="shared" ref="H48:H52" si="29">(E48+F48)-G48</f>
        <v>9479762525.4099998</v>
      </c>
      <c r="I48" s="120">
        <v>730730088918.77002</v>
      </c>
      <c r="J48" s="23">
        <f t="shared" si="21"/>
        <v>0.12520822122885814</v>
      </c>
      <c r="K48" s="42">
        <v>725110568751.98999</v>
      </c>
      <c r="L48" s="23">
        <f t="shared" si="22"/>
        <v>0.12062763225260514</v>
      </c>
      <c r="M48" s="23">
        <f t="shared" si="23"/>
        <v>-7.6902816128661027E-3</v>
      </c>
      <c r="N48" s="25">
        <f t="shared" si="24"/>
        <v>1.6503546316248832E-3</v>
      </c>
      <c r="O48" s="26">
        <f t="shared" si="25"/>
        <v>1.3073540690112833E-2</v>
      </c>
      <c r="P48" s="43">
        <f t="shared" si="26"/>
        <v>100.04356226592419</v>
      </c>
      <c r="Q48" s="43">
        <f t="shared" si="27"/>
        <v>1.3079235820673967</v>
      </c>
      <c r="R48" s="28">
        <v>100</v>
      </c>
      <c r="S48" s="28">
        <v>100</v>
      </c>
      <c r="T48" s="20">
        <v>64645</v>
      </c>
      <c r="U48" s="44">
        <v>7304109947</v>
      </c>
      <c r="V48" s="44">
        <v>7247948317</v>
      </c>
    </row>
    <row r="49" spans="1:22">
      <c r="A49" s="110">
        <v>42</v>
      </c>
      <c r="B49" s="19" t="s">
        <v>97</v>
      </c>
      <c r="C49" s="19" t="s">
        <v>98</v>
      </c>
      <c r="D49" s="20">
        <v>5495305255.6400003</v>
      </c>
      <c r="E49" s="20">
        <v>85062253.400000006</v>
      </c>
      <c r="F49" s="28">
        <v>0</v>
      </c>
      <c r="G49" s="20">
        <v>6897010.4500000002</v>
      </c>
      <c r="H49" s="21">
        <f t="shared" si="29"/>
        <v>78165242.950000003</v>
      </c>
      <c r="I49" s="120">
        <v>5747745670.7399998</v>
      </c>
      <c r="J49" s="23">
        <f t="shared" si="21"/>
        <v>9.848575040533544E-4</v>
      </c>
      <c r="K49" s="42">
        <v>5409234993.5900002</v>
      </c>
      <c r="L49" s="23">
        <f t="shared" si="22"/>
        <v>8.9986718949323929E-4</v>
      </c>
      <c r="M49" s="23">
        <f t="shared" si="23"/>
        <v>-5.8894512134253445E-2</v>
      </c>
      <c r="N49" s="25">
        <f t="shared" si="24"/>
        <v>1.2750435982487411E-3</v>
      </c>
      <c r="O49" s="26">
        <f t="shared" si="25"/>
        <v>1.4450332263735377E-2</v>
      </c>
      <c r="P49" s="43">
        <f t="shared" si="26"/>
        <v>0.94706140471864164</v>
      </c>
      <c r="Q49" s="43">
        <f t="shared" si="27"/>
        <v>1.3685351972344335E-2</v>
      </c>
      <c r="R49" s="28">
        <v>1</v>
      </c>
      <c r="S49" s="28">
        <v>1</v>
      </c>
      <c r="T49" s="28">
        <v>927</v>
      </c>
      <c r="U49" s="44">
        <v>5676913580.6599998</v>
      </c>
      <c r="V49" s="44">
        <v>5711599022.6599998</v>
      </c>
    </row>
    <row r="50" spans="1:22">
      <c r="A50" s="110">
        <v>43</v>
      </c>
      <c r="B50" s="19" t="s">
        <v>99</v>
      </c>
      <c r="C50" s="19" t="s">
        <v>100</v>
      </c>
      <c r="D50" s="28">
        <v>0</v>
      </c>
      <c r="E50" s="28">
        <v>101759.64</v>
      </c>
      <c r="F50" s="28">
        <v>0</v>
      </c>
      <c r="G50" s="20">
        <v>1396887</v>
      </c>
      <c r="H50" s="21">
        <f t="shared" si="29"/>
        <v>-1295127.3600000001</v>
      </c>
      <c r="I50" s="120">
        <v>8498998.5899999999</v>
      </c>
      <c r="J50" s="23">
        <f t="shared" si="21"/>
        <v>1.4562757327470153E-6</v>
      </c>
      <c r="K50" s="41">
        <v>63310000</v>
      </c>
      <c r="L50" s="23">
        <f t="shared" si="22"/>
        <v>1.0532097761389128E-5</v>
      </c>
      <c r="M50" s="23">
        <f t="shared" si="23"/>
        <v>6.4491128960170823</v>
      </c>
      <c r="N50" s="25">
        <f t="shared" si="24"/>
        <v>2.2064239456641922E-2</v>
      </c>
      <c r="O50" s="26">
        <f t="shared" si="25"/>
        <v>-2.0456916126994157E-2</v>
      </c>
      <c r="P50" s="43">
        <f t="shared" si="26"/>
        <v>1.0015820281601013</v>
      </c>
      <c r="Q50" s="43">
        <f t="shared" si="27"/>
        <v>-2.0489279544375891E-2</v>
      </c>
      <c r="R50" s="28">
        <v>1</v>
      </c>
      <c r="S50" s="28">
        <v>1</v>
      </c>
      <c r="T50" s="28">
        <v>30</v>
      </c>
      <c r="U50" s="45">
        <v>1000000000</v>
      </c>
      <c r="V50" s="44">
        <v>63210000</v>
      </c>
    </row>
    <row r="51" spans="1:22" ht="15.6" customHeight="1">
      <c r="A51" s="110">
        <v>44</v>
      </c>
      <c r="B51" s="19" t="s">
        <v>101</v>
      </c>
      <c r="C51" s="19" t="s">
        <v>102</v>
      </c>
      <c r="D51" s="20">
        <v>2203665677.6999998</v>
      </c>
      <c r="E51" s="20">
        <v>31428286.879999999</v>
      </c>
      <c r="F51" s="28">
        <v>0</v>
      </c>
      <c r="G51" s="20">
        <v>1774362.77</v>
      </c>
      <c r="H51" s="21">
        <f t="shared" si="29"/>
        <v>29653924.109999999</v>
      </c>
      <c r="I51" s="120">
        <v>2145289699.6900001</v>
      </c>
      <c r="J51" s="23">
        <f t="shared" si="21"/>
        <v>3.6758840424406744E-4</v>
      </c>
      <c r="K51" s="42">
        <v>2109805711.1500001</v>
      </c>
      <c r="L51" s="23">
        <f t="shared" si="22"/>
        <v>3.509821514353011E-4</v>
      </c>
      <c r="M51" s="23">
        <f t="shared" si="23"/>
        <v>-1.6540418082055534E-2</v>
      </c>
      <c r="N51" s="25">
        <f t="shared" si="24"/>
        <v>8.4100766275433064E-4</v>
      </c>
      <c r="O51" s="26">
        <f t="shared" si="25"/>
        <v>1.4055286680324899E-2</v>
      </c>
      <c r="P51" s="43">
        <f t="shared" si="26"/>
        <v>9.9515889438966845</v>
      </c>
      <c r="Q51" s="43">
        <f t="shared" si="27"/>
        <v>0.13987243553121961</v>
      </c>
      <c r="R51" s="28">
        <v>10</v>
      </c>
      <c r="S51" s="28">
        <v>10</v>
      </c>
      <c r="T51" s="28">
        <v>577</v>
      </c>
      <c r="U51" s="44">
        <v>211555271</v>
      </c>
      <c r="V51" s="44">
        <v>212006919</v>
      </c>
    </row>
    <row r="52" spans="1:22">
      <c r="A52" s="110">
        <v>45</v>
      </c>
      <c r="B52" s="19" t="s">
        <v>103</v>
      </c>
      <c r="C52" s="19" t="s">
        <v>104</v>
      </c>
      <c r="D52" s="20">
        <v>4334125649.5</v>
      </c>
      <c r="E52" s="20">
        <v>522463967.55000001</v>
      </c>
      <c r="F52" s="28">
        <v>0</v>
      </c>
      <c r="G52" s="20">
        <v>22876041.780000001</v>
      </c>
      <c r="H52" s="21">
        <f t="shared" si="29"/>
        <v>499587925.76999998</v>
      </c>
      <c r="I52" s="120">
        <v>13379145976.290001</v>
      </c>
      <c r="J52" s="23">
        <f t="shared" si="21"/>
        <v>2.2924730959569439E-3</v>
      </c>
      <c r="K52" s="42">
        <v>13374498396.16</v>
      </c>
      <c r="L52" s="23">
        <f t="shared" si="22"/>
        <v>2.2249490541446726E-3</v>
      </c>
      <c r="M52" s="23">
        <f t="shared" si="23"/>
        <v>-3.473749474172214E-4</v>
      </c>
      <c r="N52" s="25">
        <f t="shared" si="24"/>
        <v>1.7104224100522546E-3</v>
      </c>
      <c r="O52" s="26">
        <f t="shared" si="25"/>
        <v>3.7353769163667359E-2</v>
      </c>
      <c r="P52" s="43">
        <f t="shared" si="26"/>
        <v>100.67549653989617</v>
      </c>
      <c r="Q52" s="43">
        <f t="shared" si="27"/>
        <v>3.7606092581888735</v>
      </c>
      <c r="R52" s="28">
        <v>100</v>
      </c>
      <c r="S52" s="28">
        <v>100</v>
      </c>
      <c r="T52" s="28">
        <v>2127</v>
      </c>
      <c r="U52" s="44">
        <v>134540812</v>
      </c>
      <c r="V52" s="44">
        <v>132847603</v>
      </c>
    </row>
    <row r="53" spans="1:22">
      <c r="A53" s="110">
        <v>46</v>
      </c>
      <c r="B53" s="32" t="s">
        <v>105</v>
      </c>
      <c r="C53" s="32" t="s">
        <v>106</v>
      </c>
      <c r="D53" s="28">
        <v>163171013.66</v>
      </c>
      <c r="E53" s="28"/>
      <c r="F53" s="28">
        <v>0</v>
      </c>
      <c r="G53" s="28">
        <v>214880.58</v>
      </c>
      <c r="H53" s="21">
        <v>2221712.87</v>
      </c>
      <c r="I53" s="120">
        <v>150159794.21000001</v>
      </c>
      <c r="J53" s="23">
        <f t="shared" si="21"/>
        <v>2.5729391766178513E-5</v>
      </c>
      <c r="K53" s="41">
        <v>162100932.87</v>
      </c>
      <c r="L53" s="23">
        <f t="shared" si="22"/>
        <v>2.6966717298992521E-5</v>
      </c>
      <c r="M53" s="23">
        <f t="shared" si="23"/>
        <v>7.952287576593367E-2</v>
      </c>
      <c r="N53" s="25">
        <f t="shared" si="24"/>
        <v>1.3255974299193432E-3</v>
      </c>
      <c r="O53" s="26">
        <f t="shared" si="25"/>
        <v>1.3705737719484599E-2</v>
      </c>
      <c r="P53" s="43">
        <f t="shared" si="26"/>
        <v>1.0805031111003665</v>
      </c>
      <c r="Q53" s="43">
        <f t="shared" si="27"/>
        <v>1.4809092245828753E-2</v>
      </c>
      <c r="R53" s="28">
        <v>1</v>
      </c>
      <c r="S53" s="28">
        <v>1</v>
      </c>
      <c r="T53" s="28">
        <v>166</v>
      </c>
      <c r="U53" s="45">
        <v>145970840.63</v>
      </c>
      <c r="V53" s="45">
        <v>150023568.84</v>
      </c>
    </row>
    <row r="54" spans="1:22">
      <c r="A54" s="110">
        <v>47</v>
      </c>
      <c r="B54" s="30" t="s">
        <v>107</v>
      </c>
      <c r="C54" s="30" t="s">
        <v>43</v>
      </c>
      <c r="D54" s="20">
        <v>4769922132.6199999</v>
      </c>
      <c r="E54" s="20">
        <v>59798502.770000003</v>
      </c>
      <c r="F54" s="28">
        <v>0</v>
      </c>
      <c r="G54" s="20">
        <v>5053340.47</v>
      </c>
      <c r="H54" s="21">
        <f t="shared" ref="H54:H74" si="30">(E54+F54)-G54</f>
        <v>54745162.300000004</v>
      </c>
      <c r="I54" s="120">
        <v>3146265011.5500002</v>
      </c>
      <c r="J54" s="23">
        <f t="shared" si="21"/>
        <v>5.3910226441292695E-4</v>
      </c>
      <c r="K54" s="42">
        <v>4626237479.5600004</v>
      </c>
      <c r="L54" s="23">
        <f t="shared" si="22"/>
        <v>7.6960962568517401E-4</v>
      </c>
      <c r="M54" s="23">
        <f t="shared" si="23"/>
        <v>0.47039027627265739</v>
      </c>
      <c r="N54" s="25">
        <f t="shared" si="24"/>
        <v>1.0923218905918813E-3</v>
      </c>
      <c r="O54" s="26">
        <f t="shared" si="25"/>
        <v>1.1833625606527834E-2</v>
      </c>
      <c r="P54" s="43">
        <f t="shared" si="26"/>
        <v>100.00000001210488</v>
      </c>
      <c r="Q54" s="43">
        <f t="shared" si="27"/>
        <v>1.1833625607960279</v>
      </c>
      <c r="R54" s="28">
        <v>100</v>
      </c>
      <c r="S54" s="28">
        <v>100</v>
      </c>
      <c r="T54" s="28">
        <v>18215</v>
      </c>
      <c r="U54" s="44">
        <v>31462650.120000001</v>
      </c>
      <c r="V54" s="44">
        <v>46262374.789999999</v>
      </c>
    </row>
    <row r="55" spans="1:22">
      <c r="A55" s="110">
        <v>48</v>
      </c>
      <c r="B55" s="30" t="s">
        <v>108</v>
      </c>
      <c r="C55" s="30" t="s">
        <v>43</v>
      </c>
      <c r="D55" s="20">
        <v>545497101131.04999</v>
      </c>
      <c r="E55" s="20">
        <v>7950992413.3699999</v>
      </c>
      <c r="F55" s="28">
        <v>0</v>
      </c>
      <c r="G55" s="20">
        <v>617123505.71000004</v>
      </c>
      <c r="H55" s="21">
        <f t="shared" si="30"/>
        <v>7333868907.6599998</v>
      </c>
      <c r="I55" s="120">
        <v>492783583491.73999</v>
      </c>
      <c r="J55" s="23">
        <f t="shared" si="21"/>
        <v>8.4436862359231618E-2</v>
      </c>
      <c r="K55" s="42">
        <v>541150335249.94</v>
      </c>
      <c r="L55" s="23">
        <f t="shared" si="22"/>
        <v>9.0024454816946292E-2</v>
      </c>
      <c r="M55" s="23">
        <f t="shared" si="23"/>
        <v>9.8150087337498998E-2</v>
      </c>
      <c r="N55" s="25">
        <f t="shared" si="24"/>
        <v>1.1403919863136932E-3</v>
      </c>
      <c r="O55" s="26">
        <f t="shared" si="25"/>
        <v>1.3552368778026758E-2</v>
      </c>
      <c r="P55" s="43">
        <f t="shared" si="26"/>
        <v>99.999999999988916</v>
      </c>
      <c r="Q55" s="43">
        <f t="shared" si="27"/>
        <v>1.3552368778025254</v>
      </c>
      <c r="R55" s="28">
        <v>100</v>
      </c>
      <c r="S55" s="28">
        <v>100</v>
      </c>
      <c r="T55" s="28">
        <v>52910</v>
      </c>
      <c r="U55" s="44">
        <v>4927835834.9200001</v>
      </c>
      <c r="V55" s="44">
        <v>5411503352.5</v>
      </c>
    </row>
    <row r="56" spans="1:22">
      <c r="A56" s="110">
        <v>49</v>
      </c>
      <c r="B56" s="19" t="s">
        <v>109</v>
      </c>
      <c r="C56" s="30" t="s">
        <v>110</v>
      </c>
      <c r="D56" s="20">
        <v>3135228483.25</v>
      </c>
      <c r="E56" s="20">
        <v>95647447.069999993</v>
      </c>
      <c r="F56" s="28"/>
      <c r="G56" s="20">
        <v>10624280.26</v>
      </c>
      <c r="H56" s="21">
        <f t="shared" si="30"/>
        <v>85023166.809999987</v>
      </c>
      <c r="I56" s="120">
        <v>5947919373</v>
      </c>
      <c r="J56" s="23">
        <f t="shared" si="21"/>
        <v>1.019156616101491E-3</v>
      </c>
      <c r="K56" s="42">
        <v>6258733302.1700001</v>
      </c>
      <c r="L56" s="23">
        <f t="shared" si="22"/>
        <v>1.0411876638906372E-3</v>
      </c>
      <c r="M56" s="23">
        <f t="shared" si="23"/>
        <v>5.2255908272884399E-2</v>
      </c>
      <c r="N56" s="25">
        <f t="shared" si="24"/>
        <v>1.6975128587627143E-3</v>
      </c>
      <c r="O56" s="26">
        <f t="shared" si="25"/>
        <v>1.3584724369150087E-2</v>
      </c>
      <c r="P56" s="43">
        <f t="shared" si="26"/>
        <v>100.00908557374512</v>
      </c>
      <c r="Q56" s="43">
        <f t="shared" si="27"/>
        <v>1.3585958619300718</v>
      </c>
      <c r="R56" s="28">
        <v>100</v>
      </c>
      <c r="S56" s="28">
        <v>100</v>
      </c>
      <c r="T56" s="28">
        <v>1043</v>
      </c>
      <c r="U56" s="44">
        <v>59479193.729999997</v>
      </c>
      <c r="V56" s="44">
        <v>62581647.119999997</v>
      </c>
    </row>
    <row r="57" spans="1:22">
      <c r="A57" s="110">
        <v>50</v>
      </c>
      <c r="B57" s="19" t="s">
        <v>111</v>
      </c>
      <c r="C57" s="19" t="s">
        <v>47</v>
      </c>
      <c r="D57" s="20">
        <v>121357373325.99001</v>
      </c>
      <c r="E57" s="20">
        <v>1735694900.4100001</v>
      </c>
      <c r="F57" s="28">
        <v>0</v>
      </c>
      <c r="G57" s="20">
        <v>165027158.47999999</v>
      </c>
      <c r="H57" s="21">
        <f t="shared" si="30"/>
        <v>1570667741.9300001</v>
      </c>
      <c r="I57" s="120">
        <v>117294148720.17</v>
      </c>
      <c r="J57" s="23">
        <f t="shared" si="21"/>
        <v>2.0097970433291125E-2</v>
      </c>
      <c r="K57" s="42">
        <v>122644835945.45</v>
      </c>
      <c r="L57" s="23">
        <f t="shared" si="22"/>
        <v>2.0402896890017546E-2</v>
      </c>
      <c r="M57" s="23">
        <f t="shared" si="23"/>
        <v>4.5617682413512328E-2</v>
      </c>
      <c r="N57" s="25">
        <f t="shared" si="24"/>
        <v>1.3455695644079202E-3</v>
      </c>
      <c r="O57" s="26">
        <f t="shared" si="25"/>
        <v>1.280663576107356E-2</v>
      </c>
      <c r="P57" s="43">
        <f t="shared" si="26"/>
        <v>10.009798439032483</v>
      </c>
      <c r="Q57" s="43">
        <f t="shared" si="27"/>
        <v>0.12819184265045169</v>
      </c>
      <c r="R57" s="28">
        <v>10</v>
      </c>
      <c r="S57" s="28">
        <v>10</v>
      </c>
      <c r="T57" s="28">
        <v>12041</v>
      </c>
      <c r="U57" s="44">
        <v>11739765903.690001</v>
      </c>
      <c r="V57" s="44">
        <v>12252478078.6</v>
      </c>
    </row>
    <row r="58" spans="1:22">
      <c r="A58" s="133">
        <v>51</v>
      </c>
      <c r="B58" s="111" t="s">
        <v>324</v>
      </c>
      <c r="C58" s="111" t="s">
        <v>325</v>
      </c>
      <c r="D58" s="20">
        <v>544761238.02999997</v>
      </c>
      <c r="E58" s="20">
        <v>10636835.48</v>
      </c>
      <c r="F58" s="28">
        <v>0</v>
      </c>
      <c r="G58" s="20">
        <v>8370622.8200000003</v>
      </c>
      <c r="H58" s="21">
        <f t="shared" si="30"/>
        <v>2266212.66</v>
      </c>
      <c r="I58" s="120">
        <v>440218183.25999999</v>
      </c>
      <c r="J58" s="23">
        <f t="shared" si="21"/>
        <v>7.5429952200464635E-5</v>
      </c>
      <c r="K58" s="42">
        <v>560689101.29999995</v>
      </c>
      <c r="L58" s="23">
        <f t="shared" si="22"/>
        <v>9.3274876459279924E-5</v>
      </c>
      <c r="M58" s="23">
        <f t="shared" si="23"/>
        <v>0.27366184001728955</v>
      </c>
      <c r="N58" s="25">
        <f t="shared" si="24"/>
        <v>1.4929169838671878E-2</v>
      </c>
      <c r="O58" s="26">
        <f t="shared" si="25"/>
        <v>4.041834690108324E-3</v>
      </c>
      <c r="P58" s="43">
        <f t="shared" si="26"/>
        <v>1.3246670436908048</v>
      </c>
      <c r="Q58" s="43">
        <f t="shared" si="27"/>
        <v>5.354085210032734E-3</v>
      </c>
      <c r="R58" s="28">
        <v>1</v>
      </c>
      <c r="S58" s="28">
        <v>1</v>
      </c>
      <c r="T58" s="28">
        <v>334</v>
      </c>
      <c r="U58" s="44">
        <v>437702346.25</v>
      </c>
      <c r="V58" s="44">
        <v>423267947.94999999</v>
      </c>
    </row>
    <row r="59" spans="1:22" ht="14.1" customHeight="1">
      <c r="A59" s="117">
        <v>52</v>
      </c>
      <c r="B59" s="19" t="s">
        <v>112</v>
      </c>
      <c r="C59" s="19" t="s">
        <v>113</v>
      </c>
      <c r="D59" s="20">
        <v>46295521704.510002</v>
      </c>
      <c r="E59" s="20">
        <v>834170306.99000001</v>
      </c>
      <c r="F59" s="20">
        <v>-104042503.52</v>
      </c>
      <c r="G59" s="20">
        <v>57661485.439999998</v>
      </c>
      <c r="H59" s="21">
        <f t="shared" si="30"/>
        <v>672466318.02999997</v>
      </c>
      <c r="I59" s="120">
        <v>45979499068</v>
      </c>
      <c r="J59" s="23">
        <f t="shared" si="21"/>
        <v>7.8784374403093535E-3</v>
      </c>
      <c r="K59" s="42">
        <v>46295521705</v>
      </c>
      <c r="L59" s="23">
        <f t="shared" si="22"/>
        <v>7.701610496154988E-3</v>
      </c>
      <c r="M59" s="23">
        <f t="shared" si="23"/>
        <v>6.8731204864286976E-3</v>
      </c>
      <c r="N59" s="25">
        <f t="shared" si="24"/>
        <v>1.2455089243280403E-3</v>
      </c>
      <c r="O59" s="26">
        <f t="shared" si="25"/>
        <v>1.4525515498346192E-2</v>
      </c>
      <c r="P59" s="43">
        <f t="shared" si="26"/>
        <v>100</v>
      </c>
      <c r="Q59" s="43">
        <f t="shared" si="27"/>
        <v>1.4525515498346191</v>
      </c>
      <c r="R59" s="28">
        <v>100</v>
      </c>
      <c r="S59" s="28">
        <v>100</v>
      </c>
      <c r="T59" s="28">
        <v>6880</v>
      </c>
      <c r="U59" s="44">
        <v>459794990.68000001</v>
      </c>
      <c r="V59" s="44">
        <v>462955217.05000001</v>
      </c>
    </row>
    <row r="60" spans="1:22">
      <c r="A60" s="110">
        <v>53</v>
      </c>
      <c r="B60" s="19" t="s">
        <v>114</v>
      </c>
      <c r="C60" s="30" t="s">
        <v>115</v>
      </c>
      <c r="D60" s="28">
        <v>111731265.93000001</v>
      </c>
      <c r="E60" s="28">
        <v>831270.22</v>
      </c>
      <c r="F60" s="28">
        <v>0</v>
      </c>
      <c r="G60" s="28">
        <v>9379.76</v>
      </c>
      <c r="H60" s="21">
        <f t="shared" si="30"/>
        <v>821890.46</v>
      </c>
      <c r="I60" s="120">
        <v>183690263.68000001</v>
      </c>
      <c r="J60" s="23">
        <f t="shared" si="21"/>
        <v>3.1474728523173514E-5</v>
      </c>
      <c r="K60" s="41">
        <v>178725572.81999999</v>
      </c>
      <c r="L60" s="23">
        <f t="shared" si="22"/>
        <v>2.9732352004430764E-5</v>
      </c>
      <c r="M60" s="23">
        <f t="shared" si="23"/>
        <v>-2.7027512294548275E-2</v>
      </c>
      <c r="N60" s="25">
        <f t="shared" si="24"/>
        <v>5.2481353686563057E-5</v>
      </c>
      <c r="O60" s="26">
        <f t="shared" si="25"/>
        <v>4.5986170139611249E-3</v>
      </c>
      <c r="P60" s="43">
        <f t="shared" si="26"/>
        <v>1.0119256453290595</v>
      </c>
      <c r="Q60" s="43">
        <f t="shared" si="27"/>
        <v>4.6534584894738044E-3</v>
      </c>
      <c r="R60" s="28">
        <v>1</v>
      </c>
      <c r="S60" s="28">
        <v>1</v>
      </c>
      <c r="T60" s="28">
        <v>100</v>
      </c>
      <c r="U60" s="45">
        <v>173369274</v>
      </c>
      <c r="V60" s="45">
        <v>176619274</v>
      </c>
    </row>
    <row r="61" spans="1:22" ht="15" customHeight="1">
      <c r="A61" s="110">
        <v>54</v>
      </c>
      <c r="B61" s="30" t="s">
        <v>116</v>
      </c>
      <c r="C61" s="30" t="s">
        <v>49</v>
      </c>
      <c r="D61" s="20">
        <v>2862582698.0700002</v>
      </c>
      <c r="E61" s="20">
        <v>93625865.810000002</v>
      </c>
      <c r="F61" s="28">
        <v>0</v>
      </c>
      <c r="G61" s="20">
        <v>3505193.96</v>
      </c>
      <c r="H61" s="21">
        <f t="shared" si="30"/>
        <v>90120671.850000009</v>
      </c>
      <c r="I61" s="121">
        <v>2788222771.0100002</v>
      </c>
      <c r="J61" s="23">
        <f t="shared" si="21"/>
        <v>4.7775289240452757E-4</v>
      </c>
      <c r="K61" s="42">
        <v>2917101534.25</v>
      </c>
      <c r="L61" s="23">
        <f t="shared" si="22"/>
        <v>4.8528192289716028E-4</v>
      </c>
      <c r="M61" s="23">
        <f t="shared" si="23"/>
        <v>4.6222548850827647E-2</v>
      </c>
      <c r="N61" s="25">
        <f t="shared" si="24"/>
        <v>1.2016016305381023E-3</v>
      </c>
      <c r="O61" s="26">
        <f t="shared" si="25"/>
        <v>3.0893909859455899E-2</v>
      </c>
      <c r="P61" s="43">
        <f t="shared" si="26"/>
        <v>9.4682011805561519</v>
      </c>
      <c r="Q61" s="43">
        <f t="shared" si="27"/>
        <v>0.29250975380329569</v>
      </c>
      <c r="R61" s="28">
        <v>10</v>
      </c>
      <c r="S61" s="28">
        <v>10</v>
      </c>
      <c r="T61" s="28">
        <v>1026</v>
      </c>
      <c r="U61" s="44">
        <v>242946362</v>
      </c>
      <c r="V61" s="44">
        <v>308094587.19999999</v>
      </c>
    </row>
    <row r="62" spans="1:22" ht="15" customHeight="1">
      <c r="A62" s="110">
        <v>55</v>
      </c>
      <c r="B62" s="28" t="s">
        <v>117</v>
      </c>
      <c r="C62" s="28" t="s">
        <v>118</v>
      </c>
      <c r="D62" s="20">
        <v>1120169116.77</v>
      </c>
      <c r="E62" s="20">
        <v>31825399.16</v>
      </c>
      <c r="F62" s="28">
        <v>0</v>
      </c>
      <c r="G62" s="20">
        <v>3765950.54</v>
      </c>
      <c r="H62" s="21">
        <f t="shared" si="30"/>
        <v>28059448.620000001</v>
      </c>
      <c r="I62" s="121">
        <v>1963040035</v>
      </c>
      <c r="J62" s="23">
        <f t="shared" si="21"/>
        <v>3.3636051766674683E-4</v>
      </c>
      <c r="K62" s="42">
        <v>2177571765</v>
      </c>
      <c r="L62" s="23">
        <f t="shared" si="22"/>
        <v>3.6225554748729543E-4</v>
      </c>
      <c r="M62" s="23">
        <f t="shared" si="23"/>
        <v>0.10928545835795957</v>
      </c>
      <c r="N62" s="25">
        <f t="shared" si="24"/>
        <v>1.7294266028472316E-3</v>
      </c>
      <c r="O62" s="26">
        <f t="shared" si="25"/>
        <v>1.2885659646675296E-2</v>
      </c>
      <c r="P62" s="43">
        <f t="shared" si="26"/>
        <v>1</v>
      </c>
      <c r="Q62" s="43">
        <f t="shared" si="27"/>
        <v>1.2885659646675296E-2</v>
      </c>
      <c r="R62" s="28">
        <v>1</v>
      </c>
      <c r="S62" s="28">
        <v>1</v>
      </c>
      <c r="T62" s="28">
        <v>277</v>
      </c>
      <c r="U62" s="44">
        <v>1963040035</v>
      </c>
      <c r="V62" s="44">
        <v>2177571765</v>
      </c>
    </row>
    <row r="63" spans="1:22" ht="15" customHeight="1">
      <c r="A63" s="110">
        <v>56</v>
      </c>
      <c r="B63" s="28" t="s">
        <v>119</v>
      </c>
      <c r="C63" s="28" t="s">
        <v>120</v>
      </c>
      <c r="D63" s="28">
        <v>1261885493.5699999</v>
      </c>
      <c r="E63" s="28">
        <v>28777648.760000002</v>
      </c>
      <c r="F63" s="28">
        <v>0</v>
      </c>
      <c r="G63" s="28">
        <v>4262982.6500000004</v>
      </c>
      <c r="H63" s="21">
        <f t="shared" si="30"/>
        <v>24514666.109999999</v>
      </c>
      <c r="I63" s="120">
        <v>2271968670.4099998</v>
      </c>
      <c r="J63" s="23">
        <f t="shared" si="21"/>
        <v>3.8929443336683557E-4</v>
      </c>
      <c r="K63" s="41">
        <v>2427364830.9000001</v>
      </c>
      <c r="L63" s="23">
        <f t="shared" si="22"/>
        <v>4.0381051495177051E-4</v>
      </c>
      <c r="M63" s="23">
        <f t="shared" si="23"/>
        <v>6.8397140556501354E-2</v>
      </c>
      <c r="N63" s="25">
        <f t="shared" si="24"/>
        <v>1.7562183466337047E-3</v>
      </c>
      <c r="O63" s="26">
        <f t="shared" si="25"/>
        <v>1.0099291955593934E-2</v>
      </c>
      <c r="P63" s="43">
        <f t="shared" si="26"/>
        <v>1</v>
      </c>
      <c r="Q63" s="43">
        <f t="shared" si="27"/>
        <v>1.0099291955593934E-2</v>
      </c>
      <c r="R63" s="28">
        <v>1</v>
      </c>
      <c r="S63" s="28">
        <v>1</v>
      </c>
      <c r="T63" s="28">
        <v>2599</v>
      </c>
      <c r="U63" s="45">
        <v>2092847326.75</v>
      </c>
      <c r="V63" s="45">
        <v>2427364830.9000001</v>
      </c>
    </row>
    <row r="64" spans="1:22" ht="15" customHeight="1">
      <c r="A64" s="110">
        <v>57</v>
      </c>
      <c r="B64" s="32" t="s">
        <v>121</v>
      </c>
      <c r="C64" s="33" t="s">
        <v>122</v>
      </c>
      <c r="D64" s="28">
        <v>20765133526.740002</v>
      </c>
      <c r="E64" s="28">
        <v>304380530.88999999</v>
      </c>
      <c r="F64" s="28">
        <v>0</v>
      </c>
      <c r="G64" s="28">
        <v>304380530.88999999</v>
      </c>
      <c r="H64" s="21">
        <f t="shared" si="30"/>
        <v>0</v>
      </c>
      <c r="I64" s="120">
        <v>13324959846.01</v>
      </c>
      <c r="J64" s="23">
        <f t="shared" si="21"/>
        <v>2.2831884789820595E-3</v>
      </c>
      <c r="K64" s="41">
        <v>20714032794.939999</v>
      </c>
      <c r="L64" s="23">
        <f t="shared" si="22"/>
        <v>3.4459361622007352E-3</v>
      </c>
      <c r="M64" s="23">
        <f t="shared" si="23"/>
        <v>0.55452872161131261</v>
      </c>
      <c r="N64" s="25">
        <f t="shared" si="24"/>
        <v>1.4694411943016414E-2</v>
      </c>
      <c r="O64" s="26">
        <f t="shared" si="25"/>
        <v>0</v>
      </c>
      <c r="P64" s="43">
        <f t="shared" si="26"/>
        <v>99.598693515201347</v>
      </c>
      <c r="Q64" s="43">
        <f t="shared" si="27"/>
        <v>0</v>
      </c>
      <c r="R64" s="28">
        <v>100</v>
      </c>
      <c r="S64" s="28">
        <v>100</v>
      </c>
      <c r="T64" s="28">
        <v>162</v>
      </c>
      <c r="U64" s="45">
        <v>137348010.06999999</v>
      </c>
      <c r="V64" s="45">
        <v>207974944.88999999</v>
      </c>
    </row>
    <row r="65" spans="1:23" ht="15" customHeight="1">
      <c r="A65" s="110">
        <v>58</v>
      </c>
      <c r="B65" s="32" t="s">
        <v>123</v>
      </c>
      <c r="C65" s="33" t="s">
        <v>87</v>
      </c>
      <c r="D65" s="20">
        <v>452317464.70999998</v>
      </c>
      <c r="E65" s="20">
        <v>4169438.41</v>
      </c>
      <c r="F65" s="28">
        <v>0</v>
      </c>
      <c r="G65" s="20">
        <v>465914.32</v>
      </c>
      <c r="H65" s="21">
        <f t="shared" si="30"/>
        <v>3703524.0900000003</v>
      </c>
      <c r="I65" s="120">
        <v>316455000</v>
      </c>
      <c r="J65" s="23">
        <f t="shared" si="21"/>
        <v>5.4223533764165116E-5</v>
      </c>
      <c r="K65" s="42">
        <v>429235000</v>
      </c>
      <c r="L65" s="23">
        <f t="shared" si="22"/>
        <v>7.1406491590741787E-5</v>
      </c>
      <c r="M65" s="23">
        <f t="shared" si="23"/>
        <v>0.35638558404828491</v>
      </c>
      <c r="N65" s="25">
        <f t="shared" si="24"/>
        <v>1.0854527706268128E-3</v>
      </c>
      <c r="O65" s="26">
        <f t="shared" si="25"/>
        <v>8.6281968851561509E-3</v>
      </c>
      <c r="P65" s="43">
        <f t="shared" si="26"/>
        <v>1000</v>
      </c>
      <c r="Q65" s="43">
        <f t="shared" si="27"/>
        <v>8.6281968851561501</v>
      </c>
      <c r="R65" s="28">
        <v>1000</v>
      </c>
      <c r="S65" s="28">
        <v>1000</v>
      </c>
      <c r="T65" s="28">
        <v>48</v>
      </c>
      <c r="U65" s="44">
        <v>316455</v>
      </c>
      <c r="V65" s="44">
        <v>429235</v>
      </c>
    </row>
    <row r="66" spans="1:23" ht="15" customHeight="1">
      <c r="A66" s="110">
        <v>59</v>
      </c>
      <c r="B66" s="32" t="s">
        <v>124</v>
      </c>
      <c r="C66" s="32" t="s">
        <v>39</v>
      </c>
      <c r="D66" s="20">
        <v>2567594891.0300002</v>
      </c>
      <c r="E66" s="20">
        <v>39008121.549999997</v>
      </c>
      <c r="F66" s="28">
        <v>0</v>
      </c>
      <c r="G66" s="20">
        <v>38524050.270000003</v>
      </c>
      <c r="H66" s="21">
        <f t="shared" si="30"/>
        <v>484071.27999999374</v>
      </c>
      <c r="I66" s="120">
        <v>2233117368.6399999</v>
      </c>
      <c r="J66" s="23">
        <f t="shared" si="21"/>
        <v>3.8263738932168743E-4</v>
      </c>
      <c r="K66" s="42">
        <v>2730464826.3800001</v>
      </c>
      <c r="L66" s="23">
        <f t="shared" si="22"/>
        <v>4.5423349368928375E-4</v>
      </c>
      <c r="M66" s="23">
        <f t="shared" si="23"/>
        <v>0.2227144281461981</v>
      </c>
      <c r="N66" s="25">
        <f t="shared" si="24"/>
        <v>1.4108971446108858E-2</v>
      </c>
      <c r="O66" s="26">
        <f t="shared" si="25"/>
        <v>1.7728530150735051E-4</v>
      </c>
      <c r="P66" s="43">
        <f t="shared" si="26"/>
        <v>1</v>
      </c>
      <c r="Q66" s="43">
        <f t="shared" si="27"/>
        <v>1.7728530150735051E-4</v>
      </c>
      <c r="R66" s="28">
        <v>1</v>
      </c>
      <c r="S66" s="28">
        <v>1</v>
      </c>
      <c r="T66" s="28">
        <v>582</v>
      </c>
      <c r="U66" s="44">
        <v>2386409073.9699998</v>
      </c>
      <c r="V66" s="44">
        <v>2730464826.3800001</v>
      </c>
    </row>
    <row r="67" spans="1:23">
      <c r="A67" s="110">
        <v>60</v>
      </c>
      <c r="B67" s="19" t="s">
        <v>125</v>
      </c>
      <c r="C67" s="19" t="s">
        <v>53</v>
      </c>
      <c r="D67" s="20">
        <v>2873701047054.7798</v>
      </c>
      <c r="E67" s="20">
        <v>40045174239.620003</v>
      </c>
      <c r="F67" s="28">
        <v>0</v>
      </c>
      <c r="G67" s="20">
        <v>4586671113.0799999</v>
      </c>
      <c r="H67" s="21">
        <f t="shared" si="30"/>
        <v>35458503126.540001</v>
      </c>
      <c r="I67" s="121">
        <v>2827563362054.3501</v>
      </c>
      <c r="J67" s="23">
        <f t="shared" si="21"/>
        <v>0.48449377457354215</v>
      </c>
      <c r="K67" s="42">
        <v>2869358488985.4702</v>
      </c>
      <c r="L67" s="23">
        <f t="shared" si="22"/>
        <v>0.47733950589901697</v>
      </c>
      <c r="M67" s="23">
        <f t="shared" si="23"/>
        <v>1.4781322849208975E-2</v>
      </c>
      <c r="N67" s="25">
        <f t="shared" si="24"/>
        <v>1.5985005466158139E-3</v>
      </c>
      <c r="O67" s="26">
        <f t="shared" si="25"/>
        <v>1.2357641355255402E-2</v>
      </c>
      <c r="P67" s="43">
        <f t="shared" si="26"/>
        <v>1.0000000000000036</v>
      </c>
      <c r="Q67" s="43">
        <f t="shared" si="27"/>
        <v>1.2357641355255447E-2</v>
      </c>
      <c r="R67" s="28">
        <v>100</v>
      </c>
      <c r="S67" s="28">
        <v>100</v>
      </c>
      <c r="T67" s="20">
        <v>347258</v>
      </c>
      <c r="U67" s="44">
        <v>2827563362054.3301</v>
      </c>
      <c r="V67" s="44">
        <v>2869358488985.46</v>
      </c>
    </row>
    <row r="68" spans="1:23">
      <c r="A68" s="110">
        <v>61</v>
      </c>
      <c r="B68" s="19" t="s">
        <v>126</v>
      </c>
      <c r="C68" s="19" t="s">
        <v>127</v>
      </c>
      <c r="D68" s="28">
        <v>6481818532.7399998</v>
      </c>
      <c r="E68" s="28">
        <v>682544977.50999999</v>
      </c>
      <c r="F68" s="28">
        <v>0</v>
      </c>
      <c r="G68" s="28">
        <v>95008237.329999998</v>
      </c>
      <c r="H68" s="21">
        <f t="shared" si="30"/>
        <v>587536740.17999995</v>
      </c>
      <c r="I68" s="120">
        <v>15319834897.841999</v>
      </c>
      <c r="J68" s="23">
        <f t="shared" si="21"/>
        <v>2.6250038231172544E-3</v>
      </c>
      <c r="K68" s="41">
        <v>16387797180.610001</v>
      </c>
      <c r="L68" s="23">
        <f t="shared" si="22"/>
        <v>2.726234117832912E-3</v>
      </c>
      <c r="M68" s="23">
        <f t="shared" si="23"/>
        <v>6.971108304296661E-2</v>
      </c>
      <c r="N68" s="25">
        <f t="shared" si="24"/>
        <v>5.797498973346674E-3</v>
      </c>
      <c r="O68" s="26">
        <f t="shared" si="25"/>
        <v>3.5852087605475855E-2</v>
      </c>
      <c r="P68" s="43">
        <f t="shared" si="26"/>
        <v>99.999999997620179</v>
      </c>
      <c r="Q68" s="43">
        <f t="shared" si="27"/>
        <v>3.585208760462264</v>
      </c>
      <c r="R68" s="28">
        <v>100</v>
      </c>
      <c r="S68" s="28">
        <v>100</v>
      </c>
      <c r="T68" s="28">
        <v>1588</v>
      </c>
      <c r="U68" s="45">
        <v>153198348.97999999</v>
      </c>
      <c r="V68" s="45">
        <v>163877971.81</v>
      </c>
    </row>
    <row r="69" spans="1:23">
      <c r="A69" s="110">
        <v>62</v>
      </c>
      <c r="B69" s="19" t="s">
        <v>128</v>
      </c>
      <c r="C69" s="19" t="s">
        <v>129</v>
      </c>
      <c r="D69" s="20">
        <v>18053620127.580002</v>
      </c>
      <c r="E69" s="20">
        <v>302872433.73000002</v>
      </c>
      <c r="F69" s="28">
        <v>0</v>
      </c>
      <c r="G69" s="20">
        <v>26384376.039999999</v>
      </c>
      <c r="H69" s="21">
        <f t="shared" si="30"/>
        <v>276488057.69</v>
      </c>
      <c r="I69" s="120">
        <v>17579261454.669998</v>
      </c>
      <c r="J69" s="23">
        <f t="shared" si="21"/>
        <v>3.0121492061632301E-3</v>
      </c>
      <c r="K69" s="42">
        <v>18007306030.029999</v>
      </c>
      <c r="L69" s="23">
        <f t="shared" si="22"/>
        <v>2.9956516747358698E-3</v>
      </c>
      <c r="M69" s="23">
        <f t="shared" si="23"/>
        <v>2.4349406058028048E-2</v>
      </c>
      <c r="N69" s="25">
        <f t="shared" si="24"/>
        <v>1.4652039564385659E-3</v>
      </c>
      <c r="O69" s="26">
        <f t="shared" si="25"/>
        <v>1.5354215518351991E-2</v>
      </c>
      <c r="P69" s="43">
        <f t="shared" si="26"/>
        <v>1.0426328472345769</v>
      </c>
      <c r="Q69" s="43">
        <f t="shared" si="27"/>
        <v>1.6008809442952663E-2</v>
      </c>
      <c r="R69" s="28">
        <v>1</v>
      </c>
      <c r="S69" s="28">
        <v>1</v>
      </c>
      <c r="T69" s="28">
        <v>979</v>
      </c>
      <c r="U69" s="44">
        <v>17077819263.24</v>
      </c>
      <c r="V69" s="44">
        <v>17270994365.650002</v>
      </c>
    </row>
    <row r="70" spans="1:23">
      <c r="A70" s="110">
        <v>63</v>
      </c>
      <c r="B70" s="19" t="s">
        <v>130</v>
      </c>
      <c r="C70" s="19" t="s">
        <v>56</v>
      </c>
      <c r="D70" s="28">
        <v>70161805189</v>
      </c>
      <c r="E70" s="28">
        <v>3586816099</v>
      </c>
      <c r="F70" s="28">
        <v>0</v>
      </c>
      <c r="G70" s="28">
        <v>373454873</v>
      </c>
      <c r="H70" s="21">
        <f t="shared" si="30"/>
        <v>3213361226</v>
      </c>
      <c r="I70" s="120">
        <v>236653721743.87</v>
      </c>
      <c r="J70" s="23">
        <f t="shared" si="21"/>
        <v>4.0549844595263375E-2</v>
      </c>
      <c r="K70" s="41">
        <v>248920900518</v>
      </c>
      <c r="L70" s="23">
        <f t="shared" si="22"/>
        <v>4.1409876150822839E-2</v>
      </c>
      <c r="M70" s="23">
        <f t="shared" si="23"/>
        <v>5.1835985015299089E-2</v>
      </c>
      <c r="N70" s="25">
        <f t="shared" si="24"/>
        <v>1.5002953637996931E-3</v>
      </c>
      <c r="O70" s="26">
        <f t="shared" si="25"/>
        <v>1.2909166001380567E-2</v>
      </c>
      <c r="P70" s="43">
        <f t="shared" si="26"/>
        <v>1.0295491242830805</v>
      </c>
      <c r="Q70" s="43">
        <f t="shared" si="27"/>
        <v>1.329062055194628E-2</v>
      </c>
      <c r="R70" s="28">
        <v>1</v>
      </c>
      <c r="S70" s="28">
        <v>1</v>
      </c>
      <c r="T70" s="28">
        <v>21974</v>
      </c>
      <c r="U70" s="45">
        <v>232632948751.03</v>
      </c>
      <c r="V70" s="45">
        <v>241776613322.20001</v>
      </c>
    </row>
    <row r="71" spans="1:23">
      <c r="A71" s="110">
        <v>64</v>
      </c>
      <c r="B71" s="47" t="s">
        <v>131</v>
      </c>
      <c r="C71" s="19" t="s">
        <v>132</v>
      </c>
      <c r="D71" s="20">
        <v>1459151846.23</v>
      </c>
      <c r="E71" s="20">
        <v>44179969.109999999</v>
      </c>
      <c r="F71" s="28">
        <v>0</v>
      </c>
      <c r="G71" s="20">
        <v>7271282.5099999998</v>
      </c>
      <c r="H71" s="21">
        <f t="shared" si="30"/>
        <v>36908686.600000001</v>
      </c>
      <c r="I71" s="120">
        <v>3327976736.4400001</v>
      </c>
      <c r="J71" s="23">
        <f t="shared" si="21"/>
        <v>5.7023797675723371E-4</v>
      </c>
      <c r="K71" s="42">
        <v>3168657559.5500002</v>
      </c>
      <c r="L71" s="23">
        <f t="shared" si="22"/>
        <v>5.2713017200355864E-4</v>
      </c>
      <c r="M71" s="23">
        <f t="shared" si="23"/>
        <v>-4.787268346726084E-2</v>
      </c>
      <c r="N71" s="25">
        <f t="shared" si="24"/>
        <v>2.2947517594904252E-3</v>
      </c>
      <c r="O71" s="26">
        <f t="shared" si="25"/>
        <v>1.1648051550651508E-2</v>
      </c>
      <c r="P71" s="43">
        <f t="shared" si="26"/>
        <v>1.0322608457873259</v>
      </c>
      <c r="Q71" s="43">
        <f t="shared" si="27"/>
        <v>1.20238275454499E-2</v>
      </c>
      <c r="R71" s="28">
        <v>1</v>
      </c>
      <c r="S71" s="28">
        <v>1</v>
      </c>
      <c r="T71" s="28">
        <v>169</v>
      </c>
      <c r="U71" s="44">
        <v>3264937098.1100001</v>
      </c>
      <c r="V71" s="44">
        <v>3069628740.1399999</v>
      </c>
    </row>
    <row r="72" spans="1:23">
      <c r="A72" s="110">
        <v>65</v>
      </c>
      <c r="B72" s="19" t="s">
        <v>133</v>
      </c>
      <c r="C72" s="19" t="s">
        <v>134</v>
      </c>
      <c r="D72" s="20">
        <v>12148737044.35</v>
      </c>
      <c r="E72" s="20">
        <v>161574065.68000001</v>
      </c>
      <c r="F72" s="28">
        <v>0</v>
      </c>
      <c r="G72" s="20">
        <v>16675258.75</v>
      </c>
      <c r="H72" s="21">
        <f t="shared" si="30"/>
        <v>144898806.93000001</v>
      </c>
      <c r="I72" s="120">
        <v>11360157113.549999</v>
      </c>
      <c r="J72" s="23">
        <f t="shared" si="21"/>
        <v>1.9465259288454881E-3</v>
      </c>
      <c r="K72" s="42">
        <v>12105767820.93</v>
      </c>
      <c r="L72" s="23">
        <f t="shared" si="22"/>
        <v>2.0138861185707378E-3</v>
      </c>
      <c r="M72" s="23">
        <f t="shared" si="23"/>
        <v>6.5633837624539768E-2</v>
      </c>
      <c r="N72" s="25">
        <f t="shared" si="24"/>
        <v>1.3774639491408119E-3</v>
      </c>
      <c r="O72" s="26">
        <f t="shared" si="25"/>
        <v>1.1969402442980974E-2</v>
      </c>
      <c r="P72" s="43">
        <f t="shared" si="26"/>
        <v>1.0331040945857597</v>
      </c>
      <c r="Q72" s="43">
        <f t="shared" si="27"/>
        <v>1.236563867358844E-2</v>
      </c>
      <c r="R72" s="28">
        <v>1</v>
      </c>
      <c r="S72" s="28">
        <v>1</v>
      </c>
      <c r="T72" s="28">
        <v>729</v>
      </c>
      <c r="U72" s="44">
        <v>11113197595.959999</v>
      </c>
      <c r="V72" s="44">
        <v>11717858717.6</v>
      </c>
    </row>
    <row r="73" spans="1:23">
      <c r="A73" s="110">
        <v>66</v>
      </c>
      <c r="B73" s="32" t="s">
        <v>135</v>
      </c>
      <c r="C73" s="32" t="s">
        <v>58</v>
      </c>
      <c r="D73" s="28">
        <v>6247666779.0900002</v>
      </c>
      <c r="E73" s="20">
        <v>306773963.26999998</v>
      </c>
      <c r="F73" s="28"/>
      <c r="G73" s="20">
        <v>41535116.5</v>
      </c>
      <c r="H73" s="21">
        <f t="shared" si="30"/>
        <v>265238846.76999998</v>
      </c>
      <c r="I73" s="120">
        <v>18172659198.169998</v>
      </c>
      <c r="J73" s="23">
        <f t="shared" si="21"/>
        <v>3.1138259772057219E-3</v>
      </c>
      <c r="K73" s="41">
        <v>19844321495.66</v>
      </c>
      <c r="L73" s="23">
        <f t="shared" si="22"/>
        <v>3.3012531037865558E-3</v>
      </c>
      <c r="M73" s="23">
        <f t="shared" si="23"/>
        <v>9.1987764655727403E-2</v>
      </c>
      <c r="N73" s="25">
        <f t="shared" si="24"/>
        <v>2.093047953747566E-3</v>
      </c>
      <c r="O73" s="26">
        <f t="shared" si="25"/>
        <v>1.3365982143960344E-2</v>
      </c>
      <c r="P73" s="43">
        <f t="shared" si="26"/>
        <v>1.004934816882584</v>
      </c>
      <c r="Q73" s="43">
        <f t="shared" si="27"/>
        <v>1.3431940818296677E-2</v>
      </c>
      <c r="R73" s="28">
        <v>1</v>
      </c>
      <c r="S73" s="28">
        <v>1</v>
      </c>
      <c r="T73" s="28">
        <v>3687</v>
      </c>
      <c r="U73" s="44">
        <v>19746874287.049999</v>
      </c>
      <c r="V73" s="44">
        <v>19746874287.049999</v>
      </c>
    </row>
    <row r="74" spans="1:23">
      <c r="A74" s="110">
        <v>67</v>
      </c>
      <c r="B74" s="19" t="s">
        <v>136</v>
      </c>
      <c r="C74" s="19" t="s">
        <v>137</v>
      </c>
      <c r="D74" s="20">
        <v>157338085190.87</v>
      </c>
      <c r="E74" s="20">
        <v>2193769618.3000002</v>
      </c>
      <c r="F74" s="28">
        <v>0</v>
      </c>
      <c r="G74" s="20">
        <v>183060741.38</v>
      </c>
      <c r="H74" s="21">
        <f t="shared" si="30"/>
        <v>2010708876.9200001</v>
      </c>
      <c r="I74" s="121">
        <v>155662298060.29999</v>
      </c>
      <c r="J74" s="23">
        <f t="shared" si="21"/>
        <v>2.6672227882890809E-2</v>
      </c>
      <c r="K74" s="42">
        <v>158266168764.48999</v>
      </c>
      <c r="L74" s="23">
        <f t="shared" si="22"/>
        <v>2.6328775260592626E-2</v>
      </c>
      <c r="M74" s="23">
        <f t="shared" si="23"/>
        <v>1.6727690241225418E-2</v>
      </c>
      <c r="N74" s="25">
        <f t="shared" si="24"/>
        <v>1.1566637570686752E-3</v>
      </c>
      <c r="O74" s="26">
        <f t="shared" si="25"/>
        <v>1.2704603217583798E-2</v>
      </c>
      <c r="P74" s="43">
        <f t="shared" si="26"/>
        <v>1.0385237626289872</v>
      </c>
      <c r="Q74" s="43">
        <f t="shared" si="27"/>
        <v>1.3194032336233464E-2</v>
      </c>
      <c r="R74" s="28">
        <v>1</v>
      </c>
      <c r="S74" s="28">
        <v>1</v>
      </c>
      <c r="T74" s="28">
        <v>8790</v>
      </c>
      <c r="U74" s="44">
        <v>152046541273.98001</v>
      </c>
      <c r="V74" s="44">
        <v>152395327347.97</v>
      </c>
    </row>
    <row r="75" spans="1:23" ht="15" customHeight="1">
      <c r="A75" s="177" t="s">
        <v>61</v>
      </c>
      <c r="B75" s="177"/>
      <c r="C75" s="177"/>
      <c r="D75" s="177"/>
      <c r="E75" s="177"/>
      <c r="F75" s="177"/>
      <c r="G75" s="177"/>
      <c r="H75" s="177"/>
      <c r="I75" s="48">
        <f>SUM(I28:I74)</f>
        <v>5836119080256.9316</v>
      </c>
      <c r="J75" s="38">
        <f>(I75/$I$247)</f>
        <v>0.64454398713692929</v>
      </c>
      <c r="K75" s="40">
        <f>SUM(K28:K74)</f>
        <v>6011148152469.2705</v>
      </c>
      <c r="L75" s="38">
        <f>(K75/$K$247)</f>
        <v>0.65389428168168595</v>
      </c>
      <c r="M75" s="38">
        <f t="shared" si="16"/>
        <v>2.9990661568994804E-2</v>
      </c>
      <c r="N75" s="25"/>
      <c r="O75" s="25"/>
      <c r="P75" s="49"/>
      <c r="Q75" s="49"/>
      <c r="R75" s="40"/>
      <c r="S75" s="40"/>
      <c r="T75" s="40">
        <f>SUM(T28:T74)</f>
        <v>750973</v>
      </c>
      <c r="U75" s="40"/>
      <c r="V75" s="40"/>
    </row>
    <row r="76" spans="1:23" ht="6" customHeight="1">
      <c r="A76" s="179"/>
      <c r="B76" s="179"/>
      <c r="C76" s="179"/>
      <c r="D76" s="179"/>
      <c r="E76" s="179"/>
      <c r="F76" s="179"/>
      <c r="G76" s="179"/>
      <c r="H76" s="179"/>
      <c r="I76" s="179"/>
      <c r="J76" s="179"/>
      <c r="K76" s="179"/>
      <c r="L76" s="179"/>
      <c r="M76" s="179"/>
      <c r="N76" s="179"/>
      <c r="O76" s="179"/>
      <c r="P76" s="179"/>
      <c r="Q76" s="179"/>
      <c r="R76" s="179"/>
      <c r="S76" s="179"/>
      <c r="T76" s="179"/>
      <c r="U76" s="179"/>
      <c r="V76" s="179"/>
      <c r="W76" s="14"/>
    </row>
    <row r="77" spans="1:23" ht="12.75" customHeight="1">
      <c r="A77" s="180" t="s">
        <v>138</v>
      </c>
      <c r="B77" s="181"/>
      <c r="C77" s="181"/>
      <c r="D77" s="181"/>
      <c r="E77" s="181"/>
      <c r="F77" s="181"/>
      <c r="G77" s="181"/>
      <c r="H77" s="181"/>
      <c r="I77" s="181"/>
      <c r="J77" s="181"/>
      <c r="K77" s="181"/>
      <c r="L77" s="181"/>
      <c r="M77" s="181"/>
      <c r="N77" s="181"/>
      <c r="O77" s="181"/>
      <c r="P77" s="181"/>
      <c r="Q77" s="181"/>
      <c r="R77" s="181"/>
      <c r="S77" s="181"/>
      <c r="T77" s="181"/>
      <c r="U77" s="181"/>
      <c r="V77" s="182"/>
    </row>
    <row r="78" spans="1:23">
      <c r="A78" s="29">
        <v>68</v>
      </c>
      <c r="B78" s="19" t="s">
        <v>139</v>
      </c>
      <c r="C78" s="19" t="s">
        <v>27</v>
      </c>
      <c r="D78" s="20">
        <v>1044515925.87</v>
      </c>
      <c r="E78" s="20">
        <v>15682251.640000001</v>
      </c>
      <c r="F78" s="28">
        <v>0</v>
      </c>
      <c r="G78" s="20">
        <v>1471520.31</v>
      </c>
      <c r="H78" s="21">
        <f t="shared" ref="H78:H115" si="31">(E78+F78)-G78</f>
        <v>14210731.33</v>
      </c>
      <c r="I78" s="28">
        <v>1140139711.0899999</v>
      </c>
      <c r="J78" s="23">
        <f t="shared" ref="J78:J115" si="32">(I78/$I$116)</f>
        <v>4.8782223266352074E-3</v>
      </c>
      <c r="K78" s="20">
        <v>1069256443.91</v>
      </c>
      <c r="L78" s="23">
        <f t="shared" ref="L78" si="33">(K78/$K$116)</f>
        <v>4.4974105674662002E-3</v>
      </c>
      <c r="M78" s="23">
        <f t="shared" ref="M78:M116" si="34">((K78-I78)/I78)</f>
        <v>-6.2170685303324716E-2</v>
      </c>
      <c r="N78" s="25">
        <f t="shared" ref="N78" si="35">(G78/K78)</f>
        <v>1.3762089706179587E-3</v>
      </c>
      <c r="O78" s="26">
        <f t="shared" ref="O78" si="36">H78/K78</f>
        <v>1.3290292904885339E-2</v>
      </c>
      <c r="P78" s="43">
        <f t="shared" ref="P78" si="37">K78/V78</f>
        <v>1.7161690101521057</v>
      </c>
      <c r="Q78" s="43">
        <f t="shared" ref="Q78" si="38">H78/V78</f>
        <v>2.2808388819208623E-2</v>
      </c>
      <c r="R78" s="28">
        <v>1.78</v>
      </c>
      <c r="S78" s="28">
        <v>1.78</v>
      </c>
      <c r="T78" s="34">
        <v>445</v>
      </c>
      <c r="U78" s="20">
        <v>641924334.84000003</v>
      </c>
      <c r="V78" s="20">
        <v>623048451.27999997</v>
      </c>
    </row>
    <row r="79" spans="1:23" ht="13.05" customHeight="1">
      <c r="A79" s="29">
        <v>69</v>
      </c>
      <c r="B79" s="19" t="s">
        <v>140</v>
      </c>
      <c r="C79" s="30" t="s">
        <v>29</v>
      </c>
      <c r="D79" s="20">
        <v>1007647724</v>
      </c>
      <c r="E79" s="20">
        <v>16173442</v>
      </c>
      <c r="F79" s="20">
        <v>11536750</v>
      </c>
      <c r="G79" s="20">
        <v>2681168</v>
      </c>
      <c r="H79" s="21">
        <f t="shared" si="31"/>
        <v>25029024</v>
      </c>
      <c r="I79" s="28">
        <v>1207175560</v>
      </c>
      <c r="J79" s="23">
        <f t="shared" si="32"/>
        <v>5.1650431185582182E-3</v>
      </c>
      <c r="K79" s="20">
        <v>1307433638</v>
      </c>
      <c r="L79" s="23">
        <f t="shared" ref="L79:L115" si="39">(K79/$K$116)</f>
        <v>5.4992101224099876E-3</v>
      </c>
      <c r="M79" s="23">
        <f t="shared" ref="M79:M115" si="40">((K79-I79)/I79)</f>
        <v>8.3051779146357141E-2</v>
      </c>
      <c r="N79" s="25">
        <f t="shared" ref="N79:N115" si="41">(G79/K79)</f>
        <v>2.0507105845168718E-3</v>
      </c>
      <c r="O79" s="26">
        <f t="shared" ref="O79:O115" si="42">H79/K79</f>
        <v>1.9143628611458442E-2</v>
      </c>
      <c r="P79" s="43">
        <f t="shared" ref="P79:P115" si="43">K79/V79</f>
        <v>1.3954966345370212</v>
      </c>
      <c r="Q79" s="43">
        <f t="shared" ref="Q79:Q115" si="44">H79/V79</f>
        <v>2.6714869300116885E-2</v>
      </c>
      <c r="R79" s="28">
        <v>1.3955</v>
      </c>
      <c r="S79" s="28">
        <v>1.4</v>
      </c>
      <c r="T79" s="35">
        <v>1578</v>
      </c>
      <c r="U79" s="20">
        <v>861842844</v>
      </c>
      <c r="V79" s="20">
        <v>936894870</v>
      </c>
    </row>
    <row r="80" spans="1:23" ht="15" customHeight="1">
      <c r="A80" s="110">
        <v>70</v>
      </c>
      <c r="B80" s="19" t="s">
        <v>141</v>
      </c>
      <c r="C80" s="19" t="s">
        <v>142</v>
      </c>
      <c r="D80" s="20">
        <v>513012541</v>
      </c>
      <c r="E80" s="20">
        <v>8396179</v>
      </c>
      <c r="F80" s="20">
        <v>2439898</v>
      </c>
      <c r="G80" s="20">
        <v>1489847</v>
      </c>
      <c r="H80" s="21">
        <f t="shared" si="31"/>
        <v>9346230</v>
      </c>
      <c r="I80" s="28">
        <v>671867582</v>
      </c>
      <c r="J80" s="23">
        <f t="shared" si="32"/>
        <v>2.874664751323701E-3</v>
      </c>
      <c r="K80" s="20">
        <v>690884783</v>
      </c>
      <c r="L80" s="23">
        <f t="shared" si="39"/>
        <v>2.9059376182981669E-3</v>
      </c>
      <c r="M80" s="23">
        <f t="shared" si="40"/>
        <v>2.830498376389888E-2</v>
      </c>
      <c r="N80" s="25">
        <f t="shared" si="41"/>
        <v>2.156433368716995E-3</v>
      </c>
      <c r="O80" s="26">
        <f t="shared" si="42"/>
        <v>1.3527914103732691E-2</v>
      </c>
      <c r="P80" s="43">
        <f t="shared" si="43"/>
        <v>1.2577273780565443</v>
      </c>
      <c r="Q80" s="43">
        <f t="shared" si="44"/>
        <v>1.7014427936261865E-2</v>
      </c>
      <c r="R80" s="28">
        <v>1.2577</v>
      </c>
      <c r="S80" s="28">
        <v>1.26</v>
      </c>
      <c r="T80" s="34">
        <v>889</v>
      </c>
      <c r="U80" s="20">
        <v>545402710</v>
      </c>
      <c r="V80" s="20">
        <v>549312033</v>
      </c>
    </row>
    <row r="81" spans="1:24">
      <c r="A81" s="110">
        <v>71</v>
      </c>
      <c r="B81" s="19" t="s">
        <v>143</v>
      </c>
      <c r="C81" s="30" t="s">
        <v>74</v>
      </c>
      <c r="D81" s="20">
        <v>261650368.88999999</v>
      </c>
      <c r="E81" s="20">
        <v>4580357.8600000003</v>
      </c>
      <c r="F81" s="28">
        <v>0</v>
      </c>
      <c r="G81" s="20">
        <v>511723.19</v>
      </c>
      <c r="H81" s="21">
        <f t="shared" si="31"/>
        <v>4068634.6700000004</v>
      </c>
      <c r="I81" s="28">
        <v>323118668.45999998</v>
      </c>
      <c r="J81" s="23">
        <f t="shared" si="32"/>
        <v>1.382501361282544E-3</v>
      </c>
      <c r="K81" s="20">
        <v>309613144.36000001</v>
      </c>
      <c r="L81" s="23">
        <f t="shared" si="39"/>
        <v>1.3022670428613347E-3</v>
      </c>
      <c r="M81" s="23">
        <f t="shared" si="40"/>
        <v>-4.1797411967460688E-2</v>
      </c>
      <c r="N81" s="25">
        <f t="shared" si="41"/>
        <v>1.6527825104382464E-3</v>
      </c>
      <c r="O81" s="26">
        <f t="shared" si="42"/>
        <v>1.3141026936728599E-2</v>
      </c>
      <c r="P81" s="43">
        <f t="shared" si="43"/>
        <v>1188.3425488404941</v>
      </c>
      <c r="Q81" s="43">
        <f t="shared" si="44"/>
        <v>15.616041444373653</v>
      </c>
      <c r="R81" s="20">
        <v>1188.28</v>
      </c>
      <c r="S81" s="20">
        <v>1188.28</v>
      </c>
      <c r="T81" s="34">
        <v>98</v>
      </c>
      <c r="U81" s="20">
        <v>262046</v>
      </c>
      <c r="V81" s="20">
        <v>260542</v>
      </c>
    </row>
    <row r="82" spans="1:24">
      <c r="A82" s="110">
        <v>72</v>
      </c>
      <c r="B82" s="19" t="s">
        <v>144</v>
      </c>
      <c r="C82" s="30" t="s">
        <v>33</v>
      </c>
      <c r="D82" s="20">
        <v>1818168035.6700001</v>
      </c>
      <c r="E82" s="28">
        <v>25939590.399999999</v>
      </c>
      <c r="F82" s="28">
        <v>82925037.200000003</v>
      </c>
      <c r="G82" s="28">
        <v>2526784.06</v>
      </c>
      <c r="H82" s="21">
        <f t="shared" si="31"/>
        <v>106337843.53999999</v>
      </c>
      <c r="I82" s="28">
        <v>1891762007.0799999</v>
      </c>
      <c r="J82" s="23">
        <f t="shared" si="32"/>
        <v>8.0941270353571751E-3</v>
      </c>
      <c r="K82" s="28">
        <v>1809494874.0699999</v>
      </c>
      <c r="L82" s="23">
        <f t="shared" si="39"/>
        <v>7.6109350705987639E-3</v>
      </c>
      <c r="M82" s="23">
        <f t="shared" si="40"/>
        <v>-4.3487041552854822E-2</v>
      </c>
      <c r="N82" s="25">
        <f t="shared" si="41"/>
        <v>1.3964029941221331E-3</v>
      </c>
      <c r="O82" s="26">
        <f t="shared" si="42"/>
        <v>5.8766590093079385E-2</v>
      </c>
      <c r="P82" s="43">
        <f t="shared" si="43"/>
        <v>1.1304688499791971</v>
      </c>
      <c r="Q82" s="43">
        <f t="shared" si="44"/>
        <v>6.6433799519722322E-2</v>
      </c>
      <c r="R82" s="28">
        <v>1.1305000000000001</v>
      </c>
      <c r="S82" s="28">
        <v>1.1299999999999999</v>
      </c>
      <c r="T82" s="34">
        <v>1185</v>
      </c>
      <c r="U82" s="28">
        <v>1550650214.1099999</v>
      </c>
      <c r="V82" s="28">
        <v>1600658765.7</v>
      </c>
    </row>
    <row r="83" spans="1:24">
      <c r="A83" s="110">
        <v>73</v>
      </c>
      <c r="B83" s="19" t="s">
        <v>145</v>
      </c>
      <c r="C83" s="19" t="s">
        <v>146</v>
      </c>
      <c r="D83" s="20">
        <v>518082729.14999998</v>
      </c>
      <c r="E83" s="20">
        <v>5734908.79</v>
      </c>
      <c r="F83" s="28">
        <v>0</v>
      </c>
      <c r="G83" s="20">
        <v>1014773.54</v>
      </c>
      <c r="H83" s="21">
        <f t="shared" si="31"/>
        <v>4720135.25</v>
      </c>
      <c r="I83" s="28">
        <v>509359477.07999998</v>
      </c>
      <c r="J83" s="23">
        <f t="shared" si="32"/>
        <v>2.1793546433001563E-3</v>
      </c>
      <c r="K83" s="20">
        <v>514113473</v>
      </c>
      <c r="L83" s="23">
        <f t="shared" si="39"/>
        <v>2.1624179863643325E-3</v>
      </c>
      <c r="M83" s="23">
        <f t="shared" si="40"/>
        <v>9.3332825517514709E-3</v>
      </c>
      <c r="N83" s="25">
        <f t="shared" si="41"/>
        <v>1.9738318353699322E-3</v>
      </c>
      <c r="O83" s="26">
        <f t="shared" si="42"/>
        <v>9.1811156444834112E-3</v>
      </c>
      <c r="P83" s="43">
        <f t="shared" si="43"/>
        <v>2.9279443496500934</v>
      </c>
      <c r="Q83" s="43">
        <f t="shared" si="44"/>
        <v>2.6881795674749281E-2</v>
      </c>
      <c r="R83" s="28">
        <v>2.9234</v>
      </c>
      <c r="S83" s="28">
        <v>2.9234</v>
      </c>
      <c r="T83" s="34">
        <v>1389</v>
      </c>
      <c r="U83" s="20">
        <v>175588539.81</v>
      </c>
      <c r="V83" s="20">
        <v>175588539.81</v>
      </c>
    </row>
    <row r="84" spans="1:24">
      <c r="A84" s="110">
        <v>74</v>
      </c>
      <c r="B84" s="19" t="s">
        <v>147</v>
      </c>
      <c r="C84" s="19" t="s">
        <v>148</v>
      </c>
      <c r="D84" s="28">
        <v>3422838702.8699999</v>
      </c>
      <c r="E84" s="20">
        <v>62219004.159999996</v>
      </c>
      <c r="F84" s="28">
        <v>0</v>
      </c>
      <c r="G84" s="20">
        <v>7872473.0800000001</v>
      </c>
      <c r="H84" s="21">
        <f t="shared" ref="H84" si="45">(E84+F84)-G84</f>
        <v>54346531.079999998</v>
      </c>
      <c r="I84" s="28">
        <v>3746905914.8899999</v>
      </c>
      <c r="J84" s="23">
        <f t="shared" si="32"/>
        <v>1.6031579210887669E-2</v>
      </c>
      <c r="K84" s="20">
        <v>4742972033.6800003</v>
      </c>
      <c r="L84" s="23">
        <f t="shared" si="39"/>
        <v>1.9949463636119588E-2</v>
      </c>
      <c r="M84" s="23">
        <f t="shared" si="40"/>
        <v>0.26583697093425485</v>
      </c>
      <c r="N84" s="25">
        <f t="shared" si="41"/>
        <v>1.6598185745345555E-3</v>
      </c>
      <c r="O84" s="26">
        <f t="shared" si="42"/>
        <v>1.1458328384414559E-2</v>
      </c>
      <c r="P84" s="43">
        <f t="shared" si="43"/>
        <v>1233.3403890492875</v>
      </c>
      <c r="Q84" s="43">
        <f t="shared" si="44"/>
        <v>14.132019187488346</v>
      </c>
      <c r="R84" s="20">
        <v>1233.3399999999999</v>
      </c>
      <c r="S84" s="20">
        <v>1233.3399999999999</v>
      </c>
      <c r="T84" s="34">
        <v>389</v>
      </c>
      <c r="U84" s="20">
        <v>3073892</v>
      </c>
      <c r="V84" s="20">
        <v>3845631</v>
      </c>
    </row>
    <row r="85" spans="1:24">
      <c r="A85" s="110">
        <v>75</v>
      </c>
      <c r="B85" s="112" t="s">
        <v>328</v>
      </c>
      <c r="C85" s="19" t="s">
        <v>51</v>
      </c>
      <c r="D85" s="20">
        <v>1201104850.79</v>
      </c>
      <c r="E85" s="20">
        <v>15912763.890000001</v>
      </c>
      <c r="F85" s="20">
        <v>50132259.630000003</v>
      </c>
      <c r="G85" s="20">
        <v>2460904.9</v>
      </c>
      <c r="H85" s="21">
        <f>(E85+F85)-G85</f>
        <v>63584118.620000005</v>
      </c>
      <c r="I85" s="28">
        <v>1213961535.8499999</v>
      </c>
      <c r="J85" s="23">
        <f t="shared" si="32"/>
        <v>5.1940777171933534E-3</v>
      </c>
      <c r="K85" s="20">
        <v>1193152329.6500001</v>
      </c>
      <c r="L85" s="23">
        <f t="shared" si="39"/>
        <v>5.0185303315473809E-3</v>
      </c>
      <c r="M85" s="23">
        <f t="shared" si="40"/>
        <v>-1.7141569634189009E-2</v>
      </c>
      <c r="N85" s="25">
        <f t="shared" si="41"/>
        <v>2.0625236517133423E-3</v>
      </c>
      <c r="O85" s="26">
        <f t="shared" si="42"/>
        <v>5.3290864074876175E-2</v>
      </c>
      <c r="P85" s="43">
        <f t="shared" si="43"/>
        <v>105.99559349598842</v>
      </c>
      <c r="Q85" s="43">
        <f t="shared" si="44"/>
        <v>5.6485967655305478</v>
      </c>
      <c r="R85" s="28">
        <v>105.99</v>
      </c>
      <c r="S85" s="28">
        <v>106.7</v>
      </c>
      <c r="T85" s="34">
        <v>3943</v>
      </c>
      <c r="U85" s="20">
        <v>10463294</v>
      </c>
      <c r="V85" s="20">
        <v>11256622</v>
      </c>
    </row>
    <row r="86" spans="1:24">
      <c r="A86" s="110">
        <v>76</v>
      </c>
      <c r="B86" s="32" t="s">
        <v>149</v>
      </c>
      <c r="C86" s="33" t="s">
        <v>79</v>
      </c>
      <c r="D86" s="20">
        <v>201265703.03999999</v>
      </c>
      <c r="E86" s="20">
        <v>11457422.960000001</v>
      </c>
      <c r="F86" s="28">
        <v>0</v>
      </c>
      <c r="G86" s="20">
        <v>439662.64</v>
      </c>
      <c r="H86" s="21">
        <f t="shared" si="31"/>
        <v>11017760.32</v>
      </c>
      <c r="I86" s="28">
        <v>198928003.71000001</v>
      </c>
      <c r="J86" s="23">
        <f t="shared" si="32"/>
        <v>8.5113694370258727E-4</v>
      </c>
      <c r="K86" s="20">
        <v>196646489.02000001</v>
      </c>
      <c r="L86" s="23">
        <f t="shared" si="39"/>
        <v>8.271168275962382E-4</v>
      </c>
      <c r="M86" s="23">
        <f t="shared" si="40"/>
        <v>-1.1469047330943014E-2</v>
      </c>
      <c r="N86" s="25">
        <f t="shared" si="41"/>
        <v>2.2358021350449026E-3</v>
      </c>
      <c r="O86" s="26">
        <f t="shared" si="42"/>
        <v>5.6028258500356108E-2</v>
      </c>
      <c r="P86" s="43">
        <f t="shared" si="43"/>
        <v>11.990859979557369</v>
      </c>
      <c r="Q86" s="43">
        <f t="shared" si="44"/>
        <v>0.67182700257621497</v>
      </c>
      <c r="R86" s="28">
        <v>11.9909</v>
      </c>
      <c r="S86" s="28">
        <v>12.0722</v>
      </c>
      <c r="T86" s="34">
        <v>47</v>
      </c>
      <c r="U86" s="20">
        <v>16399698.550000001</v>
      </c>
      <c r="V86" s="20">
        <v>16399698.550000001</v>
      </c>
    </row>
    <row r="87" spans="1:24">
      <c r="A87" s="110">
        <v>77</v>
      </c>
      <c r="B87" s="30" t="s">
        <v>150</v>
      </c>
      <c r="C87" s="19" t="s">
        <v>81</v>
      </c>
      <c r="D87" s="20">
        <v>2133581716.1099999</v>
      </c>
      <c r="E87" s="20">
        <v>26081071</v>
      </c>
      <c r="F87" s="28">
        <v>0</v>
      </c>
      <c r="G87" s="20">
        <v>4449732.82</v>
      </c>
      <c r="H87" s="21">
        <f t="shared" si="31"/>
        <v>21631338.18</v>
      </c>
      <c r="I87" s="28">
        <v>2157063238.9000001</v>
      </c>
      <c r="J87" s="23">
        <f t="shared" si="32"/>
        <v>9.2292496696796521E-3</v>
      </c>
      <c r="K87" s="20">
        <v>2184570842.48</v>
      </c>
      <c r="L87" s="23">
        <f t="shared" si="39"/>
        <v>9.1885459735186418E-3</v>
      </c>
      <c r="M87" s="23">
        <f t="shared" si="40"/>
        <v>1.275233988690452E-2</v>
      </c>
      <c r="N87" s="25">
        <f t="shared" si="41"/>
        <v>2.0368910604649975E-3</v>
      </c>
      <c r="O87" s="26">
        <f t="shared" si="42"/>
        <v>9.9018707745102737E-3</v>
      </c>
      <c r="P87" s="43">
        <f t="shared" si="43"/>
        <v>4951.3296171951915</v>
      </c>
      <c r="Q87" s="43">
        <f t="shared" si="44"/>
        <v>49.02742603147221</v>
      </c>
      <c r="R87" s="20">
        <v>4951.33</v>
      </c>
      <c r="S87" s="20">
        <v>4951.33</v>
      </c>
      <c r="T87" s="35">
        <v>1262</v>
      </c>
      <c r="U87" s="20">
        <v>430761</v>
      </c>
      <c r="V87" s="20">
        <v>441208.93</v>
      </c>
    </row>
    <row r="88" spans="1:24">
      <c r="A88" s="110">
        <v>78</v>
      </c>
      <c r="B88" s="19" t="s">
        <v>151</v>
      </c>
      <c r="C88" s="19" t="s">
        <v>83</v>
      </c>
      <c r="D88" s="20">
        <v>343513507.30000001</v>
      </c>
      <c r="E88" s="20">
        <v>4154739.33</v>
      </c>
      <c r="F88" s="28">
        <v>0</v>
      </c>
      <c r="G88" s="20">
        <v>720568.84</v>
      </c>
      <c r="H88" s="21">
        <f t="shared" si="31"/>
        <v>3434170.49</v>
      </c>
      <c r="I88" s="28">
        <v>356581877.92000002</v>
      </c>
      <c r="J88" s="23">
        <f t="shared" si="32"/>
        <v>1.5256776526798329E-3</v>
      </c>
      <c r="K88" s="20">
        <v>361433707.63</v>
      </c>
      <c r="L88" s="23">
        <f t="shared" si="39"/>
        <v>1.5202300490138284E-3</v>
      </c>
      <c r="M88" s="23">
        <f t="shared" si="40"/>
        <v>1.36064954795277E-2</v>
      </c>
      <c r="N88" s="25">
        <f t="shared" si="41"/>
        <v>1.9936403959800201E-3</v>
      </c>
      <c r="O88" s="26">
        <f t="shared" si="42"/>
        <v>9.5015224576551222E-3</v>
      </c>
      <c r="P88" s="43">
        <f t="shared" si="43"/>
        <v>114.36754936110131</v>
      </c>
      <c r="Q88" s="43">
        <f t="shared" si="44"/>
        <v>1.0866658386814849</v>
      </c>
      <c r="R88" s="28">
        <v>114.24</v>
      </c>
      <c r="S88" s="28">
        <v>114.24</v>
      </c>
      <c r="T88" s="34">
        <v>99</v>
      </c>
      <c r="U88" s="20">
        <v>3154526</v>
      </c>
      <c r="V88" s="20">
        <v>3160282</v>
      </c>
      <c r="W88" s="15"/>
      <c r="X88" s="15"/>
    </row>
    <row r="89" spans="1:24">
      <c r="A89" s="110">
        <v>79</v>
      </c>
      <c r="B89" s="30" t="s">
        <v>152</v>
      </c>
      <c r="C89" s="30" t="s">
        <v>85</v>
      </c>
      <c r="D89" s="28">
        <v>1042462621</v>
      </c>
      <c r="E89" s="28">
        <v>15964148.32</v>
      </c>
      <c r="F89" s="20">
        <v>35896648.299999997</v>
      </c>
      <c r="G89" s="20">
        <v>2161112.25</v>
      </c>
      <c r="H89" s="21">
        <f t="shared" si="31"/>
        <v>49699684.369999997</v>
      </c>
      <c r="I89" s="28">
        <v>1087253241.3699999</v>
      </c>
      <c r="J89" s="23">
        <f t="shared" si="32"/>
        <v>4.6519413236532359E-3</v>
      </c>
      <c r="K89" s="20">
        <v>1040381659.46</v>
      </c>
      <c r="L89" s="23">
        <f t="shared" si="39"/>
        <v>4.3759600384949962E-3</v>
      </c>
      <c r="M89" s="23">
        <f t="shared" si="40"/>
        <v>-4.3110087076805616E-2</v>
      </c>
      <c r="N89" s="25">
        <f t="shared" si="41"/>
        <v>2.0772302456020845E-3</v>
      </c>
      <c r="O89" s="26">
        <f t="shared" si="42"/>
        <v>4.777062717137491E-2</v>
      </c>
      <c r="P89" s="43">
        <f t="shared" si="43"/>
        <v>1.5464246443182388</v>
      </c>
      <c r="Q89" s="43">
        <f t="shared" si="44"/>
        <v>7.3873675132352642E-2</v>
      </c>
      <c r="R89" s="28">
        <v>1.5464</v>
      </c>
      <c r="S89" s="28">
        <v>1.5464</v>
      </c>
      <c r="T89" s="34">
        <v>3030</v>
      </c>
      <c r="U89" s="20">
        <v>690368174.03999996</v>
      </c>
      <c r="V89" s="20">
        <v>672765830.05999994</v>
      </c>
    </row>
    <row r="90" spans="1:24">
      <c r="A90" s="110">
        <v>80</v>
      </c>
      <c r="B90" s="32" t="s">
        <v>153</v>
      </c>
      <c r="C90" s="33" t="s">
        <v>85</v>
      </c>
      <c r="D90" s="50">
        <v>167582661.62</v>
      </c>
      <c r="E90" s="28">
        <v>2493840.41</v>
      </c>
      <c r="F90" s="20">
        <v>5822027</v>
      </c>
      <c r="G90" s="20">
        <v>283146.73</v>
      </c>
      <c r="H90" s="21">
        <f t="shared" si="31"/>
        <v>8032720.6799999997</v>
      </c>
      <c r="I90" s="28">
        <v>174835506.88</v>
      </c>
      <c r="J90" s="23">
        <f t="shared" si="32"/>
        <v>7.4805435233478554E-4</v>
      </c>
      <c r="K90" s="20">
        <v>167864124.02000001</v>
      </c>
      <c r="L90" s="23">
        <f t="shared" si="39"/>
        <v>7.0605502502779389E-4</v>
      </c>
      <c r="M90" s="23">
        <f t="shared" si="40"/>
        <v>-3.9873953434326467E-2</v>
      </c>
      <c r="N90" s="25">
        <f t="shared" si="41"/>
        <v>1.6867614307287287E-3</v>
      </c>
      <c r="O90" s="26">
        <f t="shared" si="42"/>
        <v>4.7852515997062889E-2</v>
      </c>
      <c r="P90" s="43">
        <f t="shared" si="43"/>
        <v>1.0353410803399405</v>
      </c>
      <c r="Q90" s="43">
        <f t="shared" si="44"/>
        <v>4.9543675609383379E-2</v>
      </c>
      <c r="R90" s="34">
        <v>1.0353000000000001</v>
      </c>
      <c r="S90" s="45">
        <v>1.0353000000000001</v>
      </c>
      <c r="T90" s="34">
        <v>102</v>
      </c>
      <c r="U90" s="20">
        <v>165543425.78</v>
      </c>
      <c r="V90" s="20">
        <v>162134128.75</v>
      </c>
    </row>
    <row r="91" spans="1:24">
      <c r="A91" s="110">
        <v>81</v>
      </c>
      <c r="B91" s="19" t="s">
        <v>154</v>
      </c>
      <c r="C91" s="19" t="s">
        <v>35</v>
      </c>
      <c r="D91" s="28">
        <v>252112570.94999999</v>
      </c>
      <c r="E91" s="28">
        <v>6932371.7699999996</v>
      </c>
      <c r="F91" s="28">
        <v>0</v>
      </c>
      <c r="G91" s="28">
        <v>454345.23</v>
      </c>
      <c r="H91" s="21">
        <f t="shared" si="31"/>
        <v>6478026.5399999991</v>
      </c>
      <c r="I91" s="28">
        <v>251310901.22999999</v>
      </c>
      <c r="J91" s="23">
        <f t="shared" si="32"/>
        <v>1.0752633535893285E-3</v>
      </c>
      <c r="K91" s="28">
        <v>255975846.59999999</v>
      </c>
      <c r="L91" s="23">
        <f t="shared" si="39"/>
        <v>1.0766626510149389E-3</v>
      </c>
      <c r="M91" s="23">
        <f t="shared" si="40"/>
        <v>1.8562447339801794E-2</v>
      </c>
      <c r="N91" s="25">
        <f t="shared" si="41"/>
        <v>1.7749535201654451E-3</v>
      </c>
      <c r="O91" s="26">
        <f t="shared" si="42"/>
        <v>2.530717888443151E-2</v>
      </c>
      <c r="P91" s="43">
        <f t="shared" si="43"/>
        <v>120.61329022458889</v>
      </c>
      <c r="Q91" s="43">
        <f t="shared" si="44"/>
        <v>3.0523821115535257</v>
      </c>
      <c r="R91" s="28">
        <v>120.61</v>
      </c>
      <c r="S91" s="28">
        <v>122.06</v>
      </c>
      <c r="T91" s="34">
        <v>434</v>
      </c>
      <c r="U91" s="28">
        <v>1675070.22</v>
      </c>
      <c r="V91" s="28">
        <v>2122285.58</v>
      </c>
    </row>
    <row r="92" spans="1:24">
      <c r="A92" s="110">
        <v>82</v>
      </c>
      <c r="B92" s="19" t="s">
        <v>155</v>
      </c>
      <c r="C92" s="19" t="s">
        <v>87</v>
      </c>
      <c r="D92" s="20">
        <v>3323229616.3400002</v>
      </c>
      <c r="E92" s="20">
        <v>51043462.770000003</v>
      </c>
      <c r="F92" s="28">
        <v>0</v>
      </c>
      <c r="G92" s="20">
        <v>5023385.4400000004</v>
      </c>
      <c r="H92" s="21">
        <f t="shared" si="31"/>
        <v>46020077.330000006</v>
      </c>
      <c r="I92" s="28">
        <v>2756295882.7600002</v>
      </c>
      <c r="J92" s="23">
        <f t="shared" si="32"/>
        <v>1.1793137264939236E-2</v>
      </c>
      <c r="K92" s="20">
        <v>3273905691.79</v>
      </c>
      <c r="L92" s="23">
        <f t="shared" si="39"/>
        <v>1.3770408529222223E-2</v>
      </c>
      <c r="M92" s="23">
        <f t="shared" si="40"/>
        <v>0.18779181591770702</v>
      </c>
      <c r="N92" s="25">
        <f t="shared" si="41"/>
        <v>1.5343708441563192E-3</v>
      </c>
      <c r="O92" s="26">
        <f t="shared" si="42"/>
        <v>1.4056628889892868E-2</v>
      </c>
      <c r="P92" s="43">
        <f t="shared" si="43"/>
        <v>1396.5523196734653</v>
      </c>
      <c r="Q92" s="43">
        <f t="shared" si="44"/>
        <v>19.630817682968932</v>
      </c>
      <c r="R92" s="20">
        <v>1396.55</v>
      </c>
      <c r="S92" s="20">
        <v>1396.55</v>
      </c>
      <c r="T92" s="34">
        <v>331</v>
      </c>
      <c r="U92" s="20">
        <v>2015312.18</v>
      </c>
      <c r="V92" s="20">
        <v>2344277.15</v>
      </c>
    </row>
    <row r="93" spans="1:24">
      <c r="A93" s="110">
        <v>83</v>
      </c>
      <c r="B93" s="19" t="s">
        <v>156</v>
      </c>
      <c r="C93" s="19" t="s">
        <v>89</v>
      </c>
      <c r="D93" s="20">
        <v>136928560.41</v>
      </c>
      <c r="E93" s="20">
        <v>1682780.57</v>
      </c>
      <c r="F93" s="28">
        <v>0</v>
      </c>
      <c r="G93" s="20">
        <v>395303.77</v>
      </c>
      <c r="H93" s="21">
        <f t="shared" si="31"/>
        <v>1287476.8</v>
      </c>
      <c r="I93" s="28">
        <v>178954160.59999999</v>
      </c>
      <c r="J93" s="23">
        <f t="shared" si="32"/>
        <v>7.6567649840789706E-4</v>
      </c>
      <c r="K93" s="20">
        <v>156148539.75999999</v>
      </c>
      <c r="L93" s="23">
        <f t="shared" si="39"/>
        <v>6.5677798512304324E-4</v>
      </c>
      <c r="M93" s="23">
        <f t="shared" si="40"/>
        <v>-0.12743833819530656</v>
      </c>
      <c r="N93" s="25">
        <f t="shared" si="41"/>
        <v>2.5315880033689791E-3</v>
      </c>
      <c r="O93" s="26">
        <f t="shared" si="42"/>
        <v>8.2452055073896271E-3</v>
      </c>
      <c r="P93" s="43">
        <f t="shared" si="43"/>
        <v>1065.9258231563713</v>
      </c>
      <c r="Q93" s="43">
        <f t="shared" si="44"/>
        <v>8.7887774675577344</v>
      </c>
      <c r="R93" s="20">
        <v>1051.42</v>
      </c>
      <c r="S93" s="20">
        <v>1061.33</v>
      </c>
      <c r="T93" s="34">
        <v>286</v>
      </c>
      <c r="U93" s="20">
        <v>146299</v>
      </c>
      <c r="V93" s="20">
        <v>146491</v>
      </c>
    </row>
    <row r="94" spans="1:24">
      <c r="A94" s="172">
        <v>84</v>
      </c>
      <c r="B94" s="19" t="s">
        <v>157</v>
      </c>
      <c r="C94" s="30" t="s">
        <v>92</v>
      </c>
      <c r="D94" s="20">
        <v>775052091.62</v>
      </c>
      <c r="E94" s="20">
        <v>8790870.7899999991</v>
      </c>
      <c r="F94" s="28">
        <v>0</v>
      </c>
      <c r="G94" s="20">
        <v>1295026</v>
      </c>
      <c r="H94" s="21">
        <f t="shared" si="31"/>
        <v>7495844.7899999991</v>
      </c>
      <c r="I94" s="28">
        <v>765454278</v>
      </c>
      <c r="J94" s="23">
        <f t="shared" si="32"/>
        <v>3.2750864763654176E-3</v>
      </c>
      <c r="K94" s="20">
        <v>774203094</v>
      </c>
      <c r="L94" s="23">
        <f t="shared" si="39"/>
        <v>3.2563836263526905E-3</v>
      </c>
      <c r="M94" s="23">
        <f t="shared" si="40"/>
        <v>1.1429573589763124E-2</v>
      </c>
      <c r="N94" s="25">
        <f t="shared" si="41"/>
        <v>1.6727212924313112E-3</v>
      </c>
      <c r="O94" s="26">
        <f t="shared" si="42"/>
        <v>9.682013476944331E-3</v>
      </c>
      <c r="P94" s="43">
        <f t="shared" si="43"/>
        <v>1.1984370647493314</v>
      </c>
      <c r="Q94" s="43">
        <f t="shared" si="44"/>
        <v>1.1603283812172634E-2</v>
      </c>
      <c r="R94" s="28">
        <v>1.2032</v>
      </c>
      <c r="S94" s="28">
        <v>1.2032</v>
      </c>
      <c r="T94" s="34">
        <v>109</v>
      </c>
      <c r="U94" s="20">
        <v>609795085</v>
      </c>
      <c r="V94" s="20">
        <v>646010639</v>
      </c>
    </row>
    <row r="95" spans="1:24">
      <c r="A95" s="110">
        <v>85</v>
      </c>
      <c r="B95" s="111" t="s">
        <v>326</v>
      </c>
      <c r="C95" s="111" t="s">
        <v>312</v>
      </c>
      <c r="D95" s="20">
        <v>1036884383.0599999</v>
      </c>
      <c r="E95" s="20">
        <v>15927849.539999999</v>
      </c>
      <c r="F95" s="28">
        <v>0</v>
      </c>
      <c r="G95" s="20">
        <v>1635949.83</v>
      </c>
      <c r="H95" s="21">
        <f>(E95+F95)-G95</f>
        <v>14291899.709999999</v>
      </c>
      <c r="I95" s="28">
        <v>1166717737.3099999</v>
      </c>
      <c r="J95" s="23">
        <f t="shared" si="32"/>
        <v>4.9919395488696198E-3</v>
      </c>
      <c r="K95" s="20">
        <v>1046197565.79</v>
      </c>
      <c r="L95" s="23">
        <f t="shared" si="39"/>
        <v>4.4004223821515727E-3</v>
      </c>
      <c r="M95" s="23">
        <f t="shared" si="40"/>
        <v>-0.10329848228576083</v>
      </c>
      <c r="N95" s="25">
        <f t="shared" si="41"/>
        <v>1.5637102240480449E-3</v>
      </c>
      <c r="O95" s="26">
        <f t="shared" si="42"/>
        <v>1.3660803826481821E-2</v>
      </c>
      <c r="P95" s="43">
        <f t="shared" si="43"/>
        <v>3.8844304107053991</v>
      </c>
      <c r="Q95" s="43">
        <f t="shared" si="44"/>
        <v>5.3064441818266674E-2</v>
      </c>
      <c r="R95" s="28">
        <v>3.88</v>
      </c>
      <c r="S95" s="28">
        <v>3.91</v>
      </c>
      <c r="T95" s="34">
        <v>817</v>
      </c>
      <c r="U95" s="20">
        <v>301965912</v>
      </c>
      <c r="V95" s="20">
        <v>269331010</v>
      </c>
    </row>
    <row r="96" spans="1:24">
      <c r="A96" s="110">
        <v>86</v>
      </c>
      <c r="B96" s="111" t="s">
        <v>327</v>
      </c>
      <c r="C96" s="19" t="s">
        <v>323</v>
      </c>
      <c r="D96" s="20">
        <v>12175809426.959999</v>
      </c>
      <c r="E96" s="20">
        <v>133776228.98999999</v>
      </c>
      <c r="F96" s="28">
        <v>0</v>
      </c>
      <c r="G96" s="20">
        <v>13673676</v>
      </c>
      <c r="H96" s="21">
        <f t="shared" si="31"/>
        <v>120102552.98999999</v>
      </c>
      <c r="I96" s="28">
        <v>11651345122.98</v>
      </c>
      <c r="J96" s="23">
        <f t="shared" si="32"/>
        <v>4.9851655337848876E-2</v>
      </c>
      <c r="K96" s="20">
        <v>11675486174.299999</v>
      </c>
      <c r="L96" s="23">
        <f t="shared" si="39"/>
        <v>4.9108382932525112E-2</v>
      </c>
      <c r="M96" s="23">
        <f t="shared" si="40"/>
        <v>2.0719540160548666E-3</v>
      </c>
      <c r="N96" s="25">
        <f t="shared" si="41"/>
        <v>1.171144035963008E-3</v>
      </c>
      <c r="O96" s="26">
        <f t="shared" si="42"/>
        <v>1.0286728209602861E-2</v>
      </c>
      <c r="P96" s="43">
        <f t="shared" si="43"/>
        <v>1743.5280134084937</v>
      </c>
      <c r="Q96" s="43">
        <f t="shared" si="44"/>
        <v>17.935198799761988</v>
      </c>
      <c r="R96" s="20">
        <v>1743.52</v>
      </c>
      <c r="S96" s="20">
        <v>1743.52</v>
      </c>
      <c r="T96" s="34">
        <v>4588</v>
      </c>
      <c r="U96" s="20">
        <v>6729625.8799999999</v>
      </c>
      <c r="V96" s="20">
        <v>6696471.7999999998</v>
      </c>
    </row>
    <row r="97" spans="1:22" ht="14.55" customHeight="1">
      <c r="A97" s="110">
        <v>87</v>
      </c>
      <c r="B97" s="19" t="s">
        <v>158</v>
      </c>
      <c r="C97" s="19" t="s">
        <v>102</v>
      </c>
      <c r="D97" s="20">
        <v>23919307.449999999</v>
      </c>
      <c r="E97" s="20">
        <v>296698.96999999997</v>
      </c>
      <c r="F97" s="28">
        <v>0</v>
      </c>
      <c r="G97" s="20">
        <v>251310.28</v>
      </c>
      <c r="H97" s="21">
        <f t="shared" si="31"/>
        <v>45388.689999999973</v>
      </c>
      <c r="I97" s="28">
        <v>23813749.48</v>
      </c>
      <c r="J97" s="23">
        <f t="shared" si="32"/>
        <v>1.0188993792977664E-4</v>
      </c>
      <c r="K97" s="20">
        <v>24040612.609999999</v>
      </c>
      <c r="L97" s="23">
        <f t="shared" si="39"/>
        <v>1.0111746888819851E-4</v>
      </c>
      <c r="M97" s="23">
        <f t="shared" si="40"/>
        <v>9.526560703535164E-3</v>
      </c>
      <c r="N97" s="25">
        <f t="shared" si="41"/>
        <v>1.0453572214522698E-2</v>
      </c>
      <c r="O97" s="26">
        <f t="shared" si="42"/>
        <v>1.8880005570706617E-3</v>
      </c>
      <c r="P97" s="43">
        <f t="shared" si="43"/>
        <v>0.73448235227949421</v>
      </c>
      <c r="Q97" s="43">
        <f t="shared" si="44"/>
        <v>1.3867030902622551E-3</v>
      </c>
      <c r="R97" s="28">
        <v>0.73440000000000005</v>
      </c>
      <c r="S97" s="28">
        <v>0.73</v>
      </c>
      <c r="T97" s="34">
        <v>728</v>
      </c>
      <c r="U97" s="20">
        <v>32731368.609999999</v>
      </c>
      <c r="V97" s="20">
        <v>32731368.609999999</v>
      </c>
    </row>
    <row r="98" spans="1:22" ht="14.55" customHeight="1">
      <c r="A98" s="110">
        <v>88</v>
      </c>
      <c r="B98" s="19" t="s">
        <v>159</v>
      </c>
      <c r="C98" s="30" t="s">
        <v>43</v>
      </c>
      <c r="D98" s="20">
        <v>14720928128.41</v>
      </c>
      <c r="E98" s="20">
        <v>130627080.89</v>
      </c>
      <c r="F98" s="28">
        <v>0</v>
      </c>
      <c r="G98" s="20">
        <v>3547767.16</v>
      </c>
      <c r="H98" s="21">
        <f t="shared" si="31"/>
        <v>127079313.73</v>
      </c>
      <c r="I98" s="28">
        <v>11185475620.58</v>
      </c>
      <c r="J98" s="23">
        <f t="shared" si="32"/>
        <v>4.7858377684416878E-2</v>
      </c>
      <c r="K98" s="20">
        <v>11458665187.49</v>
      </c>
      <c r="L98" s="23">
        <f t="shared" si="39"/>
        <v>4.8196409941497882E-2</v>
      </c>
      <c r="M98" s="23">
        <f t="shared" si="40"/>
        <v>2.4423598618136737E-2</v>
      </c>
      <c r="N98" s="25">
        <f t="shared" si="41"/>
        <v>3.0961434878761234E-4</v>
      </c>
      <c r="O98" s="26">
        <f t="shared" si="42"/>
        <v>1.1090237095742956E-2</v>
      </c>
      <c r="P98" s="43">
        <f t="shared" si="43"/>
        <v>1</v>
      </c>
      <c r="Q98" s="43">
        <f t="shared" si="44"/>
        <v>1.1090237095742956E-2</v>
      </c>
      <c r="R98" s="28">
        <v>1</v>
      </c>
      <c r="S98" s="28">
        <v>1</v>
      </c>
      <c r="T98" s="34">
        <v>6422</v>
      </c>
      <c r="U98" s="20">
        <v>11185475620.58</v>
      </c>
      <c r="V98" s="20">
        <v>11458665187.49</v>
      </c>
    </row>
    <row r="99" spans="1:22">
      <c r="A99" s="110">
        <v>89</v>
      </c>
      <c r="B99" s="30" t="s">
        <v>160</v>
      </c>
      <c r="C99" s="30" t="s">
        <v>161</v>
      </c>
      <c r="D99" s="28">
        <v>1979857439.97</v>
      </c>
      <c r="E99" s="20">
        <v>28394233.899999999</v>
      </c>
      <c r="F99" s="28">
        <v>0</v>
      </c>
      <c r="G99" s="20">
        <v>3255562.45</v>
      </c>
      <c r="H99" s="21">
        <f t="shared" si="31"/>
        <v>25138671.449999999</v>
      </c>
      <c r="I99" s="28">
        <v>1925048112.3299999</v>
      </c>
      <c r="J99" s="23">
        <f t="shared" si="32"/>
        <v>8.2365455654880518E-3</v>
      </c>
      <c r="K99" s="20">
        <v>1964368638.05</v>
      </c>
      <c r="L99" s="23">
        <f t="shared" si="39"/>
        <v>8.2623512081530827E-3</v>
      </c>
      <c r="M99" s="23">
        <f t="shared" si="40"/>
        <v>2.0425736618295769E-2</v>
      </c>
      <c r="N99" s="25">
        <f t="shared" si="41"/>
        <v>1.6573072828284152E-3</v>
      </c>
      <c r="O99" s="26">
        <f t="shared" si="42"/>
        <v>1.2797328853180426E-2</v>
      </c>
      <c r="P99" s="43">
        <f t="shared" si="43"/>
        <v>289.82619797500905</v>
      </c>
      <c r="Q99" s="43">
        <f t="shared" si="44"/>
        <v>3.7090011657531656</v>
      </c>
      <c r="R99" s="28">
        <v>286.55</v>
      </c>
      <c r="S99" s="28">
        <v>286.55</v>
      </c>
      <c r="T99" s="34">
        <v>579</v>
      </c>
      <c r="U99" s="20">
        <v>6716516.1500000004</v>
      </c>
      <c r="V99" s="20">
        <v>6777746.9800000004</v>
      </c>
    </row>
    <row r="100" spans="1:22">
      <c r="A100" s="110">
        <v>90</v>
      </c>
      <c r="B100" s="32" t="s">
        <v>162</v>
      </c>
      <c r="C100" s="33" t="s">
        <v>47</v>
      </c>
      <c r="D100" s="20">
        <v>8846042.0399999991</v>
      </c>
      <c r="E100" s="20">
        <v>10296661.92</v>
      </c>
      <c r="F100" s="28">
        <v>0</v>
      </c>
      <c r="G100" s="20">
        <v>1415149.93</v>
      </c>
      <c r="H100" s="21">
        <f t="shared" si="31"/>
        <v>8881511.9900000002</v>
      </c>
      <c r="I100" s="28">
        <v>786607990.51999998</v>
      </c>
      <c r="J100" s="23">
        <f t="shared" si="32"/>
        <v>3.3655951321928967E-3</v>
      </c>
      <c r="K100" s="20">
        <v>786607990.51999998</v>
      </c>
      <c r="L100" s="23">
        <f t="shared" si="39"/>
        <v>3.3085599896705148E-3</v>
      </c>
      <c r="M100" s="23">
        <f t="shared" si="40"/>
        <v>0</v>
      </c>
      <c r="N100" s="25">
        <f t="shared" si="41"/>
        <v>1.7990535909309694E-3</v>
      </c>
      <c r="O100" s="26">
        <f t="shared" si="42"/>
        <v>1.1290899783675897E-2</v>
      </c>
      <c r="P100" s="43">
        <f t="shared" si="43"/>
        <v>114.36076131683174</v>
      </c>
      <c r="Q100" s="43">
        <f t="shared" si="44"/>
        <v>1.2912358952132263</v>
      </c>
      <c r="R100" s="28">
        <v>114.96</v>
      </c>
      <c r="S100" s="28">
        <v>114.96</v>
      </c>
      <c r="T100" s="34">
        <v>419</v>
      </c>
      <c r="U100" s="20">
        <v>6848563.8399999999</v>
      </c>
      <c r="V100" s="20">
        <v>6878303.2000000002</v>
      </c>
    </row>
    <row r="101" spans="1:22">
      <c r="A101" s="110">
        <v>91</v>
      </c>
      <c r="B101" s="19" t="s">
        <v>163</v>
      </c>
      <c r="C101" s="19" t="s">
        <v>25</v>
      </c>
      <c r="D101" s="20">
        <v>1792847954.26</v>
      </c>
      <c r="E101" s="20">
        <v>22008206.100000001</v>
      </c>
      <c r="F101" s="20">
        <v>61396845.159999996</v>
      </c>
      <c r="G101" s="20">
        <v>2419315.4300000002</v>
      </c>
      <c r="H101" s="21">
        <f t="shared" si="31"/>
        <v>80985735.829999983</v>
      </c>
      <c r="I101" s="28">
        <v>1756659617.01</v>
      </c>
      <c r="J101" s="23">
        <f t="shared" si="32"/>
        <v>7.5160755130650727E-3</v>
      </c>
      <c r="K101" s="20">
        <v>1776122980.48</v>
      </c>
      <c r="L101" s="23">
        <f t="shared" si="39"/>
        <v>7.4705692044467753E-3</v>
      </c>
      <c r="M101" s="23">
        <f t="shared" si="40"/>
        <v>1.1079758014320672E-2</v>
      </c>
      <c r="N101" s="25">
        <f t="shared" si="41"/>
        <v>1.3621328346003251E-3</v>
      </c>
      <c r="O101" s="26">
        <f t="shared" si="42"/>
        <v>4.5596919087277088E-2</v>
      </c>
      <c r="P101" s="43">
        <f t="shared" si="43"/>
        <v>407.727528921496</v>
      </c>
      <c r="Q101" s="43">
        <f t="shared" si="44"/>
        <v>18.591119145888882</v>
      </c>
      <c r="R101" s="28">
        <v>407.73</v>
      </c>
      <c r="S101" s="28">
        <v>407.73</v>
      </c>
      <c r="T101" s="34">
        <v>97</v>
      </c>
      <c r="U101" s="20">
        <v>4324760.96</v>
      </c>
      <c r="V101" s="20">
        <v>4356151.7300000004</v>
      </c>
    </row>
    <row r="102" spans="1:22">
      <c r="A102" s="110">
        <v>92</v>
      </c>
      <c r="B102" s="32" t="s">
        <v>164</v>
      </c>
      <c r="C102" s="33" t="s">
        <v>165</v>
      </c>
      <c r="D102" s="20">
        <v>5381240804.5500002</v>
      </c>
      <c r="E102" s="20">
        <v>89811599.390000001</v>
      </c>
      <c r="F102" s="20">
        <v>152208437.99000001</v>
      </c>
      <c r="G102" s="20">
        <v>13758882.140000001</v>
      </c>
      <c r="H102" s="21">
        <f t="shared" si="31"/>
        <v>228261155.24000001</v>
      </c>
      <c r="I102" s="28">
        <v>5702473686.8100004</v>
      </c>
      <c r="J102" s="23">
        <f t="shared" si="32"/>
        <v>2.4398706742221742E-2</v>
      </c>
      <c r="K102" s="20">
        <v>5599217705.2700005</v>
      </c>
      <c r="L102" s="23">
        <f t="shared" si="39"/>
        <v>2.355092739506065E-2</v>
      </c>
      <c r="M102" s="23">
        <f t="shared" si="40"/>
        <v>-1.8107226304057179E-2</v>
      </c>
      <c r="N102" s="25">
        <f t="shared" si="41"/>
        <v>2.4572865111228128E-3</v>
      </c>
      <c r="O102" s="26">
        <f t="shared" si="42"/>
        <v>4.0766615490796139E-2</v>
      </c>
      <c r="P102" s="43">
        <f t="shared" si="43"/>
        <v>103.56246206416284</v>
      </c>
      <c r="Q102" s="43">
        <f t="shared" si="44"/>
        <v>4.2218910702498889</v>
      </c>
      <c r="R102" s="28">
        <v>103.56</v>
      </c>
      <c r="S102" s="28">
        <v>103.56</v>
      </c>
      <c r="T102" s="34">
        <v>506</v>
      </c>
      <c r="U102" s="20">
        <v>54161033</v>
      </c>
      <c r="V102" s="20">
        <v>54066093</v>
      </c>
    </row>
    <row r="103" spans="1:22">
      <c r="A103" s="110">
        <v>93</v>
      </c>
      <c r="B103" s="30" t="s">
        <v>166</v>
      </c>
      <c r="C103" s="30" t="s">
        <v>49</v>
      </c>
      <c r="D103" s="20">
        <v>70630988.510000005</v>
      </c>
      <c r="E103" s="20">
        <v>4192178.97</v>
      </c>
      <c r="F103" s="28">
        <v>0</v>
      </c>
      <c r="G103" s="20">
        <v>154159.04000000001</v>
      </c>
      <c r="H103" s="21">
        <f t="shared" si="31"/>
        <v>4038019.93</v>
      </c>
      <c r="I103" s="28">
        <v>50329153.159999996</v>
      </c>
      <c r="J103" s="23">
        <f t="shared" si="32"/>
        <v>2.1533922223534793E-4</v>
      </c>
      <c r="K103" s="20">
        <v>72854003.840000004</v>
      </c>
      <c r="L103" s="23">
        <f t="shared" si="39"/>
        <v>3.0643197767795549E-4</v>
      </c>
      <c r="M103" s="23">
        <f t="shared" si="40"/>
        <v>0.44755075867046457</v>
      </c>
      <c r="N103" s="25">
        <f t="shared" si="41"/>
        <v>2.11599955904359E-3</v>
      </c>
      <c r="O103" s="26">
        <f t="shared" si="42"/>
        <v>5.5426190973226271E-2</v>
      </c>
      <c r="P103" s="43">
        <f t="shared" si="43"/>
        <v>14.875794906744039</v>
      </c>
      <c r="Q103" s="43">
        <f t="shared" si="44"/>
        <v>0.82450864937974178</v>
      </c>
      <c r="R103" s="28">
        <v>12.87</v>
      </c>
      <c r="S103" s="28">
        <v>13.14</v>
      </c>
      <c r="T103" s="34">
        <v>54</v>
      </c>
      <c r="U103" s="20">
        <v>4897486.4400000004</v>
      </c>
      <c r="V103" s="20">
        <v>4897486.4400000004</v>
      </c>
    </row>
    <row r="104" spans="1:22">
      <c r="A104" s="110">
        <v>94</v>
      </c>
      <c r="B104" s="32" t="s">
        <v>167</v>
      </c>
      <c r="C104" s="33" t="s">
        <v>168</v>
      </c>
      <c r="D104" s="20">
        <v>1184076430.28</v>
      </c>
      <c r="E104" s="20">
        <v>16861784.579999998</v>
      </c>
      <c r="F104" s="28">
        <v>0</v>
      </c>
      <c r="G104" s="20">
        <v>1600363.16</v>
      </c>
      <c r="H104" s="21">
        <f t="shared" si="31"/>
        <v>15261421.419999998</v>
      </c>
      <c r="I104" s="28">
        <v>1117341102.8399999</v>
      </c>
      <c r="J104" s="23">
        <f t="shared" si="32"/>
        <v>4.7806757902769271E-3</v>
      </c>
      <c r="K104" s="20">
        <v>1171621797.4000001</v>
      </c>
      <c r="L104" s="23">
        <f t="shared" si="39"/>
        <v>4.9279705375748209E-3</v>
      </c>
      <c r="M104" s="23">
        <f t="shared" si="40"/>
        <v>4.8580236081920115E-2</v>
      </c>
      <c r="N104" s="25">
        <f t="shared" si="41"/>
        <v>1.3659383630036923E-3</v>
      </c>
      <c r="O104" s="26">
        <f t="shared" si="42"/>
        <v>1.3025894067409229E-2</v>
      </c>
      <c r="P104" s="43">
        <f t="shared" si="43"/>
        <v>172.65463877741348</v>
      </c>
      <c r="Q104" s="43">
        <f t="shared" si="44"/>
        <v>2.2489810349613935</v>
      </c>
      <c r="R104" s="28">
        <v>167.96</v>
      </c>
      <c r="S104" s="28">
        <v>167.96</v>
      </c>
      <c r="T104" s="34">
        <v>189</v>
      </c>
      <c r="U104" s="20">
        <v>6522595.1100000003</v>
      </c>
      <c r="V104" s="20">
        <v>6785927.1299999999</v>
      </c>
    </row>
    <row r="105" spans="1:22">
      <c r="A105" s="110">
        <v>95</v>
      </c>
      <c r="B105" s="19" t="s">
        <v>169</v>
      </c>
      <c r="C105" s="19" t="s">
        <v>170</v>
      </c>
      <c r="D105" s="20">
        <v>12703987030.719999</v>
      </c>
      <c r="E105" s="20">
        <v>187617950.72999999</v>
      </c>
      <c r="F105" s="28">
        <v>0</v>
      </c>
      <c r="G105" s="20">
        <v>19292044.870000001</v>
      </c>
      <c r="H105" s="21">
        <f t="shared" si="31"/>
        <v>168325905.85999998</v>
      </c>
      <c r="I105" s="28">
        <v>12234131902</v>
      </c>
      <c r="J105" s="23">
        <f t="shared" si="32"/>
        <v>5.2345177359255576E-2</v>
      </c>
      <c r="K105" s="20">
        <v>12461757411</v>
      </c>
      <c r="L105" s="23">
        <f t="shared" si="39"/>
        <v>5.2415526498476764E-2</v>
      </c>
      <c r="M105" s="23">
        <f t="shared" si="40"/>
        <v>1.8605775286989382E-2</v>
      </c>
      <c r="N105" s="25">
        <f t="shared" si="41"/>
        <v>1.5480998573259741E-3</v>
      </c>
      <c r="O105" s="26">
        <f t="shared" si="42"/>
        <v>1.3507397095647088E-2</v>
      </c>
      <c r="P105" s="43">
        <f t="shared" si="43"/>
        <v>1.0699999999330272</v>
      </c>
      <c r="Q105" s="43">
        <f t="shared" si="44"/>
        <v>1.4452914891437756E-2</v>
      </c>
      <c r="R105" s="28">
        <v>1.07</v>
      </c>
      <c r="S105" s="28">
        <v>1.07</v>
      </c>
      <c r="T105" s="34">
        <v>5510</v>
      </c>
      <c r="U105" s="20">
        <v>11541633869</v>
      </c>
      <c r="V105" s="20">
        <v>11646502254</v>
      </c>
    </row>
    <row r="106" spans="1:22">
      <c r="A106" s="110">
        <v>96</v>
      </c>
      <c r="B106" s="19" t="s">
        <v>171</v>
      </c>
      <c r="C106" s="19" t="s">
        <v>53</v>
      </c>
      <c r="D106" s="20">
        <v>14894767561.93</v>
      </c>
      <c r="E106" s="20">
        <v>161346414.40000001</v>
      </c>
      <c r="F106" s="28">
        <v>0</v>
      </c>
      <c r="G106" s="20">
        <v>25872596.649999999</v>
      </c>
      <c r="H106" s="21">
        <f t="shared" si="31"/>
        <v>135473817.75</v>
      </c>
      <c r="I106" s="28">
        <v>15574690195.66</v>
      </c>
      <c r="J106" s="23">
        <f t="shared" si="32"/>
        <v>6.6638150310771568E-2</v>
      </c>
      <c r="K106" s="20">
        <v>14992319159.76</v>
      </c>
      <c r="L106" s="23">
        <f t="shared" si="39"/>
        <v>6.3059348394823383E-2</v>
      </c>
      <c r="M106" s="23">
        <f t="shared" si="40"/>
        <v>-3.7392142545620684E-2</v>
      </c>
      <c r="N106" s="25">
        <f t="shared" si="41"/>
        <v>1.7257234437379849E-3</v>
      </c>
      <c r="O106" s="26">
        <f t="shared" si="42"/>
        <v>9.0362148982004922E-3</v>
      </c>
      <c r="P106" s="43">
        <f t="shared" si="43"/>
        <v>259.25164182517562</v>
      </c>
      <c r="Q106" s="43">
        <f t="shared" si="44"/>
        <v>2.3426535482435895</v>
      </c>
      <c r="R106" s="28">
        <v>259.25</v>
      </c>
      <c r="S106" s="28">
        <v>259.25</v>
      </c>
      <c r="T106" s="34">
        <v>5895</v>
      </c>
      <c r="U106" s="20">
        <v>60075323.409999996</v>
      </c>
      <c r="V106" s="20">
        <v>57829215.869999997</v>
      </c>
    </row>
    <row r="107" spans="1:22">
      <c r="A107" s="110">
        <v>97</v>
      </c>
      <c r="B107" s="30" t="s">
        <v>172</v>
      </c>
      <c r="C107" s="19" t="s">
        <v>53</v>
      </c>
      <c r="D107" s="20">
        <v>1361441567</v>
      </c>
      <c r="E107" s="20">
        <v>18513491.760000002</v>
      </c>
      <c r="F107" s="20">
        <v>40835534.68</v>
      </c>
      <c r="G107" s="20">
        <v>2052785.67</v>
      </c>
      <c r="H107" s="21">
        <f t="shared" si="31"/>
        <v>57296240.769999996</v>
      </c>
      <c r="I107" s="28">
        <v>1470911933.71</v>
      </c>
      <c r="J107" s="23">
        <f t="shared" si="32"/>
        <v>6.2934703227540481E-3</v>
      </c>
      <c r="K107" s="20">
        <v>1380499808.5699999</v>
      </c>
      <c r="L107" s="23">
        <f t="shared" si="39"/>
        <v>5.806534496761352E-3</v>
      </c>
      <c r="M107" s="23">
        <f t="shared" si="40"/>
        <v>-6.1466715353895175E-2</v>
      </c>
      <c r="N107" s="25">
        <f t="shared" si="41"/>
        <v>1.4869872905860029E-3</v>
      </c>
      <c r="O107" s="26">
        <f t="shared" si="42"/>
        <v>4.1503983133000716E-2</v>
      </c>
      <c r="P107" s="43">
        <f t="shared" si="43"/>
        <v>10665.416292153799</v>
      </c>
      <c r="Q107" s="43">
        <f t="shared" si="44"/>
        <v>442.6572578959823</v>
      </c>
      <c r="R107" s="20">
        <v>10642.15</v>
      </c>
      <c r="S107" s="20">
        <v>10681.36</v>
      </c>
      <c r="T107" s="34">
        <v>33</v>
      </c>
      <c r="U107" s="20">
        <v>133257.38</v>
      </c>
      <c r="V107" s="20">
        <v>129437.03</v>
      </c>
    </row>
    <row r="108" spans="1:22">
      <c r="A108" s="110">
        <v>98</v>
      </c>
      <c r="B108" s="19" t="s">
        <v>173</v>
      </c>
      <c r="C108" s="19" t="s">
        <v>53</v>
      </c>
      <c r="D108" s="20">
        <v>5803879810.9300003</v>
      </c>
      <c r="E108" s="20">
        <v>83090640.609999999</v>
      </c>
      <c r="F108" s="28">
        <v>0</v>
      </c>
      <c r="G108" s="20">
        <v>8146758.0199999996</v>
      </c>
      <c r="H108" s="21">
        <f t="shared" si="31"/>
        <v>74943882.590000004</v>
      </c>
      <c r="I108" s="28">
        <v>5762659797.7799997</v>
      </c>
      <c r="J108" s="23">
        <f t="shared" si="32"/>
        <v>2.4656220121881595E-2</v>
      </c>
      <c r="K108" s="20">
        <v>5895879030.2799997</v>
      </c>
      <c r="L108" s="23">
        <f t="shared" si="39"/>
        <v>2.4798717656842599E-2</v>
      </c>
      <c r="M108" s="23">
        <f t="shared" si="40"/>
        <v>2.3117663921670549E-2</v>
      </c>
      <c r="N108" s="25">
        <f t="shared" si="41"/>
        <v>1.3817715692876257E-3</v>
      </c>
      <c r="O108" s="26">
        <f t="shared" si="42"/>
        <v>1.271123138807698E-2</v>
      </c>
      <c r="P108" s="43">
        <f t="shared" si="43"/>
        <v>173.88148809583777</v>
      </c>
      <c r="Q108" s="43">
        <f t="shared" si="44"/>
        <v>2.2102478292893468</v>
      </c>
      <c r="R108" s="28">
        <v>173.88</v>
      </c>
      <c r="S108" s="28">
        <v>173.88</v>
      </c>
      <c r="T108" s="34">
        <v>6795</v>
      </c>
      <c r="U108" s="20">
        <v>33215240.48</v>
      </c>
      <c r="V108" s="20">
        <v>33907456.710000001</v>
      </c>
    </row>
    <row r="109" spans="1:22">
      <c r="A109" s="110">
        <v>99</v>
      </c>
      <c r="B109" s="19" t="s">
        <v>174</v>
      </c>
      <c r="C109" s="19" t="s">
        <v>53</v>
      </c>
      <c r="D109" s="20">
        <v>5498816732.6499996</v>
      </c>
      <c r="E109" s="20">
        <v>61769878.780000001</v>
      </c>
      <c r="F109" s="28">
        <v>0</v>
      </c>
      <c r="G109" s="20">
        <v>9917603.6099999994</v>
      </c>
      <c r="H109" s="21">
        <f t="shared" si="31"/>
        <v>51852275.170000002</v>
      </c>
      <c r="I109" s="28">
        <v>5559301077.25</v>
      </c>
      <c r="J109" s="23">
        <f t="shared" si="32"/>
        <v>2.3786125833299181E-2</v>
      </c>
      <c r="K109" s="20">
        <v>5578912033.3000002</v>
      </c>
      <c r="L109" s="23">
        <f t="shared" si="39"/>
        <v>2.3465519498556946E-2</v>
      </c>
      <c r="M109" s="23">
        <f t="shared" si="40"/>
        <v>3.5275938067562034E-3</v>
      </c>
      <c r="N109" s="25">
        <f t="shared" si="41"/>
        <v>1.7776949252475676E-3</v>
      </c>
      <c r="O109" s="26">
        <f t="shared" si="42"/>
        <v>9.2943346051163125E-3</v>
      </c>
      <c r="P109" s="43">
        <f t="shared" si="43"/>
        <v>393.17904529844287</v>
      </c>
      <c r="Q109" s="43">
        <f t="shared" si="44"/>
        <v>3.6543376067239119</v>
      </c>
      <c r="R109" s="28">
        <v>393.18</v>
      </c>
      <c r="S109" s="28">
        <v>393.18</v>
      </c>
      <c r="T109" s="35">
        <v>13015</v>
      </c>
      <c r="U109" s="20">
        <v>14271844.189999999</v>
      </c>
      <c r="V109" s="20">
        <v>14189240.5</v>
      </c>
    </row>
    <row r="110" spans="1:22">
      <c r="A110" s="110">
        <v>100</v>
      </c>
      <c r="B110" s="19" t="s">
        <v>175</v>
      </c>
      <c r="C110" s="19" t="s">
        <v>176</v>
      </c>
      <c r="D110" s="20">
        <v>117268263.78</v>
      </c>
      <c r="E110" s="20">
        <v>1803441.42</v>
      </c>
      <c r="F110" s="28">
        <v>0</v>
      </c>
      <c r="G110" s="20">
        <v>355621.23</v>
      </c>
      <c r="H110" s="21">
        <f t="shared" ref="H110" si="46">(E110+F110)-G110</f>
        <v>1447820.19</v>
      </c>
      <c r="I110" s="28">
        <v>114990434.19</v>
      </c>
      <c r="J110" s="23">
        <f t="shared" si="32"/>
        <v>4.9200014520926945E-4</v>
      </c>
      <c r="K110" s="20">
        <v>115437127.56999999</v>
      </c>
      <c r="L110" s="23">
        <f t="shared" si="39"/>
        <v>4.855412940162375E-4</v>
      </c>
      <c r="M110" s="23">
        <f t="shared" si="40"/>
        <v>3.884613386726749E-3</v>
      </c>
      <c r="N110" s="25">
        <f t="shared" si="41"/>
        <v>3.0806486395319791E-3</v>
      </c>
      <c r="O110" s="26">
        <f t="shared" si="42"/>
        <v>1.2542067014982292E-2</v>
      </c>
      <c r="P110" s="43">
        <f t="shared" si="43"/>
        <v>119.69204946411539</v>
      </c>
      <c r="Q110" s="43">
        <f t="shared" si="44"/>
        <v>1.5011857055395106</v>
      </c>
      <c r="R110" s="28">
        <v>119.69199999999999</v>
      </c>
      <c r="S110" s="28">
        <v>119.69199999999999</v>
      </c>
      <c r="T110" s="34">
        <v>28</v>
      </c>
      <c r="U110" s="20">
        <v>956105.49</v>
      </c>
      <c r="V110" s="20">
        <v>964451.09</v>
      </c>
    </row>
    <row r="111" spans="1:22">
      <c r="A111" s="110">
        <v>101</v>
      </c>
      <c r="B111" s="19" t="s">
        <v>177</v>
      </c>
      <c r="C111" s="19" t="s">
        <v>56</v>
      </c>
      <c r="D111" s="28">
        <v>75343568685.070038</v>
      </c>
      <c r="E111" s="28">
        <v>695177819</v>
      </c>
      <c r="F111" s="28">
        <v>0</v>
      </c>
      <c r="G111" s="28">
        <v>-117594162.3</v>
      </c>
      <c r="H111" s="21">
        <f t="shared" si="31"/>
        <v>812771981.29999995</v>
      </c>
      <c r="I111" s="28">
        <v>78072947490.75</v>
      </c>
      <c r="J111" s="23">
        <f t="shared" si="32"/>
        <v>0.33404432092930658</v>
      </c>
      <c r="K111" s="28">
        <v>79977531092.130035</v>
      </c>
      <c r="L111" s="23">
        <f t="shared" si="39"/>
        <v>0.33639431919465496</v>
      </c>
      <c r="M111" s="23">
        <f t="shared" si="40"/>
        <v>2.4394923755193032E-2</v>
      </c>
      <c r="N111" s="25">
        <f t="shared" si="41"/>
        <v>-1.4703399904222789E-3</v>
      </c>
      <c r="O111" s="26">
        <f t="shared" si="42"/>
        <v>1.0162504020832153E-2</v>
      </c>
      <c r="P111" s="43">
        <f t="shared" si="43"/>
        <v>2.0953038560873969</v>
      </c>
      <c r="Q111" s="43">
        <f t="shared" si="44"/>
        <v>2.1293533862353282E-2</v>
      </c>
      <c r="R111" s="28">
        <v>2.1</v>
      </c>
      <c r="S111" s="28">
        <v>2.1</v>
      </c>
      <c r="T111" s="34">
        <v>1389</v>
      </c>
      <c r="U111" s="28">
        <v>38156478125.889992</v>
      </c>
      <c r="V111" s="28">
        <v>38169896389.859985</v>
      </c>
    </row>
    <row r="112" spans="1:22">
      <c r="A112" s="110">
        <v>102</v>
      </c>
      <c r="B112" s="19" t="s">
        <v>178</v>
      </c>
      <c r="C112" s="19" t="s">
        <v>56</v>
      </c>
      <c r="D112" s="28">
        <v>40109202249</v>
      </c>
      <c r="E112" s="28">
        <v>976169090</v>
      </c>
      <c r="F112" s="28">
        <v>0</v>
      </c>
      <c r="G112" s="28">
        <v>107152847</v>
      </c>
      <c r="H112" s="21">
        <f t="shared" si="31"/>
        <v>869016243</v>
      </c>
      <c r="I112" s="28">
        <v>58234062696.139999</v>
      </c>
      <c r="J112" s="23">
        <f t="shared" si="32"/>
        <v>0.24916131071638475</v>
      </c>
      <c r="K112" s="28">
        <v>58972206564</v>
      </c>
      <c r="L112" s="23">
        <f t="shared" si="39"/>
        <v>0.24804360684316545</v>
      </c>
      <c r="M112" s="23">
        <f t="shared" si="40"/>
        <v>1.2675465761534922E-2</v>
      </c>
      <c r="N112" s="25">
        <f t="shared" si="41"/>
        <v>1.8170058955435493E-3</v>
      </c>
      <c r="O112" s="26">
        <f t="shared" si="42"/>
        <v>1.4736030642789227E-2</v>
      </c>
      <c r="P112" s="43">
        <f t="shared" si="43"/>
        <v>140.76994359401633</v>
      </c>
      <c r="Q112" s="43">
        <f t="shared" si="44"/>
        <v>2.0743902023851355</v>
      </c>
      <c r="R112" s="28">
        <v>140.77000000000001</v>
      </c>
      <c r="S112" s="28">
        <v>140.77000000000001</v>
      </c>
      <c r="T112" s="34">
        <v>245</v>
      </c>
      <c r="U112" s="28">
        <v>426300611</v>
      </c>
      <c r="V112" s="28">
        <v>418926122</v>
      </c>
    </row>
    <row r="113" spans="1:23">
      <c r="A113" s="110">
        <v>103</v>
      </c>
      <c r="B113" s="32" t="s">
        <v>179</v>
      </c>
      <c r="C113" s="32" t="s">
        <v>180</v>
      </c>
      <c r="D113" s="20">
        <v>104000000</v>
      </c>
      <c r="E113" s="20">
        <v>3125533.82</v>
      </c>
      <c r="F113" s="28">
        <v>0</v>
      </c>
      <c r="G113" s="20">
        <v>466480.29</v>
      </c>
      <c r="H113" s="21">
        <f t="shared" si="31"/>
        <v>2659053.5299999998</v>
      </c>
      <c r="I113" s="28">
        <v>118748018.76000001</v>
      </c>
      <c r="J113" s="23">
        <f t="shared" si="32"/>
        <v>5.080774143064661E-4</v>
      </c>
      <c r="K113" s="20">
        <v>119682628.58</v>
      </c>
      <c r="L113" s="23">
        <f t="shared" si="39"/>
        <v>5.0339833964389011E-4</v>
      </c>
      <c r="M113" s="23">
        <f t="shared" si="40"/>
        <v>7.8705297971237726E-3</v>
      </c>
      <c r="N113" s="25">
        <f t="shared" si="41"/>
        <v>3.8976440903300221E-3</v>
      </c>
      <c r="O113" s="26">
        <f t="shared" si="42"/>
        <v>2.2217539517212365E-2</v>
      </c>
      <c r="P113" s="43">
        <f t="shared" si="43"/>
        <v>120.76506396306051</v>
      </c>
      <c r="Q113" s="43">
        <f t="shared" si="44"/>
        <v>2.6831025808979754</v>
      </c>
      <c r="R113" s="28">
        <v>120.7651</v>
      </c>
      <c r="S113" s="28">
        <v>120.7651</v>
      </c>
      <c r="T113" s="34">
        <v>85</v>
      </c>
      <c r="U113" s="20">
        <v>992538.83990000002</v>
      </c>
      <c r="V113" s="20">
        <v>991036.85</v>
      </c>
    </row>
    <row r="114" spans="1:23">
      <c r="A114" s="110">
        <v>104</v>
      </c>
      <c r="B114" s="32" t="s">
        <v>181</v>
      </c>
      <c r="C114" s="32" t="s">
        <v>58</v>
      </c>
      <c r="D114" s="20">
        <v>487649845.51999998</v>
      </c>
      <c r="E114" s="20">
        <v>13766745.949999999</v>
      </c>
      <c r="F114" s="28"/>
      <c r="G114" s="20">
        <v>987485.12</v>
      </c>
      <c r="H114" s="21">
        <f t="shared" si="31"/>
        <v>12779260.83</v>
      </c>
      <c r="I114" s="28">
        <v>517141418.08999997</v>
      </c>
      <c r="J114" s="23">
        <f t="shared" si="32"/>
        <v>2.2126505964279075E-3</v>
      </c>
      <c r="K114" s="28">
        <v>521898087.25</v>
      </c>
      <c r="L114" s="23">
        <f t="shared" si="39"/>
        <v>2.1951609327276701E-3</v>
      </c>
      <c r="M114" s="23">
        <f t="shared" si="40"/>
        <v>9.1980046339514149E-3</v>
      </c>
      <c r="N114" s="25">
        <f t="shared" si="41"/>
        <v>1.8921033514479506E-3</v>
      </c>
      <c r="O114" s="26">
        <f t="shared" si="42"/>
        <v>2.4486123138210449E-2</v>
      </c>
      <c r="P114" s="43">
        <f t="shared" si="43"/>
        <v>1.4601373066789061</v>
      </c>
      <c r="Q114" s="43">
        <f t="shared" si="44"/>
        <v>3.5753101890034646E-2</v>
      </c>
      <c r="R114" s="28">
        <v>1.4601</v>
      </c>
      <c r="S114" s="28">
        <v>1.46</v>
      </c>
      <c r="T114" s="34">
        <v>55</v>
      </c>
      <c r="U114" s="20">
        <v>357430828.5</v>
      </c>
      <c r="V114" s="20">
        <v>357430828.5</v>
      </c>
    </row>
    <row r="115" spans="1:23">
      <c r="A115" s="110">
        <v>105</v>
      </c>
      <c r="B115" s="30" t="s">
        <v>182</v>
      </c>
      <c r="C115" s="30" t="s">
        <v>137</v>
      </c>
      <c r="D115" s="20">
        <v>2044794519.03</v>
      </c>
      <c r="E115" s="20">
        <v>24241118.300000001</v>
      </c>
      <c r="F115" s="28">
        <v>0</v>
      </c>
      <c r="G115" s="20">
        <v>4232.17</v>
      </c>
      <c r="H115" s="21">
        <f t="shared" si="31"/>
        <v>24236886.129999999</v>
      </c>
      <c r="I115" s="28">
        <v>2063961309.55</v>
      </c>
      <c r="J115" s="23">
        <f t="shared" si="32"/>
        <v>8.8309020759678378E-3</v>
      </c>
      <c r="K115" s="20">
        <v>2109994757.28</v>
      </c>
      <c r="L115" s="23">
        <f t="shared" si="39"/>
        <v>8.8748707316540533E-3</v>
      </c>
      <c r="M115" s="23">
        <f t="shared" si="40"/>
        <v>2.2303445087367733E-2</v>
      </c>
      <c r="N115" s="25">
        <f t="shared" si="41"/>
        <v>2.0057727562582677E-6</v>
      </c>
      <c r="O115" s="26">
        <f t="shared" si="42"/>
        <v>1.1486704432026094E-2</v>
      </c>
      <c r="P115" s="43">
        <f t="shared" si="43"/>
        <v>32.212820252038512</v>
      </c>
      <c r="Q115" s="43">
        <f t="shared" si="44"/>
        <v>0.37001914515715068</v>
      </c>
      <c r="R115" s="28">
        <v>32.159500000000001</v>
      </c>
      <c r="S115" s="28">
        <v>32.159500000000001</v>
      </c>
      <c r="T115" s="50">
        <v>1360</v>
      </c>
      <c r="U115" s="20">
        <v>64949092.850000001</v>
      </c>
      <c r="V115" s="20">
        <v>65501708.350000001</v>
      </c>
    </row>
    <row r="116" spans="1:23">
      <c r="A116" s="177" t="s">
        <v>61</v>
      </c>
      <c r="B116" s="177"/>
      <c r="C116" s="177"/>
      <c r="D116" s="177"/>
      <c r="E116" s="177"/>
      <c r="F116" s="177"/>
      <c r="G116" s="177"/>
      <c r="H116" s="177"/>
      <c r="I116" s="40">
        <f>SUM(I78:I115)</f>
        <v>233720325714.72</v>
      </c>
      <c r="J116" s="38">
        <f>(I116/$I$247)</f>
        <v>2.5812192749925085E-2</v>
      </c>
      <c r="K116" s="40">
        <f>SUM(K78:K115)</f>
        <v>237749351069.90002</v>
      </c>
      <c r="L116" s="38">
        <f>(K116/$K$247)</f>
        <v>2.5862437124308423E-2</v>
      </c>
      <c r="M116" s="38">
        <f t="shared" si="34"/>
        <v>1.7238660535232472E-2</v>
      </c>
      <c r="N116" s="25"/>
      <c r="O116" s="25"/>
      <c r="P116" s="49"/>
      <c r="Q116" s="49"/>
      <c r="R116" s="40"/>
      <c r="S116" s="40"/>
      <c r="T116" s="40">
        <f>SUM(T78:T115)</f>
        <v>64425</v>
      </c>
      <c r="U116" s="40"/>
      <c r="V116" s="28"/>
    </row>
    <row r="117" spans="1:23" ht="7.05" customHeight="1">
      <c r="A117" s="179"/>
      <c r="B117" s="179"/>
      <c r="C117" s="179"/>
      <c r="D117" s="179"/>
      <c r="E117" s="179"/>
      <c r="F117" s="179"/>
      <c r="G117" s="179"/>
      <c r="H117" s="179"/>
      <c r="I117" s="179"/>
      <c r="J117" s="179"/>
      <c r="K117" s="179"/>
      <c r="L117" s="179"/>
      <c r="M117" s="179"/>
      <c r="N117" s="179"/>
      <c r="O117" s="179"/>
      <c r="P117" s="179"/>
      <c r="Q117" s="179"/>
      <c r="R117" s="179"/>
      <c r="S117" s="179"/>
      <c r="T117" s="179"/>
      <c r="U117" s="179"/>
      <c r="V117" s="179"/>
      <c r="W117" s="14"/>
    </row>
    <row r="118" spans="1:23">
      <c r="A118" s="176" t="s">
        <v>183</v>
      </c>
      <c r="B118" s="176"/>
      <c r="C118" s="176"/>
      <c r="D118" s="176"/>
      <c r="E118" s="176"/>
      <c r="F118" s="176"/>
      <c r="G118" s="176"/>
      <c r="H118" s="176"/>
      <c r="I118" s="176"/>
      <c r="J118" s="176"/>
      <c r="K118" s="176"/>
      <c r="L118" s="176"/>
      <c r="M118" s="176"/>
      <c r="N118" s="176"/>
      <c r="O118" s="176"/>
      <c r="P118" s="176"/>
      <c r="Q118" s="176"/>
      <c r="R118" s="176"/>
      <c r="S118" s="176"/>
      <c r="T118" s="176"/>
      <c r="U118" s="176"/>
      <c r="V118" s="176"/>
    </row>
    <row r="119" spans="1:23">
      <c r="A119" s="183" t="s">
        <v>184</v>
      </c>
      <c r="B119" s="183"/>
      <c r="C119" s="183"/>
      <c r="D119" s="183"/>
      <c r="E119" s="183"/>
      <c r="F119" s="183"/>
      <c r="G119" s="183"/>
      <c r="H119" s="183"/>
      <c r="I119" s="183"/>
      <c r="J119" s="183"/>
      <c r="K119" s="183"/>
      <c r="L119" s="183"/>
      <c r="M119" s="183"/>
      <c r="N119" s="183"/>
      <c r="O119" s="183"/>
      <c r="P119" s="183"/>
      <c r="Q119" s="183"/>
      <c r="R119" s="183"/>
      <c r="S119" s="183"/>
      <c r="T119" s="183"/>
      <c r="U119" s="183"/>
      <c r="V119" s="183"/>
    </row>
    <row r="120" spans="1:23">
      <c r="A120" s="51">
        <v>106</v>
      </c>
      <c r="B120" s="19" t="s">
        <v>185</v>
      </c>
      <c r="C120" s="19" t="s">
        <v>25</v>
      </c>
      <c r="D120" s="35">
        <v>4550860797.4399996</v>
      </c>
      <c r="E120" s="35">
        <v>27015688.23</v>
      </c>
      <c r="F120" s="35">
        <v>12286765.869999999</v>
      </c>
      <c r="G120" s="35">
        <v>7841365.5599999996</v>
      </c>
      <c r="H120" s="21">
        <f t="shared" ref="H120:H135" si="47">(E120+F120)-G120</f>
        <v>31461088.540000003</v>
      </c>
      <c r="I120" s="22">
        <v>3767681672.27</v>
      </c>
      <c r="J120" s="23">
        <f t="shared" ref="J120:J137" si="48">(I120/$I$160)</f>
        <v>2.0460766992576062E-3</v>
      </c>
      <c r="K120" s="24">
        <v>4519710336.2200003</v>
      </c>
      <c r="L120" s="23">
        <f t="shared" ref="L120" si="49">(K120/$K$160)</f>
        <v>2.4409741532195979E-3</v>
      </c>
      <c r="M120" s="23">
        <f t="shared" ref="M120" si="50">((K120-I120)/I120)</f>
        <v>0.19959984132547712</v>
      </c>
      <c r="N120" s="25">
        <f t="shared" ref="N120" si="51">(G120/K120)</f>
        <v>1.7349265719886866E-3</v>
      </c>
      <c r="O120" s="26">
        <f t="shared" ref="O120" si="52">H120/K120</f>
        <v>6.9608639049006105E-3</v>
      </c>
      <c r="P120" s="43">
        <f t="shared" ref="P120" si="53">K120/V120</f>
        <v>164293.12121029268</v>
      </c>
      <c r="Q120" s="43">
        <f t="shared" ref="Q120" si="54">H120/V120</f>
        <v>1143.6220572561872</v>
      </c>
      <c r="R120" s="28">
        <f>119.1234*C249</f>
        <v>164352.67283028</v>
      </c>
      <c r="S120" s="28">
        <f>119.1234*C249</f>
        <v>164352.67283028</v>
      </c>
      <c r="T120" s="28">
        <v>190</v>
      </c>
      <c r="U120" s="20">
        <v>23184.639999999999</v>
      </c>
      <c r="V120" s="20">
        <v>27510.04</v>
      </c>
    </row>
    <row r="121" spans="1:23">
      <c r="A121" s="51">
        <v>107</v>
      </c>
      <c r="B121" s="32" t="s">
        <v>186</v>
      </c>
      <c r="C121" s="33" t="s">
        <v>65</v>
      </c>
      <c r="D121" s="34">
        <f>4078106.53*C249</f>
        <v>5626499145.3578253</v>
      </c>
      <c r="E121" s="34">
        <f>47682.29*C249</f>
        <v>65786502.132817999</v>
      </c>
      <c r="F121" s="34">
        <v>0</v>
      </c>
      <c r="G121" s="34">
        <f>6851.84*C249</f>
        <v>9453375.3889279999</v>
      </c>
      <c r="H121" s="21">
        <f t="shared" si="47"/>
        <v>56333126.743890002</v>
      </c>
      <c r="I121" s="22">
        <v>5404788554.3845644</v>
      </c>
      <c r="J121" s="23">
        <f t="shared" si="48"/>
        <v>2.9351237411938064E-3</v>
      </c>
      <c r="K121" s="22">
        <f>4072111.66*C249</f>
        <v>5618228117.9377718</v>
      </c>
      <c r="L121" s="23">
        <f t="shared" ref="L121:L137" si="55">(K121/$K$160)</f>
        <v>3.0342541009491259E-3</v>
      </c>
      <c r="M121" s="23">
        <f t="shared" ref="M121:M137" si="56">((K121-I121)/I121)</f>
        <v>3.9490825849247575E-2</v>
      </c>
      <c r="N121" s="25">
        <f t="shared" ref="N121:N137" si="57">(G121/K121)</f>
        <v>1.6826257657188114E-3</v>
      </c>
      <c r="O121" s="26">
        <f t="shared" ref="O121:O137" si="58">H121/K121</f>
        <v>1.0026849312869776E-2</v>
      </c>
      <c r="P121" s="43">
        <f t="shared" ref="P121:P137" si="59">K121/V121</f>
        <v>147011.72769807171</v>
      </c>
      <c r="Q121" s="43">
        <f t="shared" ref="Q121:Q137" si="60">H121/V121</f>
        <v>1474.0644408532091</v>
      </c>
      <c r="R121" s="28">
        <f>100*C249</f>
        <v>137968.41999999998</v>
      </c>
      <c r="S121" s="28">
        <f>100*C249</f>
        <v>137968.41999999998</v>
      </c>
      <c r="T121" s="28">
        <v>117</v>
      </c>
      <c r="U121" s="28">
        <v>37034.26</v>
      </c>
      <c r="V121" s="28">
        <v>38216.19</v>
      </c>
    </row>
    <row r="122" spans="1:23" ht="13.05" customHeight="1">
      <c r="A122" s="51">
        <v>108</v>
      </c>
      <c r="B122" s="19" t="s">
        <v>187</v>
      </c>
      <c r="C122" s="30" t="s">
        <v>29</v>
      </c>
      <c r="D122" s="35">
        <f>8508250*C249</f>
        <v>11738698094.65</v>
      </c>
      <c r="E122" s="35">
        <f>77697*C249</f>
        <v>107197323.28739999</v>
      </c>
      <c r="F122" s="34">
        <f>-41801*C249</f>
        <v>-57672179.244199999</v>
      </c>
      <c r="G122" s="34">
        <f>22718*C249</f>
        <v>31343665.655599996</v>
      </c>
      <c r="H122" s="21">
        <f t="shared" si="47"/>
        <v>18181478.387599997</v>
      </c>
      <c r="I122" s="22">
        <v>18368584902.529499</v>
      </c>
      <c r="J122" s="23">
        <f t="shared" si="48"/>
        <v>9.975241232297859E-3</v>
      </c>
      <c r="K122" s="24">
        <f>12679336*C249</f>
        <v>17493479545.6912</v>
      </c>
      <c r="L122" s="23">
        <f t="shared" si="55"/>
        <v>9.4477584279483839E-3</v>
      </c>
      <c r="M122" s="23">
        <f t="shared" si="56"/>
        <v>-4.7641413940264388E-2</v>
      </c>
      <c r="N122" s="25">
        <f t="shared" si="57"/>
        <v>1.7917342043778947E-3</v>
      </c>
      <c r="O122" s="26">
        <f t="shared" si="58"/>
        <v>1.0393288733731797E-3</v>
      </c>
      <c r="P122" s="43">
        <f t="shared" si="59"/>
        <v>1705.6846450459814</v>
      </c>
      <c r="Q122" s="43">
        <f t="shared" si="60"/>
        <v>1.7727673004655717</v>
      </c>
      <c r="R122" s="28">
        <f>1.2363*C249</f>
        <v>1705.7035764599998</v>
      </c>
      <c r="S122" s="28">
        <f>1.24*C249</f>
        <v>1710.8084079999999</v>
      </c>
      <c r="T122" s="28">
        <v>346</v>
      </c>
      <c r="U122" s="20">
        <v>10481899</v>
      </c>
      <c r="V122" s="20">
        <v>10255987</v>
      </c>
    </row>
    <row r="123" spans="1:23" ht="13.05" customHeight="1">
      <c r="A123" s="51">
        <v>109</v>
      </c>
      <c r="B123" s="19" t="s">
        <v>188</v>
      </c>
      <c r="C123" s="30" t="s">
        <v>29</v>
      </c>
      <c r="D123" s="35">
        <f>2009006*C249</f>
        <v>2771793835.9052</v>
      </c>
      <c r="E123" s="34">
        <f>18566*C249</f>
        <v>25615216.857199997</v>
      </c>
      <c r="F123" s="34">
        <f>-1826*C249</f>
        <v>-2519303.3492000001</v>
      </c>
      <c r="G123" s="34">
        <f>6243*C249</f>
        <v>8613368.4605999999</v>
      </c>
      <c r="H123" s="21">
        <f t="shared" si="47"/>
        <v>14482545.047399998</v>
      </c>
      <c r="I123" s="22">
        <v>4294313759.7315001</v>
      </c>
      <c r="J123" s="23">
        <f t="shared" si="48"/>
        <v>2.3320694494325875E-3</v>
      </c>
      <c r="K123" s="24">
        <f>3164435*C249</f>
        <v>4365920971.427</v>
      </c>
      <c r="L123" s="23">
        <f t="shared" si="55"/>
        <v>2.3579166480756442E-3</v>
      </c>
      <c r="M123" s="23">
        <f t="shared" si="56"/>
        <v>1.6674890495187548E-2</v>
      </c>
      <c r="N123" s="25">
        <f t="shared" si="57"/>
        <v>1.9728640341798772E-3</v>
      </c>
      <c r="O123" s="26">
        <f t="shared" si="58"/>
        <v>3.3171798441111915E-3</v>
      </c>
      <c r="P123" s="43">
        <f t="shared" si="59"/>
        <v>1474.8203383726755</v>
      </c>
      <c r="Q123" s="43">
        <f t="shared" si="60"/>
        <v>4.8922443001350864</v>
      </c>
      <c r="R123" s="28">
        <f>1.069*C249</f>
        <v>1474.8824097999998</v>
      </c>
      <c r="S123" s="28">
        <f>1.069*C249</f>
        <v>1474.8824097999998</v>
      </c>
      <c r="T123" s="28">
        <v>127</v>
      </c>
      <c r="U123" s="20">
        <v>2934986</v>
      </c>
      <c r="V123" s="20">
        <v>2960307</v>
      </c>
    </row>
    <row r="124" spans="1:23" ht="13.05" customHeight="1">
      <c r="A124" s="51">
        <v>110</v>
      </c>
      <c r="B124" s="33" t="s">
        <v>189</v>
      </c>
      <c r="C124" s="33" t="s">
        <v>33</v>
      </c>
      <c r="D124" s="34">
        <f>3633447783*C249</f>
        <v>5013010497730.1279</v>
      </c>
      <c r="E124" s="34">
        <f>663740.14*C249</f>
        <v>915751784.06378794</v>
      </c>
      <c r="F124" s="34">
        <f>-632584.17*C249</f>
        <v>-872766384.51911402</v>
      </c>
      <c r="G124" s="34">
        <v>4890967</v>
      </c>
      <c r="H124" s="21">
        <f t="shared" si="47"/>
        <v>38094432.54467392</v>
      </c>
      <c r="I124" s="22">
        <v>49336753036.631157</v>
      </c>
      <c r="J124" s="23">
        <f t="shared" si="48"/>
        <v>2.6792810429883872E-2</v>
      </c>
      <c r="K124" s="22">
        <f>36177981.6*C249</f>
        <v>49914189601.410721</v>
      </c>
      <c r="L124" s="23">
        <f t="shared" si="55"/>
        <v>2.6957313109106155E-2</v>
      </c>
      <c r="M124" s="23">
        <f t="shared" si="56"/>
        <v>1.1703983931630715E-2</v>
      </c>
      <c r="N124" s="25">
        <f t="shared" si="57"/>
        <v>9.798750694054676E-5</v>
      </c>
      <c r="O124" s="26">
        <f t="shared" si="58"/>
        <v>7.6319845817144673E-4</v>
      </c>
      <c r="P124" s="43">
        <f t="shared" si="59"/>
        <v>1790.9870083159478</v>
      </c>
      <c r="Q124" s="43">
        <f t="shared" si="60"/>
        <v>1.3668785233518235</v>
      </c>
      <c r="R124" s="28">
        <f>1.2963*C249</f>
        <v>1788.4846284599998</v>
      </c>
      <c r="S124" s="28">
        <f>1.2963*C249</f>
        <v>1788.4846284599998</v>
      </c>
      <c r="T124" s="28">
        <v>743</v>
      </c>
      <c r="U124" s="28">
        <v>27693415.710000001</v>
      </c>
      <c r="V124" s="28">
        <v>27869654.760000002</v>
      </c>
    </row>
    <row r="125" spans="1:23" ht="13.05" customHeight="1">
      <c r="A125" s="51">
        <v>111</v>
      </c>
      <c r="B125" s="32" t="s">
        <v>190</v>
      </c>
      <c r="C125" s="33" t="s">
        <v>79</v>
      </c>
      <c r="D125" s="35">
        <f>996304.55*C249</f>
        <v>1374585646.0231099</v>
      </c>
      <c r="E125" s="35">
        <f>14404.37*C249</f>
        <v>19873481.699953999</v>
      </c>
      <c r="F125" s="34">
        <v>0</v>
      </c>
      <c r="G125" s="35">
        <f>1706.85*C249</f>
        <v>2354913.9767699996</v>
      </c>
      <c r="H125" s="21">
        <f t="shared" si="47"/>
        <v>17518567.723184001</v>
      </c>
      <c r="I125" s="22">
        <v>1374422288.16171</v>
      </c>
      <c r="J125" s="23">
        <f t="shared" si="48"/>
        <v>7.4639358187967208E-4</v>
      </c>
      <c r="K125" s="24">
        <f>981854.56*C249</f>
        <v>1354649223.129952</v>
      </c>
      <c r="L125" s="23">
        <f t="shared" si="55"/>
        <v>7.3160965954838274E-4</v>
      </c>
      <c r="M125" s="23">
        <f t="shared" si="56"/>
        <v>-1.438645545991876E-2</v>
      </c>
      <c r="N125" s="25">
        <f t="shared" si="57"/>
        <v>1.738393922619252E-3</v>
      </c>
      <c r="O125" s="26">
        <f t="shared" si="58"/>
        <v>1.2932180098038147E-2</v>
      </c>
      <c r="P125" s="43">
        <f t="shared" si="59"/>
        <v>1533.9619508029782</v>
      </c>
      <c r="Q125" s="43">
        <f t="shared" si="60"/>
        <v>19.837472211322044</v>
      </c>
      <c r="R125" s="28">
        <f>1.1118*C249</f>
        <v>1533.9328935599997</v>
      </c>
      <c r="S125" s="28">
        <f>1.119*C249</f>
        <v>1543.8666197999999</v>
      </c>
      <c r="T125" s="28">
        <v>79</v>
      </c>
      <c r="U125" s="20">
        <v>905616.8</v>
      </c>
      <c r="V125" s="20">
        <v>883104.84</v>
      </c>
    </row>
    <row r="126" spans="1:23" ht="13.05" customHeight="1">
      <c r="A126" s="51">
        <v>112</v>
      </c>
      <c r="B126" s="32" t="s">
        <v>191</v>
      </c>
      <c r="C126" s="33" t="s">
        <v>35</v>
      </c>
      <c r="D126" s="34">
        <f>704279.97*C249</f>
        <v>971683946.98547387</v>
      </c>
      <c r="E126" s="34">
        <f>4059.91*C249</f>
        <v>5601393.6804219997</v>
      </c>
      <c r="F126" s="34">
        <v>0</v>
      </c>
      <c r="G126" s="34">
        <f>1056.2*C249</f>
        <v>1457222.4520399999</v>
      </c>
      <c r="H126" s="21">
        <f t="shared" si="47"/>
        <v>4144171.2283819998</v>
      </c>
      <c r="I126" s="22">
        <v>919779511.34614503</v>
      </c>
      <c r="J126" s="23">
        <f t="shared" si="48"/>
        <v>4.9949533700548534E-4</v>
      </c>
      <c r="K126" s="22">
        <f>711498.15*C249</f>
        <v>981642755.88423002</v>
      </c>
      <c r="L126" s="23">
        <f t="shared" si="55"/>
        <v>5.3015888553881564E-4</v>
      </c>
      <c r="M126" s="23">
        <f t="shared" si="56"/>
        <v>6.7258776451265934E-2</v>
      </c>
      <c r="N126" s="25">
        <f t="shared" si="57"/>
        <v>1.4844732906192375E-3</v>
      </c>
      <c r="O126" s="26">
        <f t="shared" si="58"/>
        <v>4.2216694449592031E-3</v>
      </c>
      <c r="P126" s="43">
        <f t="shared" si="59"/>
        <v>2016.8304647879431</v>
      </c>
      <c r="Q126" s="43">
        <f t="shared" si="60"/>
        <v>8.5143915488581268</v>
      </c>
      <c r="R126" s="28">
        <f>1.46*C249</f>
        <v>2014.3389319999999</v>
      </c>
      <c r="S126" s="28">
        <f>1.48*C249</f>
        <v>2041.9326159999998</v>
      </c>
      <c r="T126" s="28">
        <v>83</v>
      </c>
      <c r="U126" s="28">
        <v>524023.57</v>
      </c>
      <c r="V126" s="28">
        <v>486725.47</v>
      </c>
    </row>
    <row r="127" spans="1:23" ht="13.05" customHeight="1">
      <c r="A127" s="51">
        <v>113</v>
      </c>
      <c r="B127" s="32" t="s">
        <v>192</v>
      </c>
      <c r="C127" s="33" t="s">
        <v>193</v>
      </c>
      <c r="D127" s="35">
        <f>1021647.77*C249</f>
        <v>1409551286.2342339</v>
      </c>
      <c r="E127" s="35">
        <f>16278.8*C249</f>
        <v>22459603.154959999</v>
      </c>
      <c r="F127" s="34">
        <v>0</v>
      </c>
      <c r="G127" s="35">
        <f>4628.41*C249</f>
        <v>6385744.1481219996</v>
      </c>
      <c r="H127" s="21">
        <f t="shared" si="47"/>
        <v>16073859.006837999</v>
      </c>
      <c r="I127" s="22">
        <v>4024486237.6396651</v>
      </c>
      <c r="J127" s="23">
        <f t="shared" si="48"/>
        <v>2.1855369517871873E-3</v>
      </c>
      <c r="K127" s="24">
        <f>2984554.9*C249</f>
        <v>4117743239.5625796</v>
      </c>
      <c r="L127" s="23">
        <f t="shared" si="55"/>
        <v>2.2238825211469784E-3</v>
      </c>
      <c r="M127" s="23">
        <f t="shared" si="56"/>
        <v>2.3172399261976138E-2</v>
      </c>
      <c r="N127" s="25">
        <f t="shared" si="57"/>
        <v>1.5507873552602434E-3</v>
      </c>
      <c r="O127" s="26">
        <f t="shared" si="58"/>
        <v>3.9035602930272786E-3</v>
      </c>
      <c r="P127" s="43">
        <f t="shared" si="59"/>
        <v>152616.4056025566</v>
      </c>
      <c r="Q127" s="43">
        <f t="shared" si="60"/>
        <v>595.74734097468593</v>
      </c>
      <c r="R127" s="28">
        <f>107.69*C249</f>
        <v>148578.191498</v>
      </c>
      <c r="S127" s="28">
        <f>106.06*C249</f>
        <v>146329.30625199998</v>
      </c>
      <c r="T127" s="28">
        <v>128</v>
      </c>
      <c r="U127" s="20">
        <v>26688</v>
      </c>
      <c r="V127" s="20">
        <v>26981</v>
      </c>
    </row>
    <row r="128" spans="1:23" ht="15" customHeight="1">
      <c r="A128" s="51">
        <v>114</v>
      </c>
      <c r="B128" s="19" t="s">
        <v>194</v>
      </c>
      <c r="C128" s="30" t="s">
        <v>92</v>
      </c>
      <c r="D128" s="35">
        <f>3104363.66*C249</f>
        <v>4283041492.7561722</v>
      </c>
      <c r="E128" s="35">
        <f>19724.54*C249</f>
        <v>27213636.190267999</v>
      </c>
      <c r="F128" s="34">
        <v>0</v>
      </c>
      <c r="G128" s="35">
        <f>6309*C249</f>
        <v>8704427.6177999992</v>
      </c>
      <c r="H128" s="21">
        <f t="shared" si="47"/>
        <v>18509208.572467998</v>
      </c>
      <c r="I128" s="22">
        <v>4418711391.8684998</v>
      </c>
      <c r="J128" s="23">
        <f t="shared" si="48"/>
        <v>2.3996248107126137E-3</v>
      </c>
      <c r="K128" s="24">
        <f>3076020*C249</f>
        <v>4243936192.8839998</v>
      </c>
      <c r="L128" s="23">
        <f t="shared" si="55"/>
        <v>2.2920359456944581E-3</v>
      </c>
      <c r="M128" s="23">
        <f t="shared" si="56"/>
        <v>-3.955343164211373E-2</v>
      </c>
      <c r="N128" s="25">
        <f t="shared" si="57"/>
        <v>2.0510269764175784E-3</v>
      </c>
      <c r="O128" s="26">
        <f t="shared" si="58"/>
        <v>4.361330550516576E-3</v>
      </c>
      <c r="P128" s="43">
        <f t="shared" si="59"/>
        <v>150326.91256622947</v>
      </c>
      <c r="Q128" s="43">
        <f t="shared" si="60"/>
        <v>655.62535633993082</v>
      </c>
      <c r="R128" s="28">
        <f>114.86*C249</f>
        <v>158470.52721199999</v>
      </c>
      <c r="S128" s="28">
        <f>114.86*C249</f>
        <v>158470.52721199999</v>
      </c>
      <c r="T128" s="28">
        <v>78</v>
      </c>
      <c r="U128" s="20">
        <v>28277.07</v>
      </c>
      <c r="V128" s="20">
        <v>28231.38</v>
      </c>
    </row>
    <row r="129" spans="1:24" ht="15" customHeight="1">
      <c r="A129" s="51">
        <v>115</v>
      </c>
      <c r="B129" s="19" t="s">
        <v>195</v>
      </c>
      <c r="C129" s="111" t="s">
        <v>312</v>
      </c>
      <c r="D129" s="35">
        <f>8436060.83*C249</f>
        <v>11639099837.389885</v>
      </c>
      <c r="E129" s="35">
        <f>47895.81*C249</f>
        <v>66081092.303201996</v>
      </c>
      <c r="F129" s="34">
        <v>0</v>
      </c>
      <c r="G129" s="35">
        <f>13687.7*C249</f>
        <v>18884703.424339999</v>
      </c>
      <c r="H129" s="21">
        <f t="shared" si="47"/>
        <v>47196388.878861994</v>
      </c>
      <c r="I129" s="22">
        <v>11650560279.38106</v>
      </c>
      <c r="J129" s="23">
        <f t="shared" si="48"/>
        <v>6.326951689253406E-3</v>
      </c>
      <c r="K129" s="24">
        <f>8364379.83*C249</f>
        <v>11540202694.249685</v>
      </c>
      <c r="L129" s="23">
        <f t="shared" si="55"/>
        <v>6.2325535054393996E-3</v>
      </c>
      <c r="M129" s="23">
        <f t="shared" si="56"/>
        <v>-9.472298540584621E-3</v>
      </c>
      <c r="N129" s="25">
        <f t="shared" si="57"/>
        <v>1.6364273596121471E-3</v>
      </c>
      <c r="O129" s="26">
        <f t="shared" si="58"/>
        <v>4.0897365608993392E-3</v>
      </c>
      <c r="P129" s="43">
        <f t="shared" si="59"/>
        <v>2109.108188998669</v>
      </c>
      <c r="Q129" s="43">
        <f t="shared" si="60"/>
        <v>8.6256968714400504</v>
      </c>
      <c r="R129" s="28">
        <f>1.53*C249</f>
        <v>2110.9168260000001</v>
      </c>
      <c r="S129" s="28">
        <f>1.53*C249</f>
        <v>2110.9168260000001</v>
      </c>
      <c r="T129" s="28">
        <v>121</v>
      </c>
      <c r="U129" s="20">
        <v>5541089</v>
      </c>
      <c r="V129" s="20">
        <v>5471603</v>
      </c>
    </row>
    <row r="130" spans="1:24" ht="15" customHeight="1">
      <c r="A130" s="51">
        <v>116</v>
      </c>
      <c r="B130" s="19" t="s">
        <v>196</v>
      </c>
      <c r="C130" s="19" t="s">
        <v>323</v>
      </c>
      <c r="D130" s="35">
        <v>56424805451.620003</v>
      </c>
      <c r="E130" s="35">
        <v>377445741.75999999</v>
      </c>
      <c r="F130" s="34">
        <v>0</v>
      </c>
      <c r="G130" s="35">
        <v>85455286.629999995</v>
      </c>
      <c r="H130" s="21">
        <f t="shared" si="47"/>
        <v>291990455.13</v>
      </c>
      <c r="I130" s="22">
        <v>53069362391.529999</v>
      </c>
      <c r="J130" s="23">
        <f t="shared" si="48"/>
        <v>2.8819840761214417E-2</v>
      </c>
      <c r="K130" s="24">
        <v>53037414674.610001</v>
      </c>
      <c r="L130" s="23">
        <f t="shared" si="55"/>
        <v>2.8644083081347964E-2</v>
      </c>
      <c r="M130" s="23">
        <f t="shared" si="56"/>
        <v>-6.0199926059592351E-4</v>
      </c>
      <c r="N130" s="25">
        <f t="shared" si="57"/>
        <v>1.6112264738822014E-3</v>
      </c>
      <c r="O130" s="26">
        <f t="shared" si="58"/>
        <v>5.505367426398732E-3</v>
      </c>
      <c r="P130" s="43">
        <f t="shared" si="59"/>
        <v>183129.39286681081</v>
      </c>
      <c r="Q130" s="43">
        <f t="shared" si="60"/>
        <v>1008.1945943051165</v>
      </c>
      <c r="R130" s="28">
        <f>132.64*C249</f>
        <v>183001.31228799996</v>
      </c>
      <c r="S130" s="28">
        <f>132.68*C249</f>
        <v>183056.499656</v>
      </c>
      <c r="T130" s="28">
        <v>3979</v>
      </c>
      <c r="U130" s="20">
        <v>292724.82</v>
      </c>
      <c r="V130" s="20">
        <v>289617.15999999997</v>
      </c>
    </row>
    <row r="131" spans="1:24">
      <c r="A131" s="51">
        <v>117</v>
      </c>
      <c r="B131" s="19" t="s">
        <v>197</v>
      </c>
      <c r="C131" s="19" t="s">
        <v>323</v>
      </c>
      <c r="D131" s="35">
        <v>166646677794.85001</v>
      </c>
      <c r="E131" s="35">
        <v>1147963736.79</v>
      </c>
      <c r="F131" s="34">
        <v>0</v>
      </c>
      <c r="G131" s="35">
        <v>259842151.68000001</v>
      </c>
      <c r="H131" s="21">
        <f t="shared" si="47"/>
        <v>888121585.1099999</v>
      </c>
      <c r="I131" s="22">
        <v>161762392834.72</v>
      </c>
      <c r="J131" s="23">
        <f t="shared" si="48"/>
        <v>8.7846663169891481E-2</v>
      </c>
      <c r="K131" s="24">
        <v>164016939450.20001</v>
      </c>
      <c r="L131" s="23">
        <f t="shared" si="55"/>
        <v>8.8581143503757967E-2</v>
      </c>
      <c r="M131" s="23">
        <f t="shared" si="56"/>
        <v>1.3937396547933016E-2</v>
      </c>
      <c r="N131" s="25">
        <f t="shared" si="57"/>
        <v>1.5842397288415148E-3</v>
      </c>
      <c r="O131" s="26">
        <f t="shared" si="58"/>
        <v>5.4148162262206926E-3</v>
      </c>
      <c r="P131" s="43">
        <f t="shared" si="59"/>
        <v>178825.24325375125</v>
      </c>
      <c r="Q131" s="43">
        <f t="shared" si="60"/>
        <v>968.3058288282748</v>
      </c>
      <c r="R131" s="28">
        <f>129.52*C249</f>
        <v>178696.69758400001</v>
      </c>
      <c r="S131" s="28">
        <f>129.56*C249</f>
        <v>178751.88495199999</v>
      </c>
      <c r="T131" s="28">
        <v>1557</v>
      </c>
      <c r="U131" s="20">
        <v>914146</v>
      </c>
      <c r="V131" s="20">
        <v>917191.2</v>
      </c>
    </row>
    <row r="132" spans="1:24">
      <c r="A132" s="51">
        <v>118</v>
      </c>
      <c r="B132" s="32" t="s">
        <v>198</v>
      </c>
      <c r="C132" s="33" t="s">
        <v>199</v>
      </c>
      <c r="D132" s="35">
        <f>1385000*C249</f>
        <v>1910862617</v>
      </c>
      <c r="E132" s="35">
        <f>11825.47*C249</f>
        <v>16315414.116573999</v>
      </c>
      <c r="F132" s="34">
        <v>0</v>
      </c>
      <c r="G132" s="35">
        <f>1815.56*C249</f>
        <v>2504899.4461519998</v>
      </c>
      <c r="H132" s="21">
        <f t="shared" si="47"/>
        <v>13810514.670421999</v>
      </c>
      <c r="I132" s="52">
        <v>2251315816.7628298</v>
      </c>
      <c r="J132" s="23">
        <f t="shared" si="48"/>
        <v>1.2225992628971843E-3</v>
      </c>
      <c r="K132" s="24">
        <f>1639401.74*C249</f>
        <v>2261856678.1305079</v>
      </c>
      <c r="L132" s="23">
        <f t="shared" si="55"/>
        <v>1.2215680384113367E-3</v>
      </c>
      <c r="M132" s="23">
        <f t="shared" si="56"/>
        <v>4.6820891539041754E-3</v>
      </c>
      <c r="N132" s="25">
        <f t="shared" si="57"/>
        <v>1.1074527711554094E-3</v>
      </c>
      <c r="O132" s="26">
        <f t="shared" si="58"/>
        <v>6.105831021016239E-3</v>
      </c>
      <c r="P132" s="43">
        <f t="shared" si="59"/>
        <v>159740.49198743381</v>
      </c>
      <c r="Q132" s="43">
        <f t="shared" si="60"/>
        <v>975.34845128926929</v>
      </c>
      <c r="R132" s="28">
        <f>1*C249</f>
        <v>1379.6841999999999</v>
      </c>
      <c r="S132" s="28">
        <f>1*C249</f>
        <v>1379.6841999999999</v>
      </c>
      <c r="T132" s="28">
        <v>21</v>
      </c>
      <c r="U132" s="20">
        <v>13136.99</v>
      </c>
      <c r="V132" s="20">
        <v>14159.57</v>
      </c>
    </row>
    <row r="133" spans="1:24" s="13" customFormat="1">
      <c r="A133" s="51">
        <v>119</v>
      </c>
      <c r="B133" s="32" t="s">
        <v>200</v>
      </c>
      <c r="C133" s="33" t="s">
        <v>201</v>
      </c>
      <c r="D133" s="35">
        <f>179392.65*C249</f>
        <v>247505204.80112997</v>
      </c>
      <c r="E133" s="35">
        <f>1659.38*C249</f>
        <v>2289420.3677960001</v>
      </c>
      <c r="F133" s="34">
        <v>0</v>
      </c>
      <c r="G133" s="35">
        <v>5463.31</v>
      </c>
      <c r="H133" s="21">
        <f t="shared" si="47"/>
        <v>2283957.057796</v>
      </c>
      <c r="I133" s="22">
        <v>267979684.56918001</v>
      </c>
      <c r="J133" s="23">
        <f t="shared" si="48"/>
        <v>1.4552901125031921E-4</v>
      </c>
      <c r="K133" s="24">
        <f>171131.31*C249</f>
        <v>236107164.53230199</v>
      </c>
      <c r="L133" s="23">
        <f t="shared" si="55"/>
        <v>1.2751513772790211E-4</v>
      </c>
      <c r="M133" s="23">
        <f t="shared" si="56"/>
        <v>-0.11893632940167896</v>
      </c>
      <c r="N133" s="25">
        <f t="shared" si="57"/>
        <v>2.3139111474326145E-5</v>
      </c>
      <c r="O133" s="26">
        <f t="shared" si="58"/>
        <v>9.6733915818277942E-3</v>
      </c>
      <c r="P133" s="43">
        <f t="shared" si="59"/>
        <v>117.24534804055907</v>
      </c>
      <c r="Q133" s="43">
        <f t="shared" si="60"/>
        <v>1.1341601627440139</v>
      </c>
      <c r="R133" s="28">
        <f>146.9836*C249</f>
        <v>202790.95057911999</v>
      </c>
      <c r="S133" s="28">
        <f>146.9836*C249</f>
        <v>202790.95057911999</v>
      </c>
      <c r="T133" s="28">
        <v>11</v>
      </c>
      <c r="U133" s="20">
        <f>1459.6*C249</f>
        <v>2013787.0583199998</v>
      </c>
      <c r="V133" s="20">
        <f>1459.6*C249</f>
        <v>2013787.0583199998</v>
      </c>
      <c r="W133" s="12"/>
      <c r="X133" s="12"/>
    </row>
    <row r="134" spans="1:24" s="13" customFormat="1">
      <c r="A134" s="134">
        <v>120</v>
      </c>
      <c r="B134" s="135" t="s">
        <v>329</v>
      </c>
      <c r="C134" s="113" t="s">
        <v>330</v>
      </c>
      <c r="D134" s="35">
        <f>51184.67*C249</f>
        <v>70618680.481213987</v>
      </c>
      <c r="E134" s="35">
        <f>2912.43*C249</f>
        <v>4018233.6546059996</v>
      </c>
      <c r="F134" s="34">
        <v>0</v>
      </c>
      <c r="G134" s="35">
        <f>223.76*C249</f>
        <v>308718.13659199997</v>
      </c>
      <c r="H134" s="21">
        <f t="shared" si="47"/>
        <v>3709515.5180139998</v>
      </c>
      <c r="I134" s="22">
        <v>51074905.316699997</v>
      </c>
      <c r="J134" s="23">
        <f t="shared" si="48"/>
        <v>2.7736731171963876E-5</v>
      </c>
      <c r="K134" s="24">
        <f>54987.3*C249</f>
        <v>75865109.010659993</v>
      </c>
      <c r="L134" s="23">
        <f t="shared" si="55"/>
        <v>4.0972707640615105E-5</v>
      </c>
      <c r="M134" s="23">
        <f t="shared" si="56"/>
        <v>0.48536954773079777</v>
      </c>
      <c r="N134" s="25">
        <f t="shared" si="57"/>
        <v>4.0693032754836114E-3</v>
      </c>
      <c r="O134" s="26">
        <f t="shared" si="58"/>
        <v>4.8896199667923322E-2</v>
      </c>
      <c r="P134" s="43">
        <f t="shared" si="59"/>
        <v>1542.3765965432026</v>
      </c>
      <c r="Q134" s="43">
        <f t="shared" si="60"/>
        <v>75.416354027708451</v>
      </c>
      <c r="R134" s="28">
        <f>100*C249</f>
        <v>137968.41999999998</v>
      </c>
      <c r="S134" s="28">
        <f>100*C249</f>
        <v>137968.41999999998</v>
      </c>
      <c r="T134" s="28">
        <v>3</v>
      </c>
      <c r="U134" s="20">
        <v>37000</v>
      </c>
      <c r="V134" s="20">
        <v>49187.15</v>
      </c>
      <c r="W134" s="12"/>
      <c r="X134" s="12"/>
    </row>
    <row r="135" spans="1:24" ht="13.95" customHeight="1">
      <c r="A135" s="51">
        <v>121</v>
      </c>
      <c r="B135" s="111" t="s">
        <v>202</v>
      </c>
      <c r="C135" s="19" t="s">
        <v>203</v>
      </c>
      <c r="D135" s="35">
        <v>42860321257.699997</v>
      </c>
      <c r="E135" s="35">
        <v>1387456146.8699999</v>
      </c>
      <c r="F135" s="35">
        <v>-202289139.30000001</v>
      </c>
      <c r="G135" s="35">
        <v>149352754.09999999</v>
      </c>
      <c r="H135" s="21">
        <f t="shared" si="47"/>
        <v>1035814253.4699999</v>
      </c>
      <c r="I135" s="22">
        <v>42518354972.18</v>
      </c>
      <c r="J135" s="23">
        <f t="shared" si="48"/>
        <v>2.3090012099383904E-2</v>
      </c>
      <c r="K135" s="24">
        <v>44679995651.739998</v>
      </c>
      <c r="L135" s="23">
        <f t="shared" si="55"/>
        <v>2.4130465547284277E-2</v>
      </c>
      <c r="M135" s="23">
        <f t="shared" si="56"/>
        <v>5.0840176694850289E-2</v>
      </c>
      <c r="N135" s="25">
        <f t="shared" si="57"/>
        <v>3.342720873657553E-3</v>
      </c>
      <c r="O135" s="26">
        <f t="shared" si="58"/>
        <v>2.3182953318610307E-2</v>
      </c>
      <c r="P135" s="43">
        <f t="shared" si="59"/>
        <v>152001.20992614265</v>
      </c>
      <c r="Q135" s="43">
        <f t="shared" si="60"/>
        <v>3523.8369540900508</v>
      </c>
      <c r="R135" s="28">
        <v>152001.21</v>
      </c>
      <c r="S135" s="28">
        <v>152001.21</v>
      </c>
      <c r="T135" s="28">
        <v>958</v>
      </c>
      <c r="U135" s="20">
        <v>288861</v>
      </c>
      <c r="V135" s="20">
        <v>293945</v>
      </c>
    </row>
    <row r="136" spans="1:24" ht="13.95" customHeight="1">
      <c r="A136" s="51">
        <v>122</v>
      </c>
      <c r="B136" s="19" t="s">
        <v>204</v>
      </c>
      <c r="C136" s="19" t="s">
        <v>49</v>
      </c>
      <c r="D136" s="35">
        <f>1882423.27*C249</f>
        <v>2597149643.3313336</v>
      </c>
      <c r="E136" s="35">
        <f>230780.44*C249</f>
        <v>318404126.73704797</v>
      </c>
      <c r="F136" s="34">
        <v>0</v>
      </c>
      <c r="G136" s="35">
        <f>2695.6*C249</f>
        <v>3719076.7295199996</v>
      </c>
      <c r="H136" s="21">
        <f t="shared" ref="H136:H137" si="61">(E136+F136)-G136</f>
        <v>314685050.00752795</v>
      </c>
      <c r="I136" s="22">
        <v>2767457516.7584248</v>
      </c>
      <c r="J136" s="23">
        <f t="shared" si="48"/>
        <v>1.5028951046740522E-3</v>
      </c>
      <c r="K136" s="24">
        <f>1883441.02*C249</f>
        <v>2598553816.9258838</v>
      </c>
      <c r="L136" s="23">
        <f t="shared" si="55"/>
        <v>1.4034091193930582E-3</v>
      </c>
      <c r="M136" s="23">
        <f t="shared" si="56"/>
        <v>-6.1032084073464325E-2</v>
      </c>
      <c r="N136" s="25">
        <f t="shared" si="57"/>
        <v>1.431210200572142E-3</v>
      </c>
      <c r="O136" s="26">
        <f t="shared" si="58"/>
        <v>0.12110007033827902</v>
      </c>
      <c r="P136" s="43">
        <f t="shared" si="59"/>
        <v>199563.31343700149</v>
      </c>
      <c r="Q136" s="43">
        <f t="shared" si="60"/>
        <v>24167.131294160903</v>
      </c>
      <c r="R136" s="28">
        <f>162.26*C249</f>
        <v>223867.55829199997</v>
      </c>
      <c r="S136" s="28">
        <f>168.75*C249</f>
        <v>232821.70874999999</v>
      </c>
      <c r="T136" s="28">
        <v>53</v>
      </c>
      <c r="U136" s="20">
        <v>12606.06</v>
      </c>
      <c r="V136" s="20">
        <v>13021.2</v>
      </c>
    </row>
    <row r="137" spans="1:24">
      <c r="A137" s="51">
        <v>123</v>
      </c>
      <c r="B137" s="19" t="s">
        <v>205</v>
      </c>
      <c r="C137" s="19" t="s">
        <v>56</v>
      </c>
      <c r="D137" s="34">
        <f>97518987*C249</f>
        <v>134545405563.9054</v>
      </c>
      <c r="E137" s="34">
        <f>749940*C249</f>
        <v>1034680368.948</v>
      </c>
      <c r="F137" s="34">
        <v>0</v>
      </c>
      <c r="G137" s="34">
        <f>154457*C249</f>
        <v>213101882.47939998</v>
      </c>
      <c r="H137" s="21">
        <f t="shared" si="61"/>
        <v>821578486.46860003</v>
      </c>
      <c r="I137" s="22">
        <v>153057270909.15149</v>
      </c>
      <c r="J137" s="23">
        <f t="shared" si="48"/>
        <v>8.3119260834605802E-2</v>
      </c>
      <c r="K137" s="22">
        <f>111262924*C249</f>
        <v>153507698288.6008</v>
      </c>
      <c r="L137" s="23">
        <f t="shared" si="55"/>
        <v>8.2905384630487008E-2</v>
      </c>
      <c r="M137" s="23">
        <f t="shared" si="56"/>
        <v>2.9428682268656517E-3</v>
      </c>
      <c r="N137" s="25">
        <f t="shared" si="57"/>
        <v>1.3882162579153499E-3</v>
      </c>
      <c r="O137" s="26">
        <f t="shared" si="58"/>
        <v>5.3520344297261144E-3</v>
      </c>
      <c r="P137" s="43">
        <f t="shared" si="59"/>
        <v>173120.62768406779</v>
      </c>
      <c r="Q137" s="43">
        <f t="shared" si="60"/>
        <v>926.54755986092675</v>
      </c>
      <c r="R137" s="28">
        <f>128.37*C249</f>
        <v>177110.06075400001</v>
      </c>
      <c r="S137" s="28">
        <f>128.37*C249</f>
        <v>177110.06075400001</v>
      </c>
      <c r="T137" s="28">
        <v>1090</v>
      </c>
      <c r="U137" s="28">
        <v>880870</v>
      </c>
      <c r="V137" s="28">
        <v>886709.46</v>
      </c>
    </row>
    <row r="138" spans="1:24" ht="5.55" customHeight="1">
      <c r="A138" s="184"/>
      <c r="B138" s="184"/>
      <c r="C138" s="184"/>
      <c r="D138" s="184"/>
      <c r="E138" s="184"/>
      <c r="F138" s="184"/>
      <c r="G138" s="184"/>
      <c r="H138" s="184"/>
      <c r="I138" s="184"/>
      <c r="J138" s="184"/>
      <c r="K138" s="184"/>
      <c r="L138" s="184"/>
      <c r="M138" s="184"/>
      <c r="N138" s="184"/>
      <c r="O138" s="184"/>
      <c r="P138" s="184"/>
      <c r="Q138" s="184"/>
      <c r="R138" s="184"/>
      <c r="S138" s="184"/>
      <c r="T138" s="184"/>
      <c r="U138" s="184"/>
      <c r="V138" s="184"/>
    </row>
    <row r="139" spans="1:24" ht="13.8" customHeight="1">
      <c r="A139" s="185" t="s">
        <v>206</v>
      </c>
      <c r="B139" s="186"/>
      <c r="C139" s="186"/>
      <c r="D139" s="186"/>
      <c r="E139" s="186"/>
      <c r="F139" s="186"/>
      <c r="G139" s="186"/>
      <c r="H139" s="186"/>
      <c r="I139" s="186"/>
      <c r="J139" s="186"/>
      <c r="K139" s="186"/>
      <c r="L139" s="186"/>
      <c r="M139" s="186"/>
      <c r="N139" s="186"/>
      <c r="O139" s="186"/>
      <c r="P139" s="186"/>
      <c r="Q139" s="186"/>
      <c r="R139" s="186"/>
      <c r="S139" s="186"/>
      <c r="T139" s="186"/>
      <c r="U139" s="186"/>
      <c r="V139" s="187"/>
    </row>
    <row r="140" spans="1:24">
      <c r="A140" s="53">
        <v>124</v>
      </c>
      <c r="B140" s="46" t="s">
        <v>207</v>
      </c>
      <c r="C140" s="28" t="s">
        <v>67</v>
      </c>
      <c r="D140" s="54">
        <f>415923.4*C249</f>
        <v>573842943.39028001</v>
      </c>
      <c r="E140" s="28">
        <f>3133.18*C249</f>
        <v>4322798.9417559998</v>
      </c>
      <c r="F140" s="28">
        <v>0</v>
      </c>
      <c r="G140" s="28">
        <f>726.83*C249</f>
        <v>1002795.867086</v>
      </c>
      <c r="H140" s="21">
        <f>(E140+F140)-G140</f>
        <v>3320003.07467</v>
      </c>
      <c r="I140" s="28">
        <v>480274269.94207495</v>
      </c>
      <c r="J140" s="23">
        <f t="shared" ref="J140:J159" si="62">(I140/$I$160)</f>
        <v>2.6081768006408598E-4</v>
      </c>
      <c r="K140" s="28">
        <f>455203.72*C249</f>
        <v>628037380.26522398</v>
      </c>
      <c r="L140" s="23">
        <f t="shared" ref="L140" si="63">(K140/$K$160)</f>
        <v>3.3918612000371758E-4</v>
      </c>
      <c r="M140" s="23">
        <f t="shared" ref="M140:M160" si="64">((K140-I140)/I140)</f>
        <v>0.30766401527396103</v>
      </c>
      <c r="N140" s="25">
        <f t="shared" ref="N140" si="65">(G140/K140)</f>
        <v>1.5967136648180292E-3</v>
      </c>
      <c r="O140" s="26">
        <f t="shared" ref="O140" si="66">H140/K140</f>
        <v>5.286314444003226E-3</v>
      </c>
      <c r="P140" s="27">
        <f t="shared" ref="P140" si="67">K140/V140</f>
        <v>1426.9393297538313</v>
      </c>
      <c r="Q140" s="27">
        <f t="shared" ref="Q140" si="68">H140/V140</f>
        <v>7.54324998959396</v>
      </c>
      <c r="R140" s="28">
        <f>1.01*C249</f>
        <v>1393.4810419999999</v>
      </c>
      <c r="S140" s="28">
        <f>1.01*C249</f>
        <v>1393.4810419999999</v>
      </c>
      <c r="T140" s="28">
        <v>43</v>
      </c>
      <c r="U140" s="34">
        <v>340593</v>
      </c>
      <c r="V140" s="34">
        <v>440129</v>
      </c>
    </row>
    <row r="141" spans="1:24">
      <c r="A141" s="53">
        <v>125</v>
      </c>
      <c r="B141" s="46" t="s">
        <v>208</v>
      </c>
      <c r="C141" s="28" t="s">
        <v>74</v>
      </c>
      <c r="D141" s="55">
        <f>875740.85*C249</f>
        <v>1208245814.0395699</v>
      </c>
      <c r="E141" s="20">
        <f>8083.48*C249</f>
        <v>11152649.637015998</v>
      </c>
      <c r="F141" s="28">
        <v>0</v>
      </c>
      <c r="G141" s="20">
        <f>1785.45*C249</f>
        <v>2463357.1548899999</v>
      </c>
      <c r="H141" s="21">
        <f>(E141+F141)-G141</f>
        <v>8689292.4821259975</v>
      </c>
      <c r="I141" s="28">
        <v>1434858490.881825</v>
      </c>
      <c r="J141" s="23">
        <f t="shared" si="62"/>
        <v>7.7921405795315472E-4</v>
      </c>
      <c r="K141" s="20">
        <f>1045850.97*C249</f>
        <v>1442944058.8636739</v>
      </c>
      <c r="L141" s="23">
        <f t="shared" ref="L141:L159" si="69">(K141/$K$160)</f>
        <v>7.7929532872979246E-4</v>
      </c>
      <c r="M141" s="23">
        <f t="shared" ref="M141:M159" si="70">((K141-I141)/I141)</f>
        <v>5.6350978394251166E-3</v>
      </c>
      <c r="N141" s="25">
        <f t="shared" ref="N141:N159" si="71">(G141/K141)</f>
        <v>1.7071743978972454E-3</v>
      </c>
      <c r="O141" s="26">
        <f t="shared" ref="O141:O159" si="72">H141/K141</f>
        <v>6.0219191650221432E-3</v>
      </c>
      <c r="P141" s="27">
        <f t="shared" ref="P141:P159" si="73">K141/V141</f>
        <v>161855.75534084957</v>
      </c>
      <c r="Q141" s="27">
        <f t="shared" ref="Q141:Q159" si="74">H141/V141</f>
        <v>974.68227505619711</v>
      </c>
      <c r="R141" s="28">
        <f>117.31*C249</f>
        <v>161850.75350200001</v>
      </c>
      <c r="S141" s="28">
        <f>117.31*C249</f>
        <v>161850.75350200001</v>
      </c>
      <c r="T141" s="28">
        <v>30</v>
      </c>
      <c r="U141" s="35">
        <v>8916</v>
      </c>
      <c r="V141" s="35">
        <v>8915</v>
      </c>
    </row>
    <row r="142" spans="1:24">
      <c r="A142" s="53">
        <v>126</v>
      </c>
      <c r="B142" s="46" t="s">
        <v>209</v>
      </c>
      <c r="C142" s="28" t="s">
        <v>31</v>
      </c>
      <c r="D142" s="55">
        <f>11140206.31*C249</f>
        <v>15369966630.647303</v>
      </c>
      <c r="E142" s="20">
        <f>98462.36*C249</f>
        <v>135846962.38671198</v>
      </c>
      <c r="F142" s="28">
        <v>0</v>
      </c>
      <c r="G142" s="20">
        <f>22269.83*C249</f>
        <v>30725332.587686002</v>
      </c>
      <c r="H142" s="21">
        <f t="shared" ref="H142:H159" si="75">(E142+F142)-G142</f>
        <v>105121629.79902598</v>
      </c>
      <c r="I142" s="28">
        <v>27944735017.265083</v>
      </c>
      <c r="J142" s="23">
        <f t="shared" si="62"/>
        <v>1.5175664018161446E-2</v>
      </c>
      <c r="K142" s="20">
        <f>20574556.13*C249</f>
        <v>28386390014.574142</v>
      </c>
      <c r="L142" s="23">
        <f t="shared" si="69"/>
        <v>1.5330726788729676E-2</v>
      </c>
      <c r="M142" s="23">
        <f t="shared" si="70"/>
        <v>1.5804587054992349E-2</v>
      </c>
      <c r="N142" s="25">
        <f t="shared" si="71"/>
        <v>1.0823966193626946E-3</v>
      </c>
      <c r="O142" s="26">
        <f t="shared" si="72"/>
        <v>3.7032405228369803E-3</v>
      </c>
      <c r="P142" s="27">
        <f t="shared" si="73"/>
        <v>191546.48288399307</v>
      </c>
      <c r="Q142" s="27">
        <f t="shared" si="74"/>
        <v>709.34269742290314</v>
      </c>
      <c r="R142" s="28">
        <f>138.14*C249</f>
        <v>190589.57538799997</v>
      </c>
      <c r="S142" s="28">
        <f>139.53*C249</f>
        <v>192507.33642599999</v>
      </c>
      <c r="T142" s="28">
        <v>693</v>
      </c>
      <c r="U142" s="35">
        <v>147128.95000000001</v>
      </c>
      <c r="V142" s="35">
        <v>148195.82999999999</v>
      </c>
    </row>
    <row r="143" spans="1:24">
      <c r="A143" s="53">
        <v>127</v>
      </c>
      <c r="B143" s="46" t="s">
        <v>210</v>
      </c>
      <c r="C143" s="46" t="s">
        <v>148</v>
      </c>
      <c r="D143" s="54">
        <f>450535.7*C249</f>
        <v>621596986.82594001</v>
      </c>
      <c r="E143" s="20">
        <f>3400.72*C249</f>
        <v>4691919.6526239999</v>
      </c>
      <c r="F143" s="28">
        <v>0</v>
      </c>
      <c r="G143" s="28">
        <f>909.59*C249</f>
        <v>1254946.951478</v>
      </c>
      <c r="H143" s="21">
        <f t="shared" ref="H143" si="76">(E143+F143)-G143</f>
        <v>3436972.7011460001</v>
      </c>
      <c r="I143" s="28">
        <v>600505846.16988003</v>
      </c>
      <c r="J143" s="23">
        <f t="shared" si="62"/>
        <v>3.2611062358564195E-4</v>
      </c>
      <c r="K143" s="20">
        <f>441925.97*C249</f>
        <v>609718278.37867391</v>
      </c>
      <c r="L143" s="23">
        <f t="shared" si="69"/>
        <v>3.2929246512567882E-4</v>
      </c>
      <c r="M143" s="23">
        <f t="shared" si="70"/>
        <v>1.5341119936720365E-2</v>
      </c>
      <c r="N143" s="25">
        <f t="shared" si="71"/>
        <v>2.0582406596290326E-3</v>
      </c>
      <c r="O143" s="26">
        <f t="shared" si="72"/>
        <v>5.6369848551783468E-3</v>
      </c>
      <c r="P143" s="27">
        <f t="shared" si="73"/>
        <v>145865.61683700333</v>
      </c>
      <c r="Q143" s="27">
        <f t="shared" si="74"/>
        <v>822.24227300143548</v>
      </c>
      <c r="R143" s="28">
        <f>105.75*C249</f>
        <v>145901.60415</v>
      </c>
      <c r="S143" s="28">
        <f>105.75*C249</f>
        <v>145901.60415</v>
      </c>
      <c r="T143" s="28">
        <v>19</v>
      </c>
      <c r="U143" s="35">
        <v>4155</v>
      </c>
      <c r="V143" s="35">
        <v>4180</v>
      </c>
    </row>
    <row r="144" spans="1:24" ht="14.1" customHeight="1">
      <c r="A144" s="53">
        <v>128</v>
      </c>
      <c r="B144" s="46" t="s">
        <v>211</v>
      </c>
      <c r="C144" s="46" t="s">
        <v>83</v>
      </c>
      <c r="D144" s="55">
        <f>14104325.5*C249</f>
        <v>19459515044.007099</v>
      </c>
      <c r="E144" s="20">
        <f>92563.55*C249</f>
        <v>127708467.43090999</v>
      </c>
      <c r="F144" s="28">
        <v>0</v>
      </c>
      <c r="G144" s="20">
        <f>22219.58*C249</f>
        <v>30656003.456636</v>
      </c>
      <c r="H144" s="21">
        <f t="shared" si="75"/>
        <v>97052463.974273995</v>
      </c>
      <c r="I144" s="28">
        <v>17607879992.780369</v>
      </c>
      <c r="J144" s="23">
        <f t="shared" si="62"/>
        <v>9.5621329269163172E-3</v>
      </c>
      <c r="K144" s="20">
        <f>14203172.93*C249</f>
        <v>19595893281.388706</v>
      </c>
      <c r="L144" s="23">
        <f t="shared" si="69"/>
        <v>1.058321561578744E-2</v>
      </c>
      <c r="M144" s="23">
        <f t="shared" si="70"/>
        <v>0.11290474999962903</v>
      </c>
      <c r="N144" s="25">
        <f t="shared" si="71"/>
        <v>1.5644095942159313E-3</v>
      </c>
      <c r="O144" s="26">
        <f t="shared" si="72"/>
        <v>4.9526940456677236E-3</v>
      </c>
      <c r="P144" s="27">
        <f t="shared" si="73"/>
        <v>171604.78213350064</v>
      </c>
      <c r="Q144" s="27">
        <f t="shared" si="74"/>
        <v>849.90598268069562</v>
      </c>
      <c r="R144" s="28">
        <f>116.87*C249</f>
        <v>161243.692454</v>
      </c>
      <c r="S144" s="28">
        <f>116.87*C249</f>
        <v>161243.692454</v>
      </c>
      <c r="T144" s="28">
        <v>477</v>
      </c>
      <c r="U144" s="35">
        <v>110076</v>
      </c>
      <c r="V144" s="34">
        <v>114192</v>
      </c>
    </row>
    <row r="145" spans="1:22" ht="14.1" customHeight="1">
      <c r="A145" s="53">
        <v>129</v>
      </c>
      <c r="B145" s="46" t="s">
        <v>212</v>
      </c>
      <c r="C145" s="46" t="s">
        <v>85</v>
      </c>
      <c r="D145" s="55">
        <v>344169597.89999998</v>
      </c>
      <c r="E145" s="28">
        <v>4117220.35</v>
      </c>
      <c r="F145" s="20">
        <v>-5042939.47</v>
      </c>
      <c r="G145" s="20">
        <v>1980983.69</v>
      </c>
      <c r="H145" s="21">
        <f t="shared" si="75"/>
        <v>-2906702.8099999996</v>
      </c>
      <c r="I145" s="28">
        <v>338902554.94999999</v>
      </c>
      <c r="J145" s="23">
        <f t="shared" si="62"/>
        <v>1.8404437564500633E-4</v>
      </c>
      <c r="K145" s="20">
        <v>344639705.81999999</v>
      </c>
      <c r="L145" s="23">
        <f t="shared" si="69"/>
        <v>1.8613064809445281E-4</v>
      </c>
      <c r="M145" s="23">
        <f t="shared" si="70"/>
        <v>1.6928614984464886E-2</v>
      </c>
      <c r="N145" s="25">
        <f t="shared" si="71"/>
        <v>5.7479845083045576E-3</v>
      </c>
      <c r="O145" s="26">
        <f t="shared" si="72"/>
        <v>-8.434033458460893E-3</v>
      </c>
      <c r="P145" s="27">
        <f t="shared" si="73"/>
        <v>1440.858549996045</v>
      </c>
      <c r="Q145" s="27">
        <f t="shared" si="74"/>
        <v>-12.152249219576092</v>
      </c>
      <c r="R145" s="28">
        <f>1.0436*C249</f>
        <v>1439.83843112</v>
      </c>
      <c r="S145" s="28">
        <f>1.0436*C249</f>
        <v>1439.83843112</v>
      </c>
      <c r="T145" s="28">
        <v>14</v>
      </c>
      <c r="U145" s="35">
        <v>233928.74</v>
      </c>
      <c r="V145" s="35">
        <v>239190.52</v>
      </c>
    </row>
    <row r="146" spans="1:22" ht="15" customHeight="1">
      <c r="A146" s="53">
        <v>130</v>
      </c>
      <c r="B146" s="46" t="s">
        <v>213</v>
      </c>
      <c r="C146" s="28" t="s">
        <v>81</v>
      </c>
      <c r="D146" s="55">
        <f>10387636.78*C249</f>
        <v>14331658340.704874</v>
      </c>
      <c r="E146" s="20">
        <f>180257.87*C249</f>
        <v>248698935.16465399</v>
      </c>
      <c r="F146" s="28">
        <v>0</v>
      </c>
      <c r="G146" s="20">
        <v>12281.61</v>
      </c>
      <c r="H146" s="21">
        <f t="shared" si="75"/>
        <v>248686653.55465397</v>
      </c>
      <c r="I146" s="28">
        <v>14299475199.353773</v>
      </c>
      <c r="J146" s="23">
        <f t="shared" si="62"/>
        <v>7.7654710673532431E-3</v>
      </c>
      <c r="K146" s="20">
        <f>10369952.32*C249</f>
        <v>14307259370.657343</v>
      </c>
      <c r="L146" s="23">
        <f t="shared" si="69"/>
        <v>7.7269664932535032E-3</v>
      </c>
      <c r="M146" s="23">
        <f t="shared" si="70"/>
        <v>5.4436762154191356E-4</v>
      </c>
      <c r="N146" s="25">
        <f t="shared" si="71"/>
        <v>8.5841807168102838E-7</v>
      </c>
      <c r="O146" s="26">
        <f t="shared" si="72"/>
        <v>1.738185120657585E-2</v>
      </c>
      <c r="P146" s="27">
        <f t="shared" si="73"/>
        <v>1913.7211396678597</v>
      </c>
      <c r="Q146" s="27">
        <f t="shared" si="74"/>
        <v>33.264016100585494</v>
      </c>
      <c r="R146" s="28">
        <f>1.39*C249</f>
        <v>1917.7610379999996</v>
      </c>
      <c r="S146" s="28">
        <f>1.39*C249</f>
        <v>1917.7610379999996</v>
      </c>
      <c r="T146" s="20">
        <v>376</v>
      </c>
      <c r="U146" s="35">
        <v>7547731.2300000004</v>
      </c>
      <c r="V146" s="35">
        <v>7476146.3799999999</v>
      </c>
    </row>
    <row r="147" spans="1:22" ht="15" customHeight="1">
      <c r="A147" s="53">
        <v>131</v>
      </c>
      <c r="B147" s="46" t="s">
        <v>214</v>
      </c>
      <c r="C147" s="28" t="s">
        <v>104</v>
      </c>
      <c r="D147" s="55">
        <f>184339.12*C249</f>
        <v>254329771.30590397</v>
      </c>
      <c r="E147" s="20">
        <f>1720.5*C249</f>
        <v>2373746.6661</v>
      </c>
      <c r="F147" s="28">
        <v>0</v>
      </c>
      <c r="G147" s="28">
        <f>292.09*C249</f>
        <v>402991.95797799993</v>
      </c>
      <c r="H147" s="21">
        <f t="shared" si="75"/>
        <v>1970754.7081220001</v>
      </c>
      <c r="I147" s="28">
        <v>260773531.58043</v>
      </c>
      <c r="J147" s="23">
        <f t="shared" si="62"/>
        <v>1.4161563878308431E-4</v>
      </c>
      <c r="K147" s="20">
        <f>189417.37*C249</f>
        <v>261336152.59455398</v>
      </c>
      <c r="L147" s="23">
        <f t="shared" si="69"/>
        <v>1.4114063652996634E-4</v>
      </c>
      <c r="M147" s="23">
        <f t="shared" si="70"/>
        <v>2.1575081286593222E-3</v>
      </c>
      <c r="N147" s="25">
        <f t="shared" si="71"/>
        <v>1.5420444281324358E-3</v>
      </c>
      <c r="O147" s="26">
        <f t="shared" si="72"/>
        <v>7.5410718668514941E-3</v>
      </c>
      <c r="P147" s="27">
        <f t="shared" si="73"/>
        <v>1458.7235149343803</v>
      </c>
      <c r="Q147" s="27">
        <f t="shared" si="74"/>
        <v>11.000338859986382</v>
      </c>
      <c r="R147" s="28">
        <f>1.07*C249</f>
        <v>1476.2620939999999</v>
      </c>
      <c r="S147" s="28">
        <f>1.07*C249</f>
        <v>1476.2620939999999</v>
      </c>
      <c r="T147" s="28">
        <v>10</v>
      </c>
      <c r="U147" s="35">
        <v>177303</v>
      </c>
      <c r="V147" s="35">
        <v>179154</v>
      </c>
    </row>
    <row r="148" spans="1:22" ht="15" customHeight="1">
      <c r="A148" s="53">
        <v>132</v>
      </c>
      <c r="B148" s="28" t="s">
        <v>215</v>
      </c>
      <c r="C148" s="28" t="s">
        <v>43</v>
      </c>
      <c r="D148" s="55">
        <f>110014205.82*C249</f>
        <v>151784861545.40204</v>
      </c>
      <c r="E148" s="20">
        <f>616694.77*C249</f>
        <v>850844030.39163399</v>
      </c>
      <c r="F148" s="28">
        <v>0</v>
      </c>
      <c r="G148" s="20">
        <f>89933.61*C249</f>
        <v>124079980.76596199</v>
      </c>
      <c r="H148" s="21">
        <f t="shared" ref="H148" si="77">(E148+F148)-G148</f>
        <v>726764049.62567198</v>
      </c>
      <c r="I148" s="28">
        <v>146043786900.00601</v>
      </c>
      <c r="J148" s="23">
        <f t="shared" si="62"/>
        <v>7.9310519157371029E-2</v>
      </c>
      <c r="K148" s="20">
        <f>109602224*C249</f>
        <v>151216456737.6608</v>
      </c>
      <c r="L148" s="23">
        <f t="shared" si="69"/>
        <v>8.1667946611548636E-2</v>
      </c>
      <c r="M148" s="23">
        <f t="shared" si="70"/>
        <v>3.5418623054443488E-2</v>
      </c>
      <c r="N148" s="25">
        <f t="shared" si="71"/>
        <v>8.2054548455148129E-4</v>
      </c>
      <c r="O148" s="26">
        <f t="shared" si="72"/>
        <v>4.8061174379089239E-3</v>
      </c>
      <c r="P148" s="27">
        <f t="shared" si="73"/>
        <v>137968.42000000001</v>
      </c>
      <c r="Q148" s="27">
        <f t="shared" si="74"/>
        <v>663.09242924274236</v>
      </c>
      <c r="R148" s="28">
        <f>100*C249</f>
        <v>137968.41999999998</v>
      </c>
      <c r="S148" s="28">
        <f>100*C249</f>
        <v>137968.41999999998</v>
      </c>
      <c r="T148" s="28">
        <v>3790</v>
      </c>
      <c r="U148" s="35">
        <v>1063486.68</v>
      </c>
      <c r="V148" s="35">
        <v>1096022.24</v>
      </c>
    </row>
    <row r="149" spans="1:22" ht="15" customHeight="1">
      <c r="A149" s="53">
        <v>133</v>
      </c>
      <c r="B149" s="46" t="s">
        <v>216</v>
      </c>
      <c r="C149" s="46" t="s">
        <v>217</v>
      </c>
      <c r="D149" s="55">
        <f>1196024.56*C249</f>
        <v>1650136188.243952</v>
      </c>
      <c r="E149" s="20">
        <f>7595.6*C249</f>
        <v>10479529.309520001</v>
      </c>
      <c r="F149" s="28">
        <v>0</v>
      </c>
      <c r="G149" s="20">
        <f>2153.68*C249</f>
        <v>2971398.2678559995</v>
      </c>
      <c r="H149" s="21">
        <f t="shared" si="75"/>
        <v>7508131.0416640006</v>
      </c>
      <c r="I149" s="28">
        <v>1628568617.1180451</v>
      </c>
      <c r="J149" s="23">
        <f t="shared" si="62"/>
        <v>8.8441025290223168E-4</v>
      </c>
      <c r="K149" s="20">
        <f>1160580.78*C249</f>
        <v>1601234964.989676</v>
      </c>
      <c r="L149" s="23">
        <f t="shared" si="69"/>
        <v>8.64783995436347E-4</v>
      </c>
      <c r="M149" s="23">
        <f t="shared" si="70"/>
        <v>-1.6783850456813659E-2</v>
      </c>
      <c r="N149" s="25">
        <f t="shared" si="71"/>
        <v>1.8556915960645148E-3</v>
      </c>
      <c r="O149" s="26">
        <f t="shared" si="72"/>
        <v>4.6889627105491105E-3</v>
      </c>
      <c r="P149" s="27">
        <f t="shared" si="73"/>
        <v>1862.2103572683693</v>
      </c>
      <c r="Q149" s="27">
        <f t="shared" si="74"/>
        <v>8.7318349244297195</v>
      </c>
      <c r="R149" s="28">
        <f>1.16*C249</f>
        <v>1600.4336719999999</v>
      </c>
      <c r="S149" s="28">
        <f>1.16*C249</f>
        <v>1600.4336719999999</v>
      </c>
      <c r="T149" s="28">
        <v>68</v>
      </c>
      <c r="U149" s="35">
        <v>1028670.5215</v>
      </c>
      <c r="V149" s="35">
        <v>859857.19</v>
      </c>
    </row>
    <row r="150" spans="1:22" ht="15" customHeight="1">
      <c r="A150" s="53">
        <v>134</v>
      </c>
      <c r="B150" s="46" t="s">
        <v>218</v>
      </c>
      <c r="C150" s="46" t="s">
        <v>47</v>
      </c>
      <c r="D150" s="55">
        <f>6095161.34*C249</f>
        <v>8409397797.248827</v>
      </c>
      <c r="E150" s="20">
        <f>66974.16*C249</f>
        <v>92403190.360272005</v>
      </c>
      <c r="F150" s="28">
        <v>0</v>
      </c>
      <c r="G150" s="20">
        <f>11581.83*C249</f>
        <v>15979267.858085999</v>
      </c>
      <c r="H150" s="21">
        <f t="shared" si="75"/>
        <v>76423922.502186</v>
      </c>
      <c r="I150" s="28">
        <v>10755260677.402815</v>
      </c>
      <c r="J150" s="23">
        <f t="shared" si="62"/>
        <v>5.8407504085176533E-3</v>
      </c>
      <c r="K150" s="20">
        <f>6088491.8*C249</f>
        <v>8400195938.2895594</v>
      </c>
      <c r="L150" s="23">
        <f t="shared" si="69"/>
        <v>4.536720197094282E-3</v>
      </c>
      <c r="M150" s="23">
        <f t="shared" si="70"/>
        <v>-0.21896863402495956</v>
      </c>
      <c r="N150" s="25">
        <f t="shared" si="71"/>
        <v>1.9022494207843067E-3</v>
      </c>
      <c r="O150" s="26">
        <f t="shared" si="72"/>
        <v>9.0978737952804676E-3</v>
      </c>
      <c r="P150" s="27">
        <f t="shared" si="73"/>
        <v>11864.057984470339</v>
      </c>
      <c r="Q150" s="27">
        <f t="shared" si="74"/>
        <v>107.93770224260069</v>
      </c>
      <c r="R150" s="28">
        <f>10.88*C249</f>
        <v>15010.964096</v>
      </c>
      <c r="S150" s="28">
        <f>10.88*C249</f>
        <v>15010.964096</v>
      </c>
      <c r="T150" s="28">
        <v>262</v>
      </c>
      <c r="U150" s="35">
        <v>734307.11</v>
      </c>
      <c r="V150" s="35">
        <v>708037.33</v>
      </c>
    </row>
    <row r="151" spans="1:22">
      <c r="A151" s="53">
        <v>135</v>
      </c>
      <c r="B151" s="28" t="s">
        <v>219</v>
      </c>
      <c r="C151" s="28" t="s">
        <v>51</v>
      </c>
      <c r="D151" s="55">
        <f>28946388.97*C249</f>
        <v>39936875508.963272</v>
      </c>
      <c r="E151" s="20">
        <f>200079.83*C249</f>
        <v>276046980.18968594</v>
      </c>
      <c r="F151" s="20">
        <f>42782.69*C249</f>
        <v>59026601.426498003</v>
      </c>
      <c r="G151" s="20">
        <f>46205.03*C249</f>
        <v>63748349.851525992</v>
      </c>
      <c r="H151" s="21">
        <f t="shared" si="75"/>
        <v>271325231.76465797</v>
      </c>
      <c r="I151" s="28">
        <v>39672014823.402374</v>
      </c>
      <c r="J151" s="23">
        <f t="shared" si="62"/>
        <v>2.1544279003236608E-2</v>
      </c>
      <c r="K151" s="20">
        <f>28932204.02*C249</f>
        <v>39917304757.57048</v>
      </c>
      <c r="L151" s="23">
        <f t="shared" si="69"/>
        <v>2.1558264121171417E-2</v>
      </c>
      <c r="M151" s="23">
        <f t="shared" si="70"/>
        <v>6.1829462219148614E-3</v>
      </c>
      <c r="N151" s="25">
        <f t="shared" si="71"/>
        <v>1.5970103752918302E-3</v>
      </c>
      <c r="O151" s="26">
        <f t="shared" si="72"/>
        <v>6.7971831618516285E-3</v>
      </c>
      <c r="P151" s="27">
        <f t="shared" si="73"/>
        <v>1488.3623887193335</v>
      </c>
      <c r="Q151" s="27">
        <f t="shared" si="74"/>
        <v>10.116671767336323</v>
      </c>
      <c r="R151" s="28">
        <f>1.08*C249</f>
        <v>1490.0589359999999</v>
      </c>
      <c r="S151" s="28">
        <f>1.08*C249</f>
        <v>1490.0589359999999</v>
      </c>
      <c r="T151" s="28">
        <v>596</v>
      </c>
      <c r="U151" s="35">
        <v>25767492</v>
      </c>
      <c r="V151" s="35">
        <v>26819614</v>
      </c>
    </row>
    <row r="152" spans="1:22">
      <c r="A152" s="53">
        <v>136</v>
      </c>
      <c r="B152" s="46" t="s">
        <v>220</v>
      </c>
      <c r="C152" s="28" t="s">
        <v>115</v>
      </c>
      <c r="D152" s="55">
        <f>326750.93*C249</f>
        <v>450813095.45630598</v>
      </c>
      <c r="E152" s="28">
        <f>114.68*C249</f>
        <v>158222.184056</v>
      </c>
      <c r="F152" s="28">
        <v>0</v>
      </c>
      <c r="G152" s="28">
        <f>109.2*C249</f>
        <v>150661.51464000001</v>
      </c>
      <c r="H152" s="21">
        <f t="shared" si="75"/>
        <v>7560.6694159999897</v>
      </c>
      <c r="I152" s="28">
        <v>418237346.84657997</v>
      </c>
      <c r="J152" s="23">
        <f t="shared" si="62"/>
        <v>2.2712791700009216E-4</v>
      </c>
      <c r="K152" s="20">
        <f>325394.03*C249</f>
        <v>448941001.96532601</v>
      </c>
      <c r="L152" s="23">
        <f t="shared" si="69"/>
        <v>2.4246097661080907E-4</v>
      </c>
      <c r="M152" s="23">
        <f t="shared" si="70"/>
        <v>7.3412035893602109E-2</v>
      </c>
      <c r="N152" s="25">
        <f t="shared" si="71"/>
        <v>3.3559312689295499E-4</v>
      </c>
      <c r="O152" s="26">
        <f t="shared" si="72"/>
        <v>1.6841120287302112E-5</v>
      </c>
      <c r="P152" s="27">
        <f t="shared" si="73"/>
        <v>1870.4706037761223</v>
      </c>
      <c r="Q152" s="27">
        <f t="shared" si="74"/>
        <v>3.1500820432056285E-2</v>
      </c>
      <c r="R152" s="28">
        <f>1.36*C249</f>
        <v>1876.370512</v>
      </c>
      <c r="S152" s="28">
        <f>1.36*C249</f>
        <v>1876.370512</v>
      </c>
      <c r="T152" s="28">
        <v>2</v>
      </c>
      <c r="U152" s="35">
        <v>240015</v>
      </c>
      <c r="V152" s="35">
        <v>240015</v>
      </c>
    </row>
    <row r="153" spans="1:22">
      <c r="A153" s="53">
        <v>137</v>
      </c>
      <c r="B153" s="46" t="s">
        <v>221</v>
      </c>
      <c r="C153" s="28" t="s">
        <v>120</v>
      </c>
      <c r="D153" s="55">
        <f>437818.078*C249</f>
        <v>604050684.69096756</v>
      </c>
      <c r="E153" s="28">
        <f>2873.86*C249</f>
        <v>3965019.235012</v>
      </c>
      <c r="F153" s="28">
        <v>0</v>
      </c>
      <c r="G153" s="20">
        <f>3454.98*C249</f>
        <v>4766781.3173159994</v>
      </c>
      <c r="H153" s="21">
        <f t="shared" si="75"/>
        <v>-801762.08230399946</v>
      </c>
      <c r="I153" s="28">
        <v>782804763.08035493</v>
      </c>
      <c r="J153" s="23">
        <f t="shared" si="62"/>
        <v>4.251098487419681E-4</v>
      </c>
      <c r="K153" s="20">
        <f>554687.5396*C249</f>
        <v>765293634.32299435</v>
      </c>
      <c r="L153" s="23">
        <f t="shared" si="69"/>
        <v>4.1331453611875683E-4</v>
      </c>
      <c r="M153" s="23">
        <f t="shared" si="70"/>
        <v>-2.2369726888801594E-2</v>
      </c>
      <c r="N153" s="25">
        <f t="shared" si="71"/>
        <v>6.2286958933519179E-3</v>
      </c>
      <c r="O153" s="26">
        <f t="shared" si="72"/>
        <v>-1.0476528829529157E-3</v>
      </c>
      <c r="P153" s="27">
        <f t="shared" si="73"/>
        <v>1497.2493645695467</v>
      </c>
      <c r="Q153" s="27">
        <f t="shared" si="74"/>
        <v>-1.5685976132907067</v>
      </c>
      <c r="R153" s="28">
        <f>1.0852*C249</f>
        <v>1497.2332938399998</v>
      </c>
      <c r="S153" s="28">
        <f>1.0852*C249</f>
        <v>1497.2332938399998</v>
      </c>
      <c r="T153" s="28">
        <v>17</v>
      </c>
      <c r="U153" s="35">
        <v>524607.54</v>
      </c>
      <c r="V153" s="35">
        <v>511133.05</v>
      </c>
    </row>
    <row r="154" spans="1:22">
      <c r="A154" s="53">
        <v>138</v>
      </c>
      <c r="B154" s="46" t="s">
        <v>222</v>
      </c>
      <c r="C154" s="46" t="s">
        <v>53</v>
      </c>
      <c r="D154" s="55">
        <f>629771264.48*C249</f>
        <v>868885463217.07715</v>
      </c>
      <c r="E154" s="20">
        <f>3020363.63*C249</f>
        <v>4167147978.5656457</v>
      </c>
      <c r="F154" s="28">
        <v>0</v>
      </c>
      <c r="G154" s="20">
        <f>992897.67*C249</f>
        <v>1369885227.5158141</v>
      </c>
      <c r="H154" s="21">
        <f t="shared" si="75"/>
        <v>2797262751.0498314</v>
      </c>
      <c r="I154" s="28">
        <v>866731311244.01575</v>
      </c>
      <c r="J154" s="23">
        <f t="shared" si="62"/>
        <v>0.47068698863429015</v>
      </c>
      <c r="K154" s="20">
        <f>628469980.29*C249</f>
        <v>867090101980.42432</v>
      </c>
      <c r="L154" s="23">
        <f t="shared" si="69"/>
        <v>0.46829207404846768</v>
      </c>
      <c r="M154" s="23">
        <f t="shared" si="70"/>
        <v>4.1395843412371768E-4</v>
      </c>
      <c r="N154" s="25">
        <f t="shared" si="71"/>
        <v>1.5798649118321281E-3</v>
      </c>
      <c r="O154" s="26">
        <f t="shared" si="72"/>
        <v>3.2260346931200275E-3</v>
      </c>
      <c r="P154" s="27">
        <f t="shared" si="73"/>
        <v>2350.206619350341</v>
      </c>
      <c r="Q154" s="27">
        <f t="shared" si="74"/>
        <v>7.5818480900245344</v>
      </c>
      <c r="R154" s="28">
        <f>1.7034*C249</f>
        <v>2350.1540662799998</v>
      </c>
      <c r="S154" s="28">
        <f>1.7034*C249</f>
        <v>2350.1540662799998</v>
      </c>
      <c r="T154" s="20">
        <v>13751</v>
      </c>
      <c r="U154" s="35">
        <v>371719280.58999997</v>
      </c>
      <c r="V154" s="35">
        <v>368942072.94</v>
      </c>
    </row>
    <row r="155" spans="1:22">
      <c r="A155" s="53">
        <v>139</v>
      </c>
      <c r="B155" s="46" t="s">
        <v>223</v>
      </c>
      <c r="C155" s="46" t="s">
        <v>127</v>
      </c>
      <c r="D155" s="54">
        <v>533668833.19999999</v>
      </c>
      <c r="E155" s="28">
        <v>17915089.609999999</v>
      </c>
      <c r="F155" s="28">
        <v>8941995.8100000005</v>
      </c>
      <c r="G155" s="28">
        <v>11333615.91</v>
      </c>
      <c r="H155" s="21">
        <f t="shared" si="75"/>
        <v>15523469.510000002</v>
      </c>
      <c r="I155" s="28">
        <v>669383113.36000001</v>
      </c>
      <c r="J155" s="23">
        <f t="shared" si="62"/>
        <v>3.6351510298831315E-4</v>
      </c>
      <c r="K155" s="28">
        <v>677129656.61000001</v>
      </c>
      <c r="L155" s="23">
        <f t="shared" si="69"/>
        <v>3.6569953983949693E-4</v>
      </c>
      <c r="M155" s="23">
        <f t="shared" si="70"/>
        <v>1.1572660103592787E-2</v>
      </c>
      <c r="N155" s="25">
        <f t="shared" si="71"/>
        <v>1.6737733755069772E-2</v>
      </c>
      <c r="O155" s="26">
        <f t="shared" si="72"/>
        <v>2.2925401890853687E-2</v>
      </c>
      <c r="P155" s="27">
        <f t="shared" si="73"/>
        <v>162451.72523565387</v>
      </c>
      <c r="Q155" s="27">
        <f t="shared" si="74"/>
        <v>3724.2710888899028</v>
      </c>
      <c r="R155" s="28">
        <v>162451.66</v>
      </c>
      <c r="S155" s="28">
        <v>162451.66</v>
      </c>
      <c r="T155" s="28">
        <v>2</v>
      </c>
      <c r="U155" s="34">
        <v>4168.1899999999996</v>
      </c>
      <c r="V155" s="34">
        <v>4168.1899999999996</v>
      </c>
    </row>
    <row r="156" spans="1:22">
      <c r="A156" s="53">
        <v>140</v>
      </c>
      <c r="B156" s="46" t="s">
        <v>224</v>
      </c>
      <c r="C156" s="46" t="s">
        <v>56</v>
      </c>
      <c r="D156" s="54">
        <f>72788751*C249</f>
        <v>100425489692.43419</v>
      </c>
      <c r="E156" s="28">
        <f>1656047*C249</f>
        <v>2284821880.3573999</v>
      </c>
      <c r="F156" s="28">
        <v>0</v>
      </c>
      <c r="G156" s="28">
        <f>250912*C249</f>
        <v>346179321.99039996</v>
      </c>
      <c r="H156" s="21">
        <f t="shared" si="75"/>
        <v>1938642558.3670001</v>
      </c>
      <c r="I156" s="28">
        <v>182215447755.45599</v>
      </c>
      <c r="J156" s="23">
        <f t="shared" si="62"/>
        <v>9.8953896408293121E-2</v>
      </c>
      <c r="K156" s="28">
        <f>131117226*C249</f>
        <v>180900365060.02917</v>
      </c>
      <c r="L156" s="23">
        <f t="shared" si="69"/>
        <v>9.7699428186989665E-2</v>
      </c>
      <c r="M156" s="23">
        <f t="shared" si="70"/>
        <v>-7.2171855439596882E-3</v>
      </c>
      <c r="N156" s="25">
        <f t="shared" si="71"/>
        <v>1.9136463427009965E-3</v>
      </c>
      <c r="O156" s="26">
        <f t="shared" si="72"/>
        <v>1.0716631543135303E-2</v>
      </c>
      <c r="P156" s="27">
        <f t="shared" si="73"/>
        <v>1781.839719851939</v>
      </c>
      <c r="Q156" s="27">
        <f t="shared" si="74"/>
        <v>19.09531974657666</v>
      </c>
      <c r="R156" s="28">
        <f>1.29*C249</f>
        <v>1779.7926179999999</v>
      </c>
      <c r="S156" s="28">
        <f>1.29*C249</f>
        <v>1779.7926179999999</v>
      </c>
      <c r="T156" s="28">
        <v>431</v>
      </c>
      <c r="U156" s="34">
        <v>103932713.27</v>
      </c>
      <c r="V156" s="34">
        <v>101524487.89</v>
      </c>
    </row>
    <row r="157" spans="1:22">
      <c r="A157" s="53">
        <v>141</v>
      </c>
      <c r="B157" s="46" t="s">
        <v>225</v>
      </c>
      <c r="C157" s="28" t="s">
        <v>122</v>
      </c>
      <c r="D157" s="54">
        <f>1528559.4*C249</f>
        <v>2108929252.9414797</v>
      </c>
      <c r="E157" s="28">
        <f>9524.64*C249</f>
        <v>13140995.318687998</v>
      </c>
      <c r="F157" s="28">
        <f>-8519.13*C249</f>
        <v>-11753709.058745999</v>
      </c>
      <c r="G157" s="28">
        <f>2546.07*C249</f>
        <v>3512772.5510940002</v>
      </c>
      <c r="H157" s="21">
        <f t="shared" ref="H157:H158" si="78">(E157+F157)-G157</f>
        <v>-2125486.2911520014</v>
      </c>
      <c r="I157" s="28">
        <v>2093187497.3766749</v>
      </c>
      <c r="J157" s="23">
        <f t="shared" si="62"/>
        <v>1.1367261191626596E-3</v>
      </c>
      <c r="K157" s="28">
        <f>1539458.99*C249</f>
        <v>2123967245.0509579</v>
      </c>
      <c r="L157" s="23">
        <f t="shared" si="69"/>
        <v>1.1470976593138164E-3</v>
      </c>
      <c r="M157" s="23">
        <f t="shared" si="70"/>
        <v>1.4704725550318976E-2</v>
      </c>
      <c r="N157" s="25">
        <f t="shared" si="71"/>
        <v>1.6538732220466622E-3</v>
      </c>
      <c r="O157" s="26">
        <f t="shared" si="72"/>
        <v>-1.0007151928093914E-3</v>
      </c>
      <c r="P157" s="27">
        <f t="shared" si="73"/>
        <v>158738.15013773646</v>
      </c>
      <c r="Q157" s="27">
        <f t="shared" si="74"/>
        <v>-158.85167852129106</v>
      </c>
      <c r="R157" s="28">
        <f>116.15*C249</f>
        <v>160250.31982999999</v>
      </c>
      <c r="S157" s="28">
        <f>116.15*C249</f>
        <v>160250.31982999999</v>
      </c>
      <c r="T157" s="28">
        <v>26</v>
      </c>
      <c r="U157" s="34">
        <v>13198.6</v>
      </c>
      <c r="V157" s="34">
        <v>13380.32</v>
      </c>
    </row>
    <row r="158" spans="1:22">
      <c r="A158" s="53">
        <v>142</v>
      </c>
      <c r="B158" s="46" t="s">
        <v>226</v>
      </c>
      <c r="C158" s="46" t="s">
        <v>134</v>
      </c>
      <c r="D158" s="55">
        <f>4030407.14*C249</f>
        <v>5560689050.6251879</v>
      </c>
      <c r="E158" s="20">
        <f>21243.62*C249</f>
        <v>29309486.864803996</v>
      </c>
      <c r="F158" s="20">
        <f>-44949.5*C249</f>
        <v>-62016114.947899997</v>
      </c>
      <c r="G158" s="20">
        <f>7145.87*C249</f>
        <v>9859043.934254</v>
      </c>
      <c r="H158" s="21">
        <f t="shared" si="78"/>
        <v>-42565672.017350003</v>
      </c>
      <c r="I158" s="28">
        <v>6016860540.4528799</v>
      </c>
      <c r="J158" s="23">
        <f t="shared" si="62"/>
        <v>3.2675154711480454E-3</v>
      </c>
      <c r="K158" s="20">
        <f>4028046.22*C249</f>
        <v>5557431726.6037235</v>
      </c>
      <c r="L158" s="23">
        <f t="shared" si="69"/>
        <v>3.0014196029800478E-3</v>
      </c>
      <c r="M158" s="23">
        <f t="shared" si="70"/>
        <v>-7.6356899210194409E-2</v>
      </c>
      <c r="N158" s="25">
        <f t="shared" si="71"/>
        <v>1.7740287995007169E-3</v>
      </c>
      <c r="O158" s="26">
        <f t="shared" si="72"/>
        <v>-7.6592343570476718E-3</v>
      </c>
      <c r="P158" s="27">
        <f t="shared" si="73"/>
        <v>1628.3359230869271</v>
      </c>
      <c r="Q158" s="27">
        <f t="shared" si="74"/>
        <v>-12.471806446922328</v>
      </c>
      <c r="R158" s="28">
        <f>1.18*C249</f>
        <v>1628.0273559999998</v>
      </c>
      <c r="S158" s="28">
        <f>1.18*C249</f>
        <v>1628.0273559999998</v>
      </c>
      <c r="T158" s="28">
        <v>57</v>
      </c>
      <c r="U158" s="35">
        <v>3685756.19</v>
      </c>
      <c r="V158" s="35">
        <v>3412951.62</v>
      </c>
    </row>
    <row r="159" spans="1:22">
      <c r="A159" s="53">
        <v>143</v>
      </c>
      <c r="B159" s="46" t="s">
        <v>227</v>
      </c>
      <c r="C159" s="28" t="s">
        <v>58</v>
      </c>
      <c r="D159" s="54">
        <f>1254393.5*C249</f>
        <v>1730666892.5326998</v>
      </c>
      <c r="E159" s="20">
        <f>23521.61*C249</f>
        <v>32452393.675561998</v>
      </c>
      <c r="F159" s="28">
        <v>0</v>
      </c>
      <c r="G159" s="20">
        <v>3213.27</v>
      </c>
      <c r="H159" s="21">
        <f t="shared" si="75"/>
        <v>32449180.405561998</v>
      </c>
      <c r="I159" s="28">
        <v>2118054499.7230351</v>
      </c>
      <c r="J159" s="23">
        <f t="shared" si="62"/>
        <v>1.1502303900929097E-3</v>
      </c>
      <c r="K159" s="28">
        <f>2002116.34*C249</f>
        <v>2762288280.859828</v>
      </c>
      <c r="L159" s="23">
        <f t="shared" si="69"/>
        <v>1.4918377054577757E-3</v>
      </c>
      <c r="M159" s="23">
        <f t="shared" si="70"/>
        <v>0.30416298599541958</v>
      </c>
      <c r="N159" s="25">
        <f t="shared" si="71"/>
        <v>1.1632638136522785E-6</v>
      </c>
      <c r="O159" s="26">
        <f t="shared" si="72"/>
        <v>1.1747209960092007E-2</v>
      </c>
      <c r="P159" s="27">
        <f t="shared" si="73"/>
        <v>2123.7608661258582</v>
      </c>
      <c r="Q159" s="27">
        <f t="shared" si="74"/>
        <v>24.948264799407308</v>
      </c>
      <c r="R159" s="28">
        <f>1.5393*C249</f>
        <v>2123.7478890599996</v>
      </c>
      <c r="S159" s="28">
        <f>1.54*C249</f>
        <v>2124.7136679999999</v>
      </c>
      <c r="T159" s="28">
        <v>7</v>
      </c>
      <c r="U159" s="34">
        <v>1300658.81</v>
      </c>
      <c r="V159" s="34">
        <v>1300658.81</v>
      </c>
    </row>
    <row r="160" spans="1:22" ht="15" customHeight="1">
      <c r="A160" s="177" t="s">
        <v>61</v>
      </c>
      <c r="B160" s="177"/>
      <c r="C160" s="177"/>
      <c r="D160" s="177"/>
      <c r="E160" s="177"/>
      <c r="F160" s="177"/>
      <c r="G160" s="177"/>
      <c r="H160" s="177"/>
      <c r="I160" s="40">
        <f>SUM(I120:I159)</f>
        <v>1841417613346.0964</v>
      </c>
      <c r="J160" s="38">
        <f>(I160/$I$247)</f>
        <v>0.20336710649125583</v>
      </c>
      <c r="K160" s="40">
        <f>SUM(K120:K159)</f>
        <v>1851601062739.0664</v>
      </c>
      <c r="L160" s="38">
        <f>(K160/$K$247)</f>
        <v>0.20141765203099402</v>
      </c>
      <c r="M160" s="38">
        <f t="shared" si="64"/>
        <v>5.5302226497471766E-3</v>
      </c>
      <c r="N160" s="25"/>
      <c r="O160" s="25"/>
      <c r="P160" s="39"/>
      <c r="Q160" s="39"/>
      <c r="R160" s="40"/>
      <c r="S160" s="40"/>
      <c r="T160" s="56">
        <f>SUM(T120:T159)</f>
        <v>30355</v>
      </c>
      <c r="U160" s="56"/>
      <c r="V160" s="40"/>
    </row>
    <row r="161" spans="1:22" ht="4.2" customHeight="1">
      <c r="A161" s="188"/>
      <c r="B161" s="188"/>
      <c r="C161" s="188"/>
      <c r="D161" s="188"/>
      <c r="E161" s="188"/>
      <c r="F161" s="188"/>
      <c r="G161" s="188"/>
      <c r="H161" s="188"/>
      <c r="I161" s="188"/>
      <c r="J161" s="188"/>
      <c r="K161" s="188"/>
      <c r="L161" s="188"/>
      <c r="M161" s="188"/>
      <c r="N161" s="188"/>
      <c r="O161" s="188"/>
      <c r="P161" s="188"/>
      <c r="Q161" s="188"/>
      <c r="R161" s="188"/>
      <c r="S161" s="188"/>
      <c r="T161" s="188"/>
      <c r="U161" s="188"/>
      <c r="V161" s="188"/>
    </row>
    <row r="162" spans="1:22">
      <c r="A162" s="176" t="s">
        <v>228</v>
      </c>
      <c r="B162" s="176"/>
      <c r="C162" s="176"/>
      <c r="D162" s="176"/>
      <c r="E162" s="176"/>
      <c r="F162" s="176"/>
      <c r="G162" s="176"/>
      <c r="H162" s="176"/>
      <c r="I162" s="176"/>
      <c r="J162" s="176"/>
      <c r="K162" s="176"/>
      <c r="L162" s="176"/>
      <c r="M162" s="176"/>
      <c r="N162" s="176"/>
      <c r="O162" s="176"/>
      <c r="P162" s="176"/>
      <c r="Q162" s="176"/>
      <c r="R162" s="176"/>
      <c r="S162" s="176"/>
      <c r="T162" s="176"/>
      <c r="U162" s="176"/>
      <c r="V162" s="176"/>
    </row>
    <row r="163" spans="1:22">
      <c r="A163" s="53">
        <v>144</v>
      </c>
      <c r="B163" s="57" t="s">
        <v>229</v>
      </c>
      <c r="C163" s="57" t="s">
        <v>230</v>
      </c>
      <c r="D163" s="58">
        <v>2659974452.3200002</v>
      </c>
      <c r="E163" s="58">
        <v>48316687.100000001</v>
      </c>
      <c r="F163" s="59">
        <v>0</v>
      </c>
      <c r="G163" s="58">
        <v>4323514.84</v>
      </c>
      <c r="H163" s="21">
        <f t="shared" ref="H163:H168" si="79">(E163+F163)-G163</f>
        <v>43993172.260000005</v>
      </c>
      <c r="I163" s="124">
        <v>2548097600</v>
      </c>
      <c r="J163" s="23">
        <f>(I163/$I$169)</f>
        <v>4.8282194459642628E-3</v>
      </c>
      <c r="K163" s="60">
        <v>2631017188.1500001</v>
      </c>
      <c r="L163" s="23">
        <f>(K163/$K$169)</f>
        <v>4.9727306624800256E-3</v>
      </c>
      <c r="M163" s="23">
        <f t="shared" ref="M163:M169" si="80">((K163-I163)/I163)</f>
        <v>3.2541762980350553E-2</v>
      </c>
      <c r="N163" s="25">
        <f>(G163/K163)</f>
        <v>1.6432864290940189E-3</v>
      </c>
      <c r="O163" s="26">
        <f>H163/K163</f>
        <v>1.6720974860272124E-2</v>
      </c>
      <c r="P163" s="27">
        <f>K163/V163</f>
        <v>123.98761489868049</v>
      </c>
      <c r="Q163" s="27">
        <f>H163/V163</f>
        <v>2.073193791705938</v>
      </c>
      <c r="R163" s="59">
        <v>123.99</v>
      </c>
      <c r="S163" s="59">
        <v>123.99</v>
      </c>
      <c r="T163" s="59">
        <v>8</v>
      </c>
      <c r="U163" s="58">
        <v>21220000</v>
      </c>
      <c r="V163" s="59">
        <v>21220000</v>
      </c>
    </row>
    <row r="164" spans="1:22">
      <c r="A164" s="53">
        <v>145</v>
      </c>
      <c r="B164" s="57" t="s">
        <v>231</v>
      </c>
      <c r="C164" s="57" t="s">
        <v>72</v>
      </c>
      <c r="D164" s="58">
        <v>11247494511</v>
      </c>
      <c r="E164" s="58">
        <v>2626863554</v>
      </c>
      <c r="F164" s="59">
        <v>0</v>
      </c>
      <c r="G164" s="58">
        <v>514332078</v>
      </c>
      <c r="H164" s="21">
        <f t="shared" si="79"/>
        <v>2112531476</v>
      </c>
      <c r="I164" s="124">
        <v>262349733400</v>
      </c>
      <c r="J164" s="23">
        <f t="shared" ref="J164:J168" si="81">(I164/$I$169)</f>
        <v>0.49710893509158366</v>
      </c>
      <c r="K164" s="60">
        <v>266776454860</v>
      </c>
      <c r="L164" s="23">
        <f t="shared" ref="L164:L168" si="82">(K164/$K$169)</f>
        <v>0.50421846846346319</v>
      </c>
      <c r="M164" s="23">
        <f t="shared" ref="M164:M168" si="83">((K164-I164)/I164)</f>
        <v>1.6873359856823852E-2</v>
      </c>
      <c r="N164" s="25">
        <f t="shared" ref="N164:N168" si="84">(G164/K164)</f>
        <v>1.9279515438118901E-3</v>
      </c>
      <c r="O164" s="26">
        <f t="shared" ref="O164:O168" si="85">H164/K164</f>
        <v>7.9187328473519988E-3</v>
      </c>
      <c r="P164" s="27">
        <f t="shared" ref="P164:P168" si="86">K164/V164</f>
        <v>106.710581944</v>
      </c>
      <c r="Q164" s="27">
        <f t="shared" ref="Q164:Q168" si="87">H164/V164</f>
        <v>0.84501259039999999</v>
      </c>
      <c r="R164" s="59">
        <v>106.7106</v>
      </c>
      <c r="S164" s="59">
        <v>106.7106</v>
      </c>
      <c r="T164" s="59">
        <v>45</v>
      </c>
      <c r="U164" s="58">
        <v>2500000000</v>
      </c>
      <c r="V164" s="59">
        <v>2500000000</v>
      </c>
    </row>
    <row r="165" spans="1:22">
      <c r="A165" s="53">
        <v>146</v>
      </c>
      <c r="B165" s="46" t="s">
        <v>232</v>
      </c>
      <c r="C165" s="46" t="s">
        <v>51</v>
      </c>
      <c r="D165" s="58">
        <v>194934014777</v>
      </c>
      <c r="E165" s="58">
        <v>1320483094</v>
      </c>
      <c r="F165" s="59">
        <v>0</v>
      </c>
      <c r="G165" s="58">
        <v>221391840</v>
      </c>
      <c r="H165" s="21">
        <f t="shared" si="79"/>
        <v>1099091254</v>
      </c>
      <c r="I165" s="124">
        <v>191529618773</v>
      </c>
      <c r="J165" s="23">
        <f t="shared" si="81"/>
        <v>0.36291664410261226</v>
      </c>
      <c r="K165" s="60">
        <v>189825823100</v>
      </c>
      <c r="L165" s="23">
        <f t="shared" si="82"/>
        <v>0.35877861053565352</v>
      </c>
      <c r="M165" s="23">
        <f t="shared" si="83"/>
        <v>-8.895729464273255E-3</v>
      </c>
      <c r="N165" s="25">
        <f t="shared" si="84"/>
        <v>1.1662893719331909E-3</v>
      </c>
      <c r="O165" s="26">
        <f t="shared" si="85"/>
        <v>5.7899986211096275E-3</v>
      </c>
      <c r="P165" s="27">
        <f t="shared" si="86"/>
        <v>114.5754840966592</v>
      </c>
      <c r="Q165" s="27">
        <f t="shared" si="87"/>
        <v>0.66339189493262474</v>
      </c>
      <c r="R165" s="59">
        <v>103</v>
      </c>
      <c r="S165" s="59">
        <v>103</v>
      </c>
      <c r="T165" s="59">
        <v>1601</v>
      </c>
      <c r="U165" s="58">
        <v>1656775222</v>
      </c>
      <c r="V165" s="58">
        <v>1656775222</v>
      </c>
    </row>
    <row r="166" spans="1:22">
      <c r="A166" s="53">
        <v>147</v>
      </c>
      <c r="B166" s="46" t="s">
        <v>233</v>
      </c>
      <c r="C166" s="46" t="s">
        <v>170</v>
      </c>
      <c r="D166" s="58">
        <v>6128240732.25</v>
      </c>
      <c r="E166" s="58">
        <v>46943381.539999999</v>
      </c>
      <c r="F166" s="59">
        <v>0</v>
      </c>
      <c r="G166" s="58">
        <v>8825942.6799999997</v>
      </c>
      <c r="H166" s="21">
        <f t="shared" si="79"/>
        <v>38117438.859999999</v>
      </c>
      <c r="I166" s="125">
        <v>6094462600.2799997</v>
      </c>
      <c r="J166" s="23">
        <f t="shared" si="81"/>
        <v>1.1547988915092507E-2</v>
      </c>
      <c r="K166" s="60">
        <v>6096956774.6199999</v>
      </c>
      <c r="L166" s="23">
        <f t="shared" si="82"/>
        <v>1.1523498986445871E-2</v>
      </c>
      <c r="M166" s="23">
        <f t="shared" si="83"/>
        <v>4.0925254671110166E-4</v>
      </c>
      <c r="N166" s="25">
        <f t="shared" si="84"/>
        <v>1.4475980405076903E-3</v>
      </c>
      <c r="O166" s="26">
        <f t="shared" si="85"/>
        <v>6.2518794652887651E-3</v>
      </c>
      <c r="P166" s="27">
        <f t="shared" si="86"/>
        <v>304.84783873099997</v>
      </c>
      <c r="Q166" s="27">
        <f t="shared" si="87"/>
        <v>1.905871943</v>
      </c>
      <c r="R166" s="59">
        <v>418.75</v>
      </c>
      <c r="S166" s="59">
        <v>418.75</v>
      </c>
      <c r="T166" s="59">
        <v>5693</v>
      </c>
      <c r="U166" s="58">
        <v>20000000</v>
      </c>
      <c r="V166" s="59">
        <v>20000000</v>
      </c>
    </row>
    <row r="167" spans="1:22">
      <c r="A167" s="53">
        <v>148</v>
      </c>
      <c r="B167" s="46" t="s">
        <v>234</v>
      </c>
      <c r="C167" s="46" t="s">
        <v>170</v>
      </c>
      <c r="D167" s="58">
        <v>28220479640.939999</v>
      </c>
      <c r="E167" s="58">
        <v>109343396.98999999</v>
      </c>
      <c r="F167" s="59">
        <v>0</v>
      </c>
      <c r="G167" s="58">
        <v>36098189.75</v>
      </c>
      <c r="H167" s="21">
        <f t="shared" si="79"/>
        <v>73245207.239999995</v>
      </c>
      <c r="I167" s="125">
        <v>28413187605.43</v>
      </c>
      <c r="J167" s="23">
        <f t="shared" si="81"/>
        <v>5.3838245802816931E-2</v>
      </c>
      <c r="K167" s="60">
        <v>27442327596.369999</v>
      </c>
      <c r="L167" s="23">
        <f t="shared" si="82"/>
        <v>5.1867127475607656E-2</v>
      </c>
      <c r="M167" s="23">
        <f t="shared" si="83"/>
        <v>-3.4169344972559919E-2</v>
      </c>
      <c r="N167" s="25">
        <f t="shared" si="84"/>
        <v>1.3154201159953712E-3</v>
      </c>
      <c r="O167" s="26">
        <f t="shared" si="85"/>
        <v>2.6690595753141831E-3</v>
      </c>
      <c r="P167" s="27">
        <f t="shared" si="86"/>
        <v>145.87123575493385</v>
      </c>
      <c r="Q167" s="27">
        <f t="shared" si="87"/>
        <v>0.38933901855461878</v>
      </c>
      <c r="R167" s="59">
        <v>70</v>
      </c>
      <c r="S167" s="59">
        <v>70</v>
      </c>
      <c r="T167" s="59">
        <v>8119</v>
      </c>
      <c r="U167" s="58">
        <v>188127066</v>
      </c>
      <c r="V167" s="59">
        <v>188127066</v>
      </c>
    </row>
    <row r="168" spans="1:22" ht="16.05" customHeight="1">
      <c r="A168" s="53">
        <v>149</v>
      </c>
      <c r="B168" s="46" t="s">
        <v>235</v>
      </c>
      <c r="C168" s="46" t="s">
        <v>170</v>
      </c>
      <c r="D168" s="58">
        <v>38718612221.559998</v>
      </c>
      <c r="E168" s="58">
        <v>374709345.93000001</v>
      </c>
      <c r="F168" s="59">
        <v>0</v>
      </c>
      <c r="G168" s="58">
        <v>6367542.2300000004</v>
      </c>
      <c r="H168" s="21">
        <f t="shared" si="79"/>
        <v>368341803.69999999</v>
      </c>
      <c r="I168" s="125">
        <v>36815891565.360001</v>
      </c>
      <c r="J168" s="23">
        <f t="shared" si="81"/>
        <v>6.9759966641930377E-2</v>
      </c>
      <c r="K168" s="60">
        <v>36316439518.510002</v>
      </c>
      <c r="L168" s="23">
        <f t="shared" si="82"/>
        <v>6.8639563876349743E-2</v>
      </c>
      <c r="M168" s="23">
        <f t="shared" si="83"/>
        <v>-1.356620811323586E-2</v>
      </c>
      <c r="N168" s="25">
        <f t="shared" si="84"/>
        <v>1.7533498091834002E-4</v>
      </c>
      <c r="O168" s="26">
        <f t="shared" si="85"/>
        <v>1.0142563769563949E-2</v>
      </c>
      <c r="P168" s="27">
        <f t="shared" si="86"/>
        <v>1.9567078849663715</v>
      </c>
      <c r="Q168" s="27">
        <f t="shared" si="87"/>
        <v>1.9846034501680022E-2</v>
      </c>
      <c r="R168" s="59">
        <v>9.75</v>
      </c>
      <c r="S168" s="59">
        <v>9.75</v>
      </c>
      <c r="T168" s="58">
        <v>215231</v>
      </c>
      <c r="U168" s="59" t="s">
        <v>236</v>
      </c>
      <c r="V168" s="58">
        <v>18559969936</v>
      </c>
    </row>
    <row r="169" spans="1:22" ht="15" customHeight="1">
      <c r="A169" s="177" t="s">
        <v>61</v>
      </c>
      <c r="B169" s="177"/>
      <c r="C169" s="177"/>
      <c r="D169" s="177"/>
      <c r="E169" s="177"/>
      <c r="F169" s="177"/>
      <c r="G169" s="177"/>
      <c r="H169" s="177"/>
      <c r="I169" s="40">
        <f>SUM(I163:I168)</f>
        <v>527750991544.07001</v>
      </c>
      <c r="J169" s="38">
        <f>(I169/$I$247)</f>
        <v>5.8285090421819744E-2</v>
      </c>
      <c r="K169" s="40">
        <f>SUM(K163:K168)</f>
        <v>529089019037.65002</v>
      </c>
      <c r="L169" s="38">
        <f>(K169/$K$247)</f>
        <v>5.7554443057134523E-2</v>
      </c>
      <c r="M169" s="38">
        <f t="shared" si="80"/>
        <v>2.53533866353387E-3</v>
      </c>
      <c r="N169" s="25"/>
      <c r="O169" s="25"/>
      <c r="P169" s="49"/>
      <c r="Q169" s="49"/>
      <c r="R169" s="40"/>
      <c r="S169" s="40"/>
      <c r="T169" s="40">
        <f>SUM(T163:T168)</f>
        <v>230697</v>
      </c>
      <c r="U169" s="40"/>
      <c r="V169" s="40"/>
    </row>
    <row r="170" spans="1:22" ht="4.95" customHeight="1">
      <c r="A170" s="188"/>
      <c r="B170" s="188"/>
      <c r="C170" s="188"/>
      <c r="D170" s="188"/>
      <c r="E170" s="188"/>
      <c r="F170" s="188"/>
      <c r="G170" s="188"/>
      <c r="H170" s="188"/>
      <c r="I170" s="188"/>
      <c r="J170" s="188"/>
      <c r="K170" s="188"/>
      <c r="L170" s="188"/>
      <c r="M170" s="188"/>
      <c r="N170" s="188"/>
      <c r="O170" s="188"/>
      <c r="P170" s="188"/>
      <c r="Q170" s="188"/>
      <c r="R170" s="188"/>
      <c r="S170" s="188"/>
      <c r="T170" s="188"/>
      <c r="U170" s="188"/>
      <c r="V170" s="188"/>
    </row>
    <row r="171" spans="1:22" ht="13.95" customHeight="1">
      <c r="A171" s="180" t="s">
        <v>237</v>
      </c>
      <c r="B171" s="181"/>
      <c r="C171" s="181"/>
      <c r="D171" s="181"/>
      <c r="E171" s="181"/>
      <c r="F171" s="181"/>
      <c r="G171" s="181"/>
      <c r="H171" s="181"/>
      <c r="I171" s="181"/>
      <c r="J171" s="181"/>
      <c r="K171" s="181"/>
      <c r="L171" s="181"/>
      <c r="M171" s="181"/>
      <c r="N171" s="181"/>
      <c r="O171" s="181"/>
      <c r="P171" s="181"/>
      <c r="Q171" s="181"/>
      <c r="R171" s="181"/>
      <c r="S171" s="181"/>
      <c r="T171" s="181"/>
      <c r="U171" s="181"/>
      <c r="V171" s="182"/>
    </row>
    <row r="172" spans="1:22">
      <c r="A172" s="53">
        <v>150</v>
      </c>
      <c r="B172" s="46" t="s">
        <v>238</v>
      </c>
      <c r="C172" s="46" t="s">
        <v>65</v>
      </c>
      <c r="D172" s="24">
        <v>973586288.95000005</v>
      </c>
      <c r="E172" s="24">
        <v>8630892.5899999999</v>
      </c>
      <c r="F172" s="22">
        <v>0</v>
      </c>
      <c r="G172" s="20">
        <v>1877101.03</v>
      </c>
      <c r="H172" s="21">
        <f>(E172+F172)-G172</f>
        <v>6753791.5599999996</v>
      </c>
      <c r="I172" s="122">
        <v>977340776.97000003</v>
      </c>
      <c r="J172" s="23">
        <f t="shared" ref="J172:J201" si="88">(I172/$I$202)</f>
        <v>6.2166644589274978E-3</v>
      </c>
      <c r="K172" s="20">
        <v>988820924.65999997</v>
      </c>
      <c r="L172" s="23">
        <f t="shared" ref="L172" si="89">(K172/$K$202)</f>
        <v>6.6465850456399623E-3</v>
      </c>
      <c r="M172" s="23">
        <f t="shared" ref="M172:M202" si="90">((K172-I172)/I172)</f>
        <v>1.174630994686547E-2</v>
      </c>
      <c r="N172" s="25">
        <f t="shared" ref="N172" si="91">(G172/K172)</f>
        <v>1.8983225204760202E-3</v>
      </c>
      <c r="O172" s="26">
        <f t="shared" ref="O172" si="92">H172/K172</f>
        <v>6.830146279845615E-3</v>
      </c>
      <c r="P172" s="27">
        <f t="shared" ref="P172" si="93">K172/V172</f>
        <v>9.3502257525464785</v>
      </c>
      <c r="Q172" s="27">
        <f t="shared" ref="Q172" si="94">H172/V172</f>
        <v>6.3863409639471999E-2</v>
      </c>
      <c r="R172" s="28">
        <v>9.23</v>
      </c>
      <c r="S172" s="28">
        <v>9.4600000000000009</v>
      </c>
      <c r="T172" s="28">
        <v>12007</v>
      </c>
      <c r="U172" s="20">
        <v>99319695.75</v>
      </c>
      <c r="V172" s="20">
        <v>105753695.23999999</v>
      </c>
    </row>
    <row r="173" spans="1:22">
      <c r="A173" s="53">
        <v>151</v>
      </c>
      <c r="B173" s="46" t="s">
        <v>239</v>
      </c>
      <c r="C173" s="46" t="s">
        <v>240</v>
      </c>
      <c r="D173" s="24">
        <v>1427152471.8499999</v>
      </c>
      <c r="E173" s="24">
        <v>21483580.25</v>
      </c>
      <c r="F173" s="24">
        <v>425115666.26999998</v>
      </c>
      <c r="G173" s="20">
        <v>3733115.49</v>
      </c>
      <c r="H173" s="21">
        <f>(E173+F173)-G173</f>
        <v>442866131.02999997</v>
      </c>
      <c r="I173" s="122">
        <v>3175527363.1599998</v>
      </c>
      <c r="J173" s="23">
        <f t="shared" si="88"/>
        <v>2.0198879001151599E-2</v>
      </c>
      <c r="K173" s="20">
        <v>3050024083.98</v>
      </c>
      <c r="L173" s="23">
        <f t="shared" ref="L173:L201" si="95">(K173/$K$202)</f>
        <v>2.0501431512883569E-2</v>
      </c>
      <c r="M173" s="23">
        <f t="shared" ref="M173:M201" si="96">((K173-I173)/I173)</f>
        <v>-3.9522027313003603E-2</v>
      </c>
      <c r="N173" s="25">
        <f t="shared" ref="N173:N201" si="97">(G173/K173)</f>
        <v>1.2239626269208435E-3</v>
      </c>
      <c r="O173" s="26">
        <f t="shared" ref="O173:O201" si="98">H173/K173</f>
        <v>0.14520086361157533</v>
      </c>
      <c r="P173" s="27">
        <f t="shared" ref="P173:P201" si="99">K173/V173</f>
        <v>3051.4033182798626</v>
      </c>
      <c r="Q173" s="27">
        <f t="shared" ref="Q173:Q201" si="100">H173/V173</f>
        <v>443.06639704146272</v>
      </c>
      <c r="R173" s="20">
        <v>3038.71</v>
      </c>
      <c r="S173" s="20">
        <v>3059.69</v>
      </c>
      <c r="T173" s="28">
        <v>256</v>
      </c>
      <c r="U173" s="20">
        <v>985652</v>
      </c>
      <c r="V173" s="20">
        <v>999548</v>
      </c>
    </row>
    <row r="174" spans="1:22">
      <c r="A174" s="53">
        <v>152</v>
      </c>
      <c r="B174" s="46" t="s">
        <v>241</v>
      </c>
      <c r="C174" s="28" t="s">
        <v>72</v>
      </c>
      <c r="D174" s="24">
        <v>11004339462</v>
      </c>
      <c r="E174" s="24">
        <v>197157395</v>
      </c>
      <c r="F174" s="24">
        <v>-847108636</v>
      </c>
      <c r="G174" s="20">
        <v>263332383</v>
      </c>
      <c r="H174" s="21">
        <f t="shared" ref="H174:H201" si="101">(E174+F174)-G174</f>
        <v>-913283624</v>
      </c>
      <c r="I174" s="122">
        <v>15308355504</v>
      </c>
      <c r="J174" s="23">
        <f t="shared" si="88"/>
        <v>9.7373313207482326E-2</v>
      </c>
      <c r="K174" s="20">
        <v>15571774864</v>
      </c>
      <c r="L174" s="23">
        <f t="shared" si="95"/>
        <v>0.10466923116612059</v>
      </c>
      <c r="M174" s="23">
        <f t="shared" si="96"/>
        <v>1.7207554392839244E-2</v>
      </c>
      <c r="N174" s="25">
        <f t="shared" si="97"/>
        <v>1.6910877873580848E-2</v>
      </c>
      <c r="O174" s="26">
        <f t="shared" si="98"/>
        <v>-5.8649937593908949E-2</v>
      </c>
      <c r="P174" s="27" t="e">
        <f t="shared" si="99"/>
        <v>#VALUE!</v>
      </c>
      <c r="Q174" s="27" t="e">
        <f t="shared" si="100"/>
        <v>#VALUE!</v>
      </c>
      <c r="R174" s="20">
        <v>1347.4465</v>
      </c>
      <c r="S174" s="20">
        <v>1388.0730000000001</v>
      </c>
      <c r="T174" s="20">
        <v>23596</v>
      </c>
      <c r="U174" s="20">
        <v>11363416</v>
      </c>
      <c r="V174" s="28" t="s">
        <v>242</v>
      </c>
    </row>
    <row r="175" spans="1:22">
      <c r="A175" s="53">
        <v>153</v>
      </c>
      <c r="B175" s="46" t="s">
        <v>243</v>
      </c>
      <c r="C175" s="46" t="s">
        <v>146</v>
      </c>
      <c r="D175" s="24">
        <v>3660109077.3299999</v>
      </c>
      <c r="E175" s="24">
        <v>67095095.039999999</v>
      </c>
      <c r="F175" s="24">
        <v>-324333574.80000001</v>
      </c>
      <c r="G175" s="20">
        <v>5492506.2400000002</v>
      </c>
      <c r="H175" s="21">
        <f t="shared" si="101"/>
        <v>-262730986.00000003</v>
      </c>
      <c r="I175" s="123">
        <v>3759728954.7199998</v>
      </c>
      <c r="J175" s="23">
        <f t="shared" si="88"/>
        <v>2.3914865642330505E-2</v>
      </c>
      <c r="K175" s="20">
        <v>3759728954.7199998</v>
      </c>
      <c r="L175" s="23">
        <f t="shared" si="95"/>
        <v>2.5271874434386544E-2</v>
      </c>
      <c r="M175" s="23">
        <f t="shared" si="96"/>
        <v>0</v>
      </c>
      <c r="N175" s="25">
        <f t="shared" si="97"/>
        <v>1.460878245785419E-3</v>
      </c>
      <c r="O175" s="26">
        <f t="shared" si="98"/>
        <v>-6.9880299661007492E-2</v>
      </c>
      <c r="P175" s="27">
        <f t="shared" si="99"/>
        <v>9.0178859282338468</v>
      </c>
      <c r="Q175" s="27">
        <f t="shared" si="100"/>
        <v>-0.63017257097376389</v>
      </c>
      <c r="R175" s="28">
        <v>8.4072999999999993</v>
      </c>
      <c r="S175" s="28">
        <v>8.6160999999999994</v>
      </c>
      <c r="T175" s="28">
        <v>2738</v>
      </c>
      <c r="U175" s="20">
        <v>416368585.72000003</v>
      </c>
      <c r="V175" s="20">
        <v>416919107.72000003</v>
      </c>
    </row>
    <row r="176" spans="1:22">
      <c r="A176" s="53">
        <v>154</v>
      </c>
      <c r="B176" s="46" t="s">
        <v>244</v>
      </c>
      <c r="C176" s="28" t="s">
        <v>33</v>
      </c>
      <c r="D176" s="22">
        <v>3879600764.3200002</v>
      </c>
      <c r="E176" s="22">
        <v>29086782.350000001</v>
      </c>
      <c r="F176" s="22">
        <v>-274717101.36000001</v>
      </c>
      <c r="G176" s="28">
        <v>4899937.42</v>
      </c>
      <c r="H176" s="21">
        <f t="shared" ref="H176" si="102">(E176+F176)-G176</f>
        <v>-250530256.43000001</v>
      </c>
      <c r="I176" s="122">
        <v>3877051281.8800001</v>
      </c>
      <c r="J176" s="23">
        <f t="shared" si="88"/>
        <v>2.4661128930101445E-2</v>
      </c>
      <c r="K176" s="28">
        <v>3954801734.5900002</v>
      </c>
      <c r="L176" s="23">
        <f t="shared" si="95"/>
        <v>2.6583100551432134E-2</v>
      </c>
      <c r="M176" s="23">
        <f t="shared" si="96"/>
        <v>2.0054017101444808E-2</v>
      </c>
      <c r="N176" s="25">
        <f t="shared" si="97"/>
        <v>1.2389843407682188E-3</v>
      </c>
      <c r="O176" s="26">
        <f t="shared" si="98"/>
        <v>-6.3348373254411158E-2</v>
      </c>
      <c r="P176" s="27">
        <f t="shared" si="99"/>
        <v>1.715780751114804</v>
      </c>
      <c r="Q176" s="27">
        <f t="shared" si="100"/>
        <v>-0.10869191944435454</v>
      </c>
      <c r="R176" s="28">
        <v>1.7077</v>
      </c>
      <c r="S176" s="28">
        <v>1.7197</v>
      </c>
      <c r="T176" s="28">
        <v>772</v>
      </c>
      <c r="U176" s="28">
        <v>2123874351.26</v>
      </c>
      <c r="V176" s="28">
        <v>2304957513.96</v>
      </c>
    </row>
    <row r="177" spans="1:22">
      <c r="A177" s="53">
        <v>155</v>
      </c>
      <c r="B177" s="46" t="s">
        <v>245</v>
      </c>
      <c r="C177" s="46" t="s">
        <v>81</v>
      </c>
      <c r="D177" s="24">
        <v>10845500776.959999</v>
      </c>
      <c r="E177" s="24">
        <v>104178696.09</v>
      </c>
      <c r="F177" s="24">
        <v>2710262797.7199998</v>
      </c>
      <c r="G177" s="20">
        <v>29210026.93</v>
      </c>
      <c r="H177" s="21">
        <f t="shared" si="101"/>
        <v>2785231466.8800001</v>
      </c>
      <c r="I177" s="122">
        <v>11736948914.209999</v>
      </c>
      <c r="J177" s="23">
        <f t="shared" si="88"/>
        <v>7.4656327547721543E-2</v>
      </c>
      <c r="K177" s="20">
        <v>10895510032.9</v>
      </c>
      <c r="L177" s="23">
        <f t="shared" si="95"/>
        <v>7.3236652100777275E-2</v>
      </c>
      <c r="M177" s="23">
        <f t="shared" si="96"/>
        <v>-7.1691449580330371E-2</v>
      </c>
      <c r="N177" s="25">
        <f t="shared" si="97"/>
        <v>2.6809233199545156E-3</v>
      </c>
      <c r="O177" s="26">
        <f t="shared" si="98"/>
        <v>0.25563112313877334</v>
      </c>
      <c r="P177" s="27">
        <f t="shared" si="99"/>
        <v>13834.960084548409</v>
      </c>
      <c r="Q177" s="27">
        <f t="shared" si="100"/>
        <v>3536.6463849932084</v>
      </c>
      <c r="R177" s="20">
        <v>13834.96</v>
      </c>
      <c r="S177" s="20">
        <v>13928.47</v>
      </c>
      <c r="T177" s="28">
        <v>1654</v>
      </c>
      <c r="U177" s="20">
        <v>796487.55</v>
      </c>
      <c r="V177" s="20">
        <v>787534.62</v>
      </c>
    </row>
    <row r="178" spans="1:22" ht="14.1" customHeight="1">
      <c r="A178" s="53">
        <v>156</v>
      </c>
      <c r="B178" s="46" t="s">
        <v>246</v>
      </c>
      <c r="C178" s="28" t="s">
        <v>83</v>
      </c>
      <c r="D178" s="24">
        <v>2574522553.8899999</v>
      </c>
      <c r="E178" s="24">
        <v>23151789.890000001</v>
      </c>
      <c r="F178" s="24">
        <v>-132160347.11</v>
      </c>
      <c r="G178" s="20">
        <v>5260216.8499999996</v>
      </c>
      <c r="H178" s="21">
        <f t="shared" si="101"/>
        <v>-114268774.06999999</v>
      </c>
      <c r="I178" s="122">
        <v>2866244358.8200002</v>
      </c>
      <c r="J178" s="23">
        <f t="shared" si="88"/>
        <v>1.8231593171953241E-2</v>
      </c>
      <c r="K178" s="20">
        <v>3254420999.8000002</v>
      </c>
      <c r="L178" s="23">
        <f t="shared" si="95"/>
        <v>2.187533193325672E-2</v>
      </c>
      <c r="M178" s="23">
        <f t="shared" si="96"/>
        <v>0.13543040731523948</v>
      </c>
      <c r="N178" s="25">
        <f t="shared" si="97"/>
        <v>1.6163295561094479E-3</v>
      </c>
      <c r="O178" s="26">
        <f t="shared" si="98"/>
        <v>-3.5111859859871343E-2</v>
      </c>
      <c r="P178" s="27">
        <f t="shared" si="99"/>
        <v>285.64581129241611</v>
      </c>
      <c r="Q178" s="27">
        <f t="shared" si="100"/>
        <v>-10.029555695658569</v>
      </c>
      <c r="R178" s="28">
        <v>291.70999999999998</v>
      </c>
      <c r="S178" s="28">
        <v>293.66000000000003</v>
      </c>
      <c r="T178" s="28">
        <v>598</v>
      </c>
      <c r="U178" s="20">
        <v>9768779</v>
      </c>
      <c r="V178" s="20">
        <v>11393204</v>
      </c>
    </row>
    <row r="179" spans="1:22">
      <c r="A179" s="53">
        <v>157</v>
      </c>
      <c r="B179" s="46" t="s">
        <v>247</v>
      </c>
      <c r="C179" s="28" t="s">
        <v>85</v>
      </c>
      <c r="D179" s="24">
        <v>6021188385.6199999</v>
      </c>
      <c r="E179" s="22">
        <v>43373703.909999996</v>
      </c>
      <c r="F179" s="24">
        <v>-425773514.27999997</v>
      </c>
      <c r="G179" s="20">
        <v>16357084.85</v>
      </c>
      <c r="H179" s="21">
        <f t="shared" si="101"/>
        <v>-398756895.22000003</v>
      </c>
      <c r="I179" s="122">
        <v>6227422800.8000002</v>
      </c>
      <c r="J179" s="23">
        <f t="shared" si="88"/>
        <v>3.9611360651983146E-2</v>
      </c>
      <c r="K179" s="20">
        <v>6069467463.3599997</v>
      </c>
      <c r="L179" s="23">
        <f t="shared" si="95"/>
        <v>4.0797307855148769E-2</v>
      </c>
      <c r="M179" s="23">
        <f t="shared" si="96"/>
        <v>-2.5364479415097518E-2</v>
      </c>
      <c r="N179" s="25">
        <f t="shared" si="97"/>
        <v>2.6949785872885908E-3</v>
      </c>
      <c r="O179" s="26">
        <f t="shared" si="98"/>
        <v>-6.5698827389256975E-2</v>
      </c>
      <c r="P179" s="27">
        <f t="shared" si="99"/>
        <v>2.6101720630456464</v>
      </c>
      <c r="Q179" s="27">
        <f t="shared" si="100"/>
        <v>-0.17148524382629671</v>
      </c>
      <c r="R179" s="28">
        <v>2.5857999999999999</v>
      </c>
      <c r="S179" s="28">
        <v>2.6259000000000001</v>
      </c>
      <c r="T179" s="20">
        <v>5837</v>
      </c>
      <c r="U179" s="20">
        <v>2252845896.7399998</v>
      </c>
      <c r="V179" s="20">
        <v>2325313165.8600001</v>
      </c>
    </row>
    <row r="180" spans="1:22">
      <c r="A180" s="53">
        <v>158</v>
      </c>
      <c r="B180" s="46" t="s">
        <v>248</v>
      </c>
      <c r="C180" s="46" t="s">
        <v>35</v>
      </c>
      <c r="D180" s="22">
        <v>1317004819.4300001</v>
      </c>
      <c r="E180" s="22">
        <v>6993190.2199999997</v>
      </c>
      <c r="F180" s="22">
        <v>203645658.91999999</v>
      </c>
      <c r="G180" s="28">
        <v>2163214.0499999998</v>
      </c>
      <c r="H180" s="21">
        <f t="shared" si="101"/>
        <v>208475635.08999997</v>
      </c>
      <c r="I180" s="122">
        <v>1386739809.54</v>
      </c>
      <c r="J180" s="23">
        <f t="shared" si="88"/>
        <v>8.8207678333796034E-3</v>
      </c>
      <c r="K180" s="28">
        <v>1365554707.78</v>
      </c>
      <c r="L180" s="23">
        <f t="shared" si="95"/>
        <v>9.1788869686941724E-3</v>
      </c>
      <c r="M180" s="23">
        <f t="shared" si="96"/>
        <v>-1.5276911800078322E-2</v>
      </c>
      <c r="N180" s="25">
        <f t="shared" si="97"/>
        <v>1.584128440754135E-3</v>
      </c>
      <c r="O180" s="26">
        <f t="shared" si="98"/>
        <v>0.15266736213660859</v>
      </c>
      <c r="P180" s="27">
        <f t="shared" si="99"/>
        <v>276.92781660576316</v>
      </c>
      <c r="Q180" s="27">
        <f t="shared" si="100"/>
        <v>42.277839263452378</v>
      </c>
      <c r="R180" s="28">
        <v>276.93</v>
      </c>
      <c r="S180" s="28">
        <v>278.7</v>
      </c>
      <c r="T180" s="28">
        <v>224</v>
      </c>
      <c r="U180" s="28">
        <v>4864269.0599999996</v>
      </c>
      <c r="V180" s="28">
        <v>4931085.38</v>
      </c>
    </row>
    <row r="181" spans="1:22">
      <c r="A181" s="53">
        <v>159</v>
      </c>
      <c r="B181" s="46" t="s">
        <v>249</v>
      </c>
      <c r="C181" s="46" t="s">
        <v>193</v>
      </c>
      <c r="D181" s="24">
        <v>1710975039.6099999</v>
      </c>
      <c r="E181" s="24">
        <v>14213810.91</v>
      </c>
      <c r="F181" s="22">
        <v>0</v>
      </c>
      <c r="G181" s="20">
        <v>4722513.8499999996</v>
      </c>
      <c r="H181" s="21">
        <f t="shared" si="101"/>
        <v>9491297.0600000005</v>
      </c>
      <c r="I181" s="122">
        <v>2540360434.8499999</v>
      </c>
      <c r="J181" s="23">
        <f t="shared" si="88"/>
        <v>1.615871229394367E-2</v>
      </c>
      <c r="K181" s="20">
        <v>2287235218.6599998</v>
      </c>
      <c r="L181" s="23">
        <f t="shared" si="95"/>
        <v>1.5374172432115373E-2</v>
      </c>
      <c r="M181" s="23">
        <f t="shared" si="96"/>
        <v>-9.9641457455208041E-2</v>
      </c>
      <c r="N181" s="25">
        <f t="shared" si="97"/>
        <v>2.0647259238893378E-3</v>
      </c>
      <c r="O181" s="26">
        <f t="shared" si="98"/>
        <v>4.1496812319812802E-3</v>
      </c>
      <c r="P181" s="27">
        <f t="shared" si="99"/>
        <v>204.38484332255723</v>
      </c>
      <c r="Q181" s="27">
        <f t="shared" si="100"/>
        <v>0.8481319484370502</v>
      </c>
      <c r="R181" s="28">
        <v>175.05</v>
      </c>
      <c r="S181" s="28">
        <v>176.13</v>
      </c>
      <c r="T181" s="28">
        <v>253</v>
      </c>
      <c r="U181" s="20">
        <v>13171369</v>
      </c>
      <c r="V181" s="20">
        <v>11190826</v>
      </c>
    </row>
    <row r="182" spans="1:22">
      <c r="A182" s="53">
        <v>160</v>
      </c>
      <c r="B182" s="46" t="s">
        <v>250</v>
      </c>
      <c r="C182" s="28" t="s">
        <v>92</v>
      </c>
      <c r="D182" s="24">
        <v>1077556105</v>
      </c>
      <c r="E182" s="24">
        <v>11096244</v>
      </c>
      <c r="F182" s="24">
        <v>97889393</v>
      </c>
      <c r="G182" s="20">
        <v>3310213</v>
      </c>
      <c r="H182" s="21">
        <f t="shared" si="101"/>
        <v>105675424</v>
      </c>
      <c r="I182" s="123">
        <v>1115379604</v>
      </c>
      <c r="J182" s="23">
        <f t="shared" si="88"/>
        <v>7.0947011582760018E-3</v>
      </c>
      <c r="K182" s="20">
        <v>1115379604</v>
      </c>
      <c r="L182" s="23">
        <f t="shared" si="95"/>
        <v>7.4972780321242672E-3</v>
      </c>
      <c r="M182" s="23">
        <f t="shared" si="96"/>
        <v>0</v>
      </c>
      <c r="N182" s="25">
        <f t="shared" si="97"/>
        <v>2.9677905065942016E-3</v>
      </c>
      <c r="O182" s="26">
        <f t="shared" si="98"/>
        <v>9.4743909267324206E-2</v>
      </c>
      <c r="P182" s="27">
        <f t="shared" si="99"/>
        <v>2.1218994500397441</v>
      </c>
      <c r="Q182" s="27">
        <f t="shared" si="100"/>
        <v>0.20103704896895067</v>
      </c>
      <c r="R182" s="28">
        <v>2.1674000000000002</v>
      </c>
      <c r="S182" s="28">
        <v>2.1875</v>
      </c>
      <c r="T182" s="28">
        <v>276</v>
      </c>
      <c r="U182" s="20">
        <v>512756147.97000003</v>
      </c>
      <c r="V182" s="20">
        <v>525651488.32999998</v>
      </c>
    </row>
    <row r="183" spans="1:22">
      <c r="A183" s="53">
        <v>161</v>
      </c>
      <c r="B183" s="28" t="s">
        <v>251</v>
      </c>
      <c r="C183" s="19" t="s">
        <v>323</v>
      </c>
      <c r="D183" s="24">
        <v>20873031945.32</v>
      </c>
      <c r="E183" s="24">
        <v>166700930.31</v>
      </c>
      <c r="F183" s="24">
        <v>-1624746941.5799999</v>
      </c>
      <c r="G183" s="20">
        <v>34016087.420000002</v>
      </c>
      <c r="H183" s="21">
        <f t="shared" si="101"/>
        <v>-1492062098.6900001</v>
      </c>
      <c r="I183" s="122">
        <v>21503282872.200001</v>
      </c>
      <c r="J183" s="23">
        <f t="shared" si="88"/>
        <v>0.13677797706988898</v>
      </c>
      <c r="K183" s="20">
        <v>20609768926.630001</v>
      </c>
      <c r="L183" s="23">
        <f t="shared" si="95"/>
        <v>0.13853325564377134</v>
      </c>
      <c r="M183" s="23">
        <f t="shared" si="96"/>
        <v>-4.1552443451560485E-2</v>
      </c>
      <c r="N183" s="25">
        <f t="shared" si="97"/>
        <v>1.6504836876675322E-3</v>
      </c>
      <c r="O183" s="26">
        <f t="shared" si="98"/>
        <v>-7.2395867416160012E-2</v>
      </c>
      <c r="P183" s="27">
        <f t="shared" si="99"/>
        <v>577.08195995891106</v>
      </c>
      <c r="Q183" s="27">
        <f t="shared" si="100"/>
        <v>-41.778349061443095</v>
      </c>
      <c r="R183" s="28">
        <v>577.08000000000004</v>
      </c>
      <c r="S183" s="28">
        <v>582.36</v>
      </c>
      <c r="T183" s="28">
        <v>7001</v>
      </c>
      <c r="U183" s="20">
        <v>34682299</v>
      </c>
      <c r="V183" s="20">
        <v>35713764</v>
      </c>
    </row>
    <row r="184" spans="1:22" ht="15.6" customHeight="1">
      <c r="A184" s="53">
        <v>162</v>
      </c>
      <c r="B184" s="28" t="s">
        <v>252</v>
      </c>
      <c r="C184" s="46" t="s">
        <v>253</v>
      </c>
      <c r="D184" s="24">
        <v>5556999787.6199999</v>
      </c>
      <c r="E184" s="24">
        <v>204260519.13999999</v>
      </c>
      <c r="F184" s="24">
        <v>79377021.420000002</v>
      </c>
      <c r="G184" s="20">
        <v>30516176.239999998</v>
      </c>
      <c r="H184" s="21">
        <f t="shared" si="101"/>
        <v>253121364.31999999</v>
      </c>
      <c r="I184" s="122">
        <v>6836037592.8400002</v>
      </c>
      <c r="J184" s="23">
        <f t="shared" si="88"/>
        <v>4.348263465999351E-2</v>
      </c>
      <c r="K184" s="20">
        <v>5509233063.29</v>
      </c>
      <c r="L184" s="23">
        <f t="shared" si="95"/>
        <v>3.7031564743635746E-2</v>
      </c>
      <c r="M184" s="23">
        <f t="shared" si="96"/>
        <v>-0.19408970643164433</v>
      </c>
      <c r="N184" s="25">
        <f t="shared" si="97"/>
        <v>5.5390969830883081E-3</v>
      </c>
      <c r="O184" s="26">
        <f t="shared" si="98"/>
        <v>4.5944936693028765E-2</v>
      </c>
      <c r="P184" s="27">
        <f t="shared" si="99"/>
        <v>3.8150719373258721</v>
      </c>
      <c r="Q184" s="27">
        <f t="shared" si="100"/>
        <v>0.17528323863978781</v>
      </c>
      <c r="R184" s="28">
        <v>3.7774999999999999</v>
      </c>
      <c r="S184" s="28">
        <v>3.8466</v>
      </c>
      <c r="T184" s="28">
        <v>10276</v>
      </c>
      <c r="U184" s="20">
        <v>1698977812.1600001</v>
      </c>
      <c r="V184" s="20">
        <v>1444070558.51</v>
      </c>
    </row>
    <row r="185" spans="1:22">
      <c r="A185" s="53">
        <v>163</v>
      </c>
      <c r="B185" s="46" t="s">
        <v>254</v>
      </c>
      <c r="C185" s="28" t="s">
        <v>104</v>
      </c>
      <c r="D185" s="24">
        <v>319067411.85000002</v>
      </c>
      <c r="E185" s="24">
        <v>24786971.07</v>
      </c>
      <c r="F185" s="24">
        <v>-8058173.2699999996</v>
      </c>
      <c r="G185" s="20">
        <v>653299.98</v>
      </c>
      <c r="H185" s="21">
        <f t="shared" si="101"/>
        <v>16075497.82</v>
      </c>
      <c r="I185" s="122">
        <v>393836476.48000002</v>
      </c>
      <c r="J185" s="23">
        <f t="shared" si="88"/>
        <v>2.5051131433940005E-3</v>
      </c>
      <c r="K185" s="20">
        <v>369114660.45999998</v>
      </c>
      <c r="L185" s="23">
        <f t="shared" si="95"/>
        <v>2.4810882548662472E-3</v>
      </c>
      <c r="M185" s="23">
        <f t="shared" si="96"/>
        <v>-6.2771778381110602E-2</v>
      </c>
      <c r="N185" s="25">
        <f t="shared" si="97"/>
        <v>1.7699106808324577E-3</v>
      </c>
      <c r="O185" s="26">
        <f t="shared" si="98"/>
        <v>4.3551501855727731E-2</v>
      </c>
      <c r="P185" s="27">
        <f t="shared" si="99"/>
        <v>288.9907180901584</v>
      </c>
      <c r="Q185" s="27">
        <f t="shared" si="100"/>
        <v>12.585979795191621</v>
      </c>
      <c r="R185" s="28">
        <v>349.17</v>
      </c>
      <c r="S185" s="28">
        <v>351.99</v>
      </c>
      <c r="T185" s="28">
        <v>70</v>
      </c>
      <c r="U185" s="20">
        <v>1078967.7</v>
      </c>
      <c r="V185" s="20">
        <v>1277254.3799999999</v>
      </c>
    </row>
    <row r="186" spans="1:22">
      <c r="A186" s="53">
        <v>164</v>
      </c>
      <c r="B186" s="46" t="s">
        <v>255</v>
      </c>
      <c r="C186" s="46" t="s">
        <v>106</v>
      </c>
      <c r="D186" s="22">
        <v>107987439.33</v>
      </c>
      <c r="E186" s="22">
        <v>619059.86</v>
      </c>
      <c r="F186" s="22">
        <v>0</v>
      </c>
      <c r="G186" s="28">
        <v>131441.01</v>
      </c>
      <c r="H186" s="21">
        <f t="shared" si="101"/>
        <v>487618.85</v>
      </c>
      <c r="I186" s="122">
        <v>71587262.560000002</v>
      </c>
      <c r="J186" s="23">
        <f t="shared" si="88"/>
        <v>4.5535191138589286E-4</v>
      </c>
      <c r="K186" s="28">
        <v>107871669.8</v>
      </c>
      <c r="L186" s="23">
        <f t="shared" si="95"/>
        <v>7.2508399595955198E-4</v>
      </c>
      <c r="M186" s="23">
        <f t="shared" si="96"/>
        <v>0.50685563244702447</v>
      </c>
      <c r="N186" s="25">
        <f t="shared" si="97"/>
        <v>1.2184942556622963E-3</v>
      </c>
      <c r="O186" s="26">
        <f t="shared" si="98"/>
        <v>4.5203606368944887E-3</v>
      </c>
      <c r="P186" s="27">
        <f t="shared" si="99"/>
        <v>1.5441562856079476</v>
      </c>
      <c r="Q186" s="27">
        <f t="shared" si="100"/>
        <v>6.9801432906753695E-3</v>
      </c>
      <c r="R186" s="28">
        <v>1.56</v>
      </c>
      <c r="S186" s="28">
        <v>1.56</v>
      </c>
      <c r="T186" s="28">
        <v>29</v>
      </c>
      <c r="U186" s="28">
        <v>51732000</v>
      </c>
      <c r="V186" s="28">
        <v>69858000</v>
      </c>
    </row>
    <row r="187" spans="1:22">
      <c r="A187" s="53">
        <v>165</v>
      </c>
      <c r="B187" s="28" t="s">
        <v>256</v>
      </c>
      <c r="C187" s="28" t="s">
        <v>43</v>
      </c>
      <c r="D187" s="24">
        <v>14619751778.860001</v>
      </c>
      <c r="E187" s="24">
        <v>112963298.18000001</v>
      </c>
      <c r="F187" s="24">
        <v>-788571406.55999994</v>
      </c>
      <c r="G187" s="20">
        <v>30784411.620000001</v>
      </c>
      <c r="H187" s="21">
        <f t="shared" si="101"/>
        <v>-706392519.99999988</v>
      </c>
      <c r="I187" s="122">
        <v>14993078092.48</v>
      </c>
      <c r="J187" s="23">
        <f t="shared" si="88"/>
        <v>9.5367898182259034E-2</v>
      </c>
      <c r="K187" s="20">
        <v>13946255715.389999</v>
      </c>
      <c r="L187" s="23">
        <f t="shared" si="95"/>
        <v>9.3742934002387368E-2</v>
      </c>
      <c r="M187" s="23">
        <f t="shared" si="96"/>
        <v>-6.9820377819218418E-2</v>
      </c>
      <c r="N187" s="25">
        <f t="shared" si="97"/>
        <v>2.2073603301299522E-3</v>
      </c>
      <c r="O187" s="26">
        <f t="shared" si="98"/>
        <v>-5.065105175294328E-2</v>
      </c>
      <c r="P187" s="27">
        <f t="shared" si="99"/>
        <v>7.8103384399756841</v>
      </c>
      <c r="Q187" s="27">
        <f t="shared" si="100"/>
        <v>-0.39560185653121066</v>
      </c>
      <c r="R187" s="28">
        <v>7.81</v>
      </c>
      <c r="S187" s="28">
        <v>7.94</v>
      </c>
      <c r="T187" s="28">
        <v>12940</v>
      </c>
      <c r="U187" s="20">
        <v>1826960323.22</v>
      </c>
      <c r="V187" s="20">
        <v>1785614774.9000001</v>
      </c>
    </row>
    <row r="188" spans="1:22">
      <c r="A188" s="53">
        <v>166</v>
      </c>
      <c r="B188" s="46" t="s">
        <v>257</v>
      </c>
      <c r="C188" s="46" t="s">
        <v>258</v>
      </c>
      <c r="D188" s="35">
        <v>159006842.05000001</v>
      </c>
      <c r="E188" s="35">
        <v>7796822.1299999999</v>
      </c>
      <c r="F188" s="35">
        <v>-7186350.1399999997</v>
      </c>
      <c r="G188" s="35">
        <v>454810.41</v>
      </c>
      <c r="H188" s="21">
        <f t="shared" si="101"/>
        <v>155661.58000000025</v>
      </c>
      <c r="I188" s="119">
        <v>171599069.47999999</v>
      </c>
      <c r="J188" s="23">
        <f t="shared" si="88"/>
        <v>1.0915065262380752E-3</v>
      </c>
      <c r="K188" s="35">
        <v>161327448.46000001</v>
      </c>
      <c r="L188" s="23">
        <f t="shared" si="95"/>
        <v>1.0843991865910237E-3</v>
      </c>
      <c r="M188" s="23">
        <f t="shared" si="96"/>
        <v>-5.9858255940001742E-2</v>
      </c>
      <c r="N188" s="25">
        <f t="shared" si="97"/>
        <v>2.8191756228808577E-3</v>
      </c>
      <c r="O188" s="26">
        <f t="shared" si="98"/>
        <v>9.648796995546324E-4</v>
      </c>
      <c r="P188" s="27">
        <f t="shared" si="99"/>
        <v>3.0297260861194246</v>
      </c>
      <c r="Q188" s="27">
        <f t="shared" si="100"/>
        <v>2.923321195707743E-3</v>
      </c>
      <c r="R188" s="34">
        <v>3.0188999999999999</v>
      </c>
      <c r="S188" s="34">
        <v>3.0358999999999998</v>
      </c>
      <c r="T188" s="34">
        <v>148</v>
      </c>
      <c r="U188" s="35">
        <v>50140271</v>
      </c>
      <c r="V188" s="35">
        <v>53248196</v>
      </c>
    </row>
    <row r="189" spans="1:22">
      <c r="A189" s="53">
        <v>167</v>
      </c>
      <c r="B189" s="28" t="s">
        <v>259</v>
      </c>
      <c r="C189" s="28" t="s">
        <v>161</v>
      </c>
      <c r="D189" s="24">
        <v>2168636243.6900001</v>
      </c>
      <c r="E189" s="24">
        <v>11050552.1</v>
      </c>
      <c r="F189" s="24">
        <v>224369538.63999999</v>
      </c>
      <c r="G189" s="20">
        <v>3652139.75</v>
      </c>
      <c r="H189" s="21">
        <f t="shared" si="101"/>
        <v>231767950.98999998</v>
      </c>
      <c r="I189" s="122">
        <v>2107216261.9200001</v>
      </c>
      <c r="J189" s="23">
        <f t="shared" si="88"/>
        <v>1.340357094622097E-2</v>
      </c>
      <c r="K189" s="20">
        <v>2142235671.29</v>
      </c>
      <c r="L189" s="23">
        <f t="shared" si="95"/>
        <v>1.4399524951323657E-2</v>
      </c>
      <c r="M189" s="23">
        <f t="shared" si="96"/>
        <v>1.6618801782638002E-2</v>
      </c>
      <c r="N189" s="25">
        <f t="shared" si="97"/>
        <v>1.704826317172085E-3</v>
      </c>
      <c r="O189" s="26">
        <f t="shared" si="98"/>
        <v>0.10818975432821319</v>
      </c>
      <c r="P189" s="27">
        <f t="shared" si="99"/>
        <v>481.32928921830103</v>
      </c>
      <c r="Q189" s="27">
        <f t="shared" si="100"/>
        <v>52.074897551501465</v>
      </c>
      <c r="R189" s="28">
        <v>472.12</v>
      </c>
      <c r="S189" s="28">
        <v>478.76</v>
      </c>
      <c r="T189" s="28">
        <v>284</v>
      </c>
      <c r="U189" s="20">
        <v>4215152.45</v>
      </c>
      <c r="V189" s="20">
        <v>4450665.5199999996</v>
      </c>
    </row>
    <row r="190" spans="1:22">
      <c r="A190" s="167">
        <v>168</v>
      </c>
      <c r="B190" s="135" t="s">
        <v>331</v>
      </c>
      <c r="C190" s="113" t="s">
        <v>332</v>
      </c>
      <c r="D190" s="24">
        <v>47266518.899999999</v>
      </c>
      <c r="E190" s="24">
        <v>1063761.54</v>
      </c>
      <c r="F190" s="24">
        <v>0</v>
      </c>
      <c r="G190" s="20">
        <v>715615.56</v>
      </c>
      <c r="H190" s="21">
        <f t="shared" si="101"/>
        <v>348145.98</v>
      </c>
      <c r="I190" s="122">
        <v>50691992.719999999</v>
      </c>
      <c r="J190" s="23">
        <f t="shared" si="88"/>
        <v>3.2244138065295178E-4</v>
      </c>
      <c r="K190" s="20">
        <v>48637181.700000003</v>
      </c>
      <c r="L190" s="23">
        <f t="shared" si="95"/>
        <v>3.269258937460779E-4</v>
      </c>
      <c r="M190" s="23">
        <f t="shared" si="96"/>
        <v>-4.0535218872729213E-2</v>
      </c>
      <c r="N190" s="25">
        <f t="shared" si="97"/>
        <v>1.4713343474833782E-2</v>
      </c>
      <c r="O190" s="26">
        <f t="shared" si="98"/>
        <v>7.1580212469424384E-3</v>
      </c>
      <c r="P190" s="27">
        <f t="shared" si="99"/>
        <v>0.97274363400000008</v>
      </c>
      <c r="Q190" s="27">
        <f t="shared" si="100"/>
        <v>6.9629195999999999E-3</v>
      </c>
      <c r="R190" s="28">
        <v>1</v>
      </c>
      <c r="S190" s="28">
        <v>1</v>
      </c>
      <c r="T190" s="28">
        <v>5</v>
      </c>
      <c r="U190" s="20">
        <v>50000000</v>
      </c>
      <c r="V190" s="20">
        <v>50000000</v>
      </c>
    </row>
    <row r="191" spans="1:22">
      <c r="A191" s="53">
        <v>169</v>
      </c>
      <c r="B191" s="46" t="s">
        <v>260</v>
      </c>
      <c r="C191" s="28" t="s">
        <v>39</v>
      </c>
      <c r="D191" s="24">
        <v>3054352195.0999999</v>
      </c>
      <c r="E191" s="24">
        <v>16868027.969999999</v>
      </c>
      <c r="F191" s="24">
        <v>111940089</v>
      </c>
      <c r="G191" s="20">
        <v>8379255.3099999996</v>
      </c>
      <c r="H191" s="21">
        <f t="shared" si="101"/>
        <v>120428861.66</v>
      </c>
      <c r="I191" s="123">
        <v>3181950046.3099999</v>
      </c>
      <c r="J191" s="23">
        <f t="shared" si="88"/>
        <v>2.0239732372882742E-2</v>
      </c>
      <c r="K191" s="20">
        <v>2939384941.9899998</v>
      </c>
      <c r="L191" s="23">
        <f t="shared" si="95"/>
        <v>1.9757745322316733E-2</v>
      </c>
      <c r="M191" s="23">
        <f t="shared" si="96"/>
        <v>-7.6231587796701819E-2</v>
      </c>
      <c r="N191" s="25">
        <f t="shared" si="97"/>
        <v>2.8506832127700634E-3</v>
      </c>
      <c r="O191" s="26">
        <f t="shared" si="98"/>
        <v>4.0970769067922137E-2</v>
      </c>
      <c r="P191" s="27">
        <f t="shared" si="99"/>
        <v>3940.4583980025468</v>
      </c>
      <c r="Q191" s="27">
        <f t="shared" si="100"/>
        <v>161.44361104631676</v>
      </c>
      <c r="R191" s="28">
        <v>552.20000000000005</v>
      </c>
      <c r="S191" s="28">
        <v>552.20000000000005</v>
      </c>
      <c r="T191" s="28">
        <v>823</v>
      </c>
      <c r="U191" s="28">
        <v>745950</v>
      </c>
      <c r="V191" s="28">
        <v>745950</v>
      </c>
    </row>
    <row r="192" spans="1:22">
      <c r="A192" s="53">
        <v>170</v>
      </c>
      <c r="B192" s="46" t="s">
        <v>261</v>
      </c>
      <c r="C192" s="28" t="s">
        <v>115</v>
      </c>
      <c r="D192" s="24">
        <v>78993871.310000002</v>
      </c>
      <c r="E192" s="24">
        <v>2263266.0099999998</v>
      </c>
      <c r="F192" s="24">
        <v>29691970.710000001</v>
      </c>
      <c r="G192" s="20">
        <v>20499.89</v>
      </c>
      <c r="H192" s="21">
        <f t="shared" si="101"/>
        <v>31934736.829999998</v>
      </c>
      <c r="I192" s="122">
        <v>86774541.659999996</v>
      </c>
      <c r="J192" s="23">
        <f t="shared" si="88"/>
        <v>5.5195508239190571E-4</v>
      </c>
      <c r="K192" s="20">
        <v>88704407.950000003</v>
      </c>
      <c r="L192" s="23">
        <f t="shared" si="95"/>
        <v>5.962468801573354E-4</v>
      </c>
      <c r="M192" s="23">
        <f t="shared" si="96"/>
        <v>2.2240005571698765E-2</v>
      </c>
      <c r="N192" s="25">
        <f t="shared" si="97"/>
        <v>2.3110339693102025E-4</v>
      </c>
      <c r="O192" s="26">
        <f t="shared" si="98"/>
        <v>0.36001296404571737</v>
      </c>
      <c r="P192" s="27">
        <f t="shared" si="99"/>
        <v>3.460000000577288</v>
      </c>
      <c r="Q192" s="27">
        <f t="shared" si="100"/>
        <v>1.2456448558060134</v>
      </c>
      <c r="R192" s="28">
        <v>3.46</v>
      </c>
      <c r="S192" s="28">
        <v>3.46</v>
      </c>
      <c r="T192" s="28">
        <v>10</v>
      </c>
      <c r="U192" s="20">
        <v>25637112.120000001</v>
      </c>
      <c r="V192" s="20">
        <v>25637112.120000001</v>
      </c>
    </row>
    <row r="193" spans="1:22">
      <c r="A193" s="53">
        <v>171</v>
      </c>
      <c r="B193" s="28" t="s">
        <v>262</v>
      </c>
      <c r="C193" s="28" t="s">
        <v>49</v>
      </c>
      <c r="D193" s="24">
        <v>679573363.25999999</v>
      </c>
      <c r="E193" s="24">
        <v>15175578.92</v>
      </c>
      <c r="F193" s="24">
        <v>224137796.63</v>
      </c>
      <c r="G193" s="20">
        <v>942808.8</v>
      </c>
      <c r="H193" s="21">
        <f t="shared" si="101"/>
        <v>238370566.74999997</v>
      </c>
      <c r="I193" s="122">
        <v>662149758.54999995</v>
      </c>
      <c r="J193" s="23">
        <f t="shared" si="88"/>
        <v>4.2117989625143435E-3</v>
      </c>
      <c r="K193" s="20">
        <v>681807689.33000004</v>
      </c>
      <c r="L193" s="23">
        <f t="shared" si="95"/>
        <v>4.5829256631693049E-3</v>
      </c>
      <c r="M193" s="23">
        <f t="shared" si="96"/>
        <v>2.9688043416413464E-2</v>
      </c>
      <c r="N193" s="25">
        <f t="shared" si="97"/>
        <v>1.3828075200009566E-3</v>
      </c>
      <c r="O193" s="26">
        <f t="shared" si="98"/>
        <v>0.34961554479422546</v>
      </c>
      <c r="P193" s="27">
        <f t="shared" si="99"/>
        <v>5.5806324218248449</v>
      </c>
      <c r="Q193" s="27">
        <f t="shared" si="100"/>
        <v>1.9510758444526111</v>
      </c>
      <c r="R193" s="28">
        <v>4.57</v>
      </c>
      <c r="S193" s="28">
        <v>4.5999999999999996</v>
      </c>
      <c r="T193" s="28">
        <v>142</v>
      </c>
      <c r="U193" s="20">
        <v>132518910.31999999</v>
      </c>
      <c r="V193" s="20">
        <v>122173911.09</v>
      </c>
    </row>
    <row r="194" spans="1:22">
      <c r="A194" s="53">
        <v>172</v>
      </c>
      <c r="B194" s="28" t="s">
        <v>263</v>
      </c>
      <c r="C194" s="28" t="s">
        <v>264</v>
      </c>
      <c r="D194" s="22">
        <v>265363000.78</v>
      </c>
      <c r="E194" s="22">
        <v>1807863.74</v>
      </c>
      <c r="F194" s="22">
        <v>-12831275.380000001</v>
      </c>
      <c r="G194" s="28">
        <v>439311.05</v>
      </c>
      <c r="H194" s="21">
        <f t="shared" ref="H194" si="103">(E194+F194)-G194</f>
        <v>-11462722.690000001</v>
      </c>
      <c r="I194" s="122">
        <v>296853466.67000002</v>
      </c>
      <c r="J194" s="23">
        <f t="shared" si="88"/>
        <v>1.8882240864625812E-3</v>
      </c>
      <c r="K194" s="28">
        <v>282656458.86000001</v>
      </c>
      <c r="L194" s="23">
        <f t="shared" si="95"/>
        <v>1.8999397622561465E-3</v>
      </c>
      <c r="M194" s="23">
        <f t="shared" si="96"/>
        <v>-4.782496889545252E-2</v>
      </c>
      <c r="N194" s="25">
        <f t="shared" si="97"/>
        <v>1.5542225773711796E-3</v>
      </c>
      <c r="O194" s="26">
        <f t="shared" si="98"/>
        <v>-4.0553549479219568E-2</v>
      </c>
      <c r="P194" s="27">
        <f t="shared" si="99"/>
        <v>138.99427304064119</v>
      </c>
      <c r="Q194" s="27">
        <f t="shared" si="100"/>
        <v>-5.6367111290817968</v>
      </c>
      <c r="R194" s="28">
        <v>138.38</v>
      </c>
      <c r="S194" s="28">
        <v>139.41</v>
      </c>
      <c r="T194" s="28">
        <v>117</v>
      </c>
      <c r="U194" s="28">
        <v>2047966.34</v>
      </c>
      <c r="V194" s="28">
        <v>2033583.49</v>
      </c>
    </row>
    <row r="195" spans="1:22">
      <c r="A195" s="53">
        <v>173</v>
      </c>
      <c r="B195" s="46" t="s">
        <v>265</v>
      </c>
      <c r="C195" s="46" t="s">
        <v>53</v>
      </c>
      <c r="D195" s="24">
        <v>13576779492.48</v>
      </c>
      <c r="E195" s="24">
        <v>111982676.23</v>
      </c>
      <c r="F195" s="24">
        <v>1127843455.3499999</v>
      </c>
      <c r="G195" s="20">
        <v>23681723.359999999</v>
      </c>
      <c r="H195" s="21">
        <f t="shared" si="101"/>
        <v>1216144408.22</v>
      </c>
      <c r="I195" s="122">
        <v>16121989938.190001</v>
      </c>
      <c r="J195" s="23">
        <f t="shared" si="88"/>
        <v>0.10254867515776328</v>
      </c>
      <c r="K195" s="20">
        <v>13823288163.860001</v>
      </c>
      <c r="L195" s="23">
        <f t="shared" si="95"/>
        <v>9.2916379599344887E-2</v>
      </c>
      <c r="M195" s="23">
        <f t="shared" si="96"/>
        <v>-0.14258176460492647</v>
      </c>
      <c r="N195" s="25">
        <f t="shared" si="97"/>
        <v>1.7131758434953395E-3</v>
      </c>
      <c r="O195" s="26">
        <f t="shared" si="98"/>
        <v>8.7977939387787835E-2</v>
      </c>
      <c r="P195" s="27">
        <f t="shared" si="99"/>
        <v>12864.621940030167</v>
      </c>
      <c r="Q195" s="27">
        <f t="shared" si="100"/>
        <v>1131.8029292867795</v>
      </c>
      <c r="R195" s="20">
        <v>12789.79</v>
      </c>
      <c r="S195" s="20">
        <v>12915.91</v>
      </c>
      <c r="T195" s="20">
        <v>8567</v>
      </c>
      <c r="U195" s="20">
        <v>1158424.42</v>
      </c>
      <c r="V195" s="20">
        <v>1074519.58</v>
      </c>
    </row>
    <row r="196" spans="1:22">
      <c r="A196" s="53">
        <v>174</v>
      </c>
      <c r="B196" s="46" t="s">
        <v>266</v>
      </c>
      <c r="C196" s="46" t="s">
        <v>127</v>
      </c>
      <c r="D196" s="22">
        <v>260776027.47</v>
      </c>
      <c r="E196" s="22">
        <v>10521436.85</v>
      </c>
      <c r="F196" s="22">
        <v>33179064.609999999</v>
      </c>
      <c r="G196" s="28">
        <v>2730519.33</v>
      </c>
      <c r="H196" s="21">
        <f t="shared" si="101"/>
        <v>40969982.130000003</v>
      </c>
      <c r="I196" s="122">
        <v>281170975.76999998</v>
      </c>
      <c r="J196" s="23">
        <f t="shared" si="88"/>
        <v>1.7884709746485668E-3</v>
      </c>
      <c r="K196" s="28">
        <v>283453867.33999997</v>
      </c>
      <c r="L196" s="23">
        <f t="shared" si="95"/>
        <v>1.9052997249614833E-3</v>
      </c>
      <c r="M196" s="23">
        <f t="shared" si="96"/>
        <v>8.1192291051670126E-3</v>
      </c>
      <c r="N196" s="25">
        <f t="shared" si="97"/>
        <v>9.6330290202912301E-3</v>
      </c>
      <c r="O196" s="26">
        <f t="shared" si="98"/>
        <v>0.14453844822959122</v>
      </c>
      <c r="P196" s="27">
        <f t="shared" si="99"/>
        <v>1845.6321644402287</v>
      </c>
      <c r="Q196" s="27">
        <f t="shared" si="100"/>
        <v>266.7648090508124</v>
      </c>
      <c r="R196" s="28">
        <v>1830.19</v>
      </c>
      <c r="S196" s="28">
        <v>1855.56</v>
      </c>
      <c r="T196" s="28">
        <v>139</v>
      </c>
      <c r="U196" s="28">
        <v>148493.9</v>
      </c>
      <c r="V196" s="28">
        <v>153580.91</v>
      </c>
    </row>
    <row r="197" spans="1:22">
      <c r="A197" s="53">
        <v>175</v>
      </c>
      <c r="B197" s="46" t="s">
        <v>267</v>
      </c>
      <c r="C197" s="46" t="s">
        <v>106</v>
      </c>
      <c r="D197" s="22">
        <v>815488472.40999997</v>
      </c>
      <c r="E197" s="22">
        <v>12715942.66</v>
      </c>
      <c r="F197" s="22">
        <v>0</v>
      </c>
      <c r="G197" s="28">
        <v>1281574.72</v>
      </c>
      <c r="H197" s="21">
        <f t="shared" si="101"/>
        <v>11434367.939999999</v>
      </c>
      <c r="I197" s="122">
        <v>803942481.25999999</v>
      </c>
      <c r="J197" s="23">
        <f t="shared" si="88"/>
        <v>5.1137134232397208E-3</v>
      </c>
      <c r="K197" s="28">
        <v>812420560.55999994</v>
      </c>
      <c r="L197" s="23">
        <f t="shared" si="95"/>
        <v>5.4608698237703932E-3</v>
      </c>
      <c r="M197" s="23">
        <f t="shared" si="96"/>
        <v>1.0545629193163744E-2</v>
      </c>
      <c r="N197" s="25">
        <f t="shared" si="97"/>
        <v>1.5774769647836251E-3</v>
      </c>
      <c r="O197" s="26">
        <f t="shared" si="98"/>
        <v>1.4074444315045783E-2</v>
      </c>
      <c r="P197" s="27">
        <f t="shared" si="99"/>
        <v>1.5436453744252328</v>
      </c>
      <c r="Q197" s="27">
        <f t="shared" si="100"/>
        <v>2.1725950864525934E-2</v>
      </c>
      <c r="R197" s="28">
        <v>1.63</v>
      </c>
      <c r="S197" s="28">
        <v>1.63</v>
      </c>
      <c r="T197" s="28">
        <v>43</v>
      </c>
      <c r="U197" s="28">
        <v>526200000</v>
      </c>
      <c r="V197" s="28">
        <v>526300000</v>
      </c>
    </row>
    <row r="198" spans="1:22">
      <c r="A198" s="53">
        <v>176</v>
      </c>
      <c r="B198" s="46" t="s">
        <v>268</v>
      </c>
      <c r="C198" s="46" t="s">
        <v>56</v>
      </c>
      <c r="D198" s="22">
        <v>7673968610</v>
      </c>
      <c r="E198" s="22">
        <v>67001982</v>
      </c>
      <c r="F198" s="22">
        <v>527575175</v>
      </c>
      <c r="G198" s="28">
        <v>14897241</v>
      </c>
      <c r="H198" s="21">
        <f t="shared" si="101"/>
        <v>579679916</v>
      </c>
      <c r="I198" s="122">
        <v>8908284497.8999996</v>
      </c>
      <c r="J198" s="23">
        <f t="shared" si="88"/>
        <v>5.6663772691241787E-2</v>
      </c>
      <c r="K198" s="28">
        <v>9294339939.1200008</v>
      </c>
      <c r="L198" s="23">
        <f t="shared" si="95"/>
        <v>6.2474022654496725E-2</v>
      </c>
      <c r="M198" s="23">
        <f t="shared" si="96"/>
        <v>4.3336676249058757E-2</v>
      </c>
      <c r="N198" s="25">
        <f t="shared" si="97"/>
        <v>1.6028293668598579E-3</v>
      </c>
      <c r="O198" s="26">
        <f t="shared" si="98"/>
        <v>6.2369132159683496E-2</v>
      </c>
      <c r="P198" s="27">
        <f t="shared" si="99"/>
        <v>2.9241607248246435</v>
      </c>
      <c r="Q198" s="27">
        <f t="shared" si="100"/>
        <v>0.18237736670274407</v>
      </c>
      <c r="R198" s="28">
        <v>2.92</v>
      </c>
      <c r="S198" s="28">
        <v>2.94</v>
      </c>
      <c r="T198" s="28">
        <v>1785</v>
      </c>
      <c r="U198" s="28">
        <v>2940281423</v>
      </c>
      <c r="V198" s="28">
        <v>3178464118</v>
      </c>
    </row>
    <row r="199" spans="1:22">
      <c r="A199" s="53">
        <v>177</v>
      </c>
      <c r="B199" s="46" t="s">
        <v>269</v>
      </c>
      <c r="C199" s="46" t="s">
        <v>56</v>
      </c>
      <c r="D199" s="22">
        <v>3407783000.2800002</v>
      </c>
      <c r="E199" s="22">
        <v>32083386</v>
      </c>
      <c r="F199" s="22">
        <v>387149554.85000002</v>
      </c>
      <c r="G199" s="28">
        <v>7925862</v>
      </c>
      <c r="H199" s="21">
        <f t="shared" si="101"/>
        <v>411307078.85000002</v>
      </c>
      <c r="I199" s="122">
        <v>5302739404.8000002</v>
      </c>
      <c r="J199" s="23">
        <f t="shared" si="88"/>
        <v>3.3729639005726661E-2</v>
      </c>
      <c r="K199" s="28">
        <v>4671342795</v>
      </c>
      <c r="L199" s="23">
        <f t="shared" si="95"/>
        <v>3.1399494478720515E-2</v>
      </c>
      <c r="M199" s="23">
        <f t="shared" si="96"/>
        <v>-0.11906989229537938</v>
      </c>
      <c r="N199" s="25">
        <f t="shared" si="97"/>
        <v>1.6966988610819772E-3</v>
      </c>
      <c r="O199" s="26">
        <f t="shared" si="98"/>
        <v>8.8049003659128808E-2</v>
      </c>
      <c r="P199" s="27">
        <f t="shared" si="99"/>
        <v>2.3393298462048566</v>
      </c>
      <c r="Q199" s="27">
        <f t="shared" si="100"/>
        <v>0.20597566218840069</v>
      </c>
      <c r="R199" s="28">
        <v>2.34</v>
      </c>
      <c r="S199" s="28">
        <v>2.36</v>
      </c>
      <c r="T199" s="28">
        <v>802</v>
      </c>
      <c r="U199" s="28">
        <v>2110392211</v>
      </c>
      <c r="V199" s="28">
        <v>1996872225</v>
      </c>
    </row>
    <row r="200" spans="1:22">
      <c r="A200" s="53">
        <v>178</v>
      </c>
      <c r="B200" s="61" t="s">
        <v>270</v>
      </c>
      <c r="C200" s="46" t="s">
        <v>132</v>
      </c>
      <c r="D200" s="24">
        <v>10763127330.24</v>
      </c>
      <c r="E200" s="24">
        <v>165623447.09</v>
      </c>
      <c r="F200" s="24">
        <v>1333027613.3499999</v>
      </c>
      <c r="G200" s="20">
        <v>31703407.5</v>
      </c>
      <c r="H200" s="21">
        <f t="shared" si="101"/>
        <v>1466947652.9399998</v>
      </c>
      <c r="I200" s="122">
        <v>14394357407.040001</v>
      </c>
      <c r="J200" s="23">
        <f t="shared" si="88"/>
        <v>9.1559558559370466E-2</v>
      </c>
      <c r="K200" s="20">
        <v>13226684999.530001</v>
      </c>
      <c r="L200" s="23">
        <f t="shared" si="95"/>
        <v>8.8906175555998293E-2</v>
      </c>
      <c r="M200" s="23">
        <f t="shared" si="96"/>
        <v>-8.1120148297756892E-2</v>
      </c>
      <c r="N200" s="25">
        <f t="shared" si="97"/>
        <v>2.3969276883154438E-3</v>
      </c>
      <c r="O200" s="26">
        <f t="shared" si="98"/>
        <v>0.11090818697142379</v>
      </c>
      <c r="P200" s="27">
        <f t="shared" si="99"/>
        <v>841.25361593464982</v>
      </c>
      <c r="Q200" s="27">
        <f t="shared" si="100"/>
        <v>93.30191332646649</v>
      </c>
      <c r="R200" s="28">
        <v>835.31</v>
      </c>
      <c r="S200" s="28">
        <v>844.3</v>
      </c>
      <c r="T200" s="20">
        <v>43</v>
      </c>
      <c r="U200" s="20">
        <v>15692276.859999999</v>
      </c>
      <c r="V200" s="20">
        <v>15722589.18</v>
      </c>
    </row>
    <row r="201" spans="1:22">
      <c r="A201" s="53">
        <v>179</v>
      </c>
      <c r="B201" s="46" t="s">
        <v>271</v>
      </c>
      <c r="C201" s="46" t="s">
        <v>137</v>
      </c>
      <c r="D201" s="24">
        <v>7199854163.6000004</v>
      </c>
      <c r="E201" s="24">
        <v>42527459.700000003</v>
      </c>
      <c r="F201" s="24">
        <v>786460230.28999996</v>
      </c>
      <c r="G201" s="20">
        <v>61455536.68</v>
      </c>
      <c r="H201" s="21">
        <f t="shared" si="101"/>
        <v>767532153.31000006</v>
      </c>
      <c r="I201" s="122">
        <v>8074407504.1300001</v>
      </c>
      <c r="J201" s="23">
        <f t="shared" si="88"/>
        <v>5.1359651966473963E-2</v>
      </c>
      <c r="K201" s="20">
        <v>7460027201.46</v>
      </c>
      <c r="L201" s="23">
        <f t="shared" si="95"/>
        <v>5.0144271829947802E-2</v>
      </c>
      <c r="M201" s="23">
        <f t="shared" si="96"/>
        <v>-7.6089831031657632E-2</v>
      </c>
      <c r="N201" s="25">
        <f t="shared" si="97"/>
        <v>8.2379775596491869E-3</v>
      </c>
      <c r="O201" s="26">
        <f t="shared" si="98"/>
        <v>0.10288597247470982</v>
      </c>
      <c r="P201" s="27">
        <f t="shared" si="99"/>
        <v>43.665717054279064</v>
      </c>
      <c r="Q201" s="27">
        <f t="shared" si="100"/>
        <v>4.4925897629350224</v>
      </c>
      <c r="R201" s="28">
        <v>42.126899999999999</v>
      </c>
      <c r="S201" s="28">
        <v>42.692999999999998</v>
      </c>
      <c r="T201" s="28">
        <v>6275</v>
      </c>
      <c r="U201" s="28">
        <v>170791361.41999999</v>
      </c>
      <c r="V201" s="28">
        <v>170844032.91</v>
      </c>
    </row>
    <row r="202" spans="1:22" ht="15" customHeight="1">
      <c r="A202" s="177" t="s">
        <v>61</v>
      </c>
      <c r="B202" s="177"/>
      <c r="C202" s="177"/>
      <c r="D202" s="177"/>
      <c r="E202" s="177"/>
      <c r="F202" s="177"/>
      <c r="G202" s="177"/>
      <c r="H202" s="177"/>
      <c r="I202" s="40">
        <f>SUM(I172:I201)</f>
        <v>157213049445.91</v>
      </c>
      <c r="J202" s="38">
        <f>(I202/$I$247)</f>
        <v>1.7362689884552703E-2</v>
      </c>
      <c r="K202" s="40">
        <f>SUM(K172:K201)</f>
        <v>148771273950.47</v>
      </c>
      <c r="L202" s="38">
        <f>(K202/$K$247)</f>
        <v>1.6183378424095365E-2</v>
      </c>
      <c r="M202" s="38">
        <f t="shared" si="90"/>
        <v>-5.3696404498180292E-2</v>
      </c>
      <c r="N202" s="25"/>
      <c r="O202" s="25"/>
      <c r="P202" s="39"/>
      <c r="Q202" s="39"/>
      <c r="R202" s="40"/>
      <c r="S202" s="40"/>
      <c r="T202" s="40">
        <f>SUM(T172:T201)</f>
        <v>97710</v>
      </c>
      <c r="U202" s="40"/>
      <c r="V202" s="62"/>
    </row>
    <row r="203" spans="1:22" ht="6" customHeight="1">
      <c r="A203" s="188"/>
      <c r="B203" s="188"/>
      <c r="C203" s="188"/>
      <c r="D203" s="188"/>
      <c r="E203" s="188"/>
      <c r="F203" s="188"/>
      <c r="G203" s="188"/>
      <c r="H203" s="188"/>
      <c r="I203" s="188"/>
      <c r="J203" s="188"/>
      <c r="K203" s="188"/>
      <c r="L203" s="188"/>
      <c r="M203" s="188"/>
      <c r="N203" s="188"/>
      <c r="O203" s="188"/>
      <c r="P203" s="188"/>
      <c r="Q203" s="188"/>
      <c r="R203" s="188"/>
      <c r="S203" s="188"/>
      <c r="T203" s="188"/>
      <c r="U203" s="188"/>
      <c r="V203" s="188"/>
    </row>
    <row r="204" spans="1:22">
      <c r="A204" s="176" t="s">
        <v>272</v>
      </c>
      <c r="B204" s="176"/>
      <c r="C204" s="176"/>
      <c r="D204" s="176"/>
      <c r="E204" s="176"/>
      <c r="F204" s="176"/>
      <c r="G204" s="176"/>
      <c r="H204" s="176"/>
      <c r="I204" s="176"/>
      <c r="J204" s="176"/>
      <c r="K204" s="176"/>
      <c r="L204" s="176"/>
      <c r="M204" s="176"/>
      <c r="N204" s="176"/>
      <c r="O204" s="176"/>
      <c r="P204" s="176"/>
      <c r="Q204" s="176"/>
      <c r="R204" s="176"/>
      <c r="S204" s="176"/>
      <c r="T204" s="176"/>
      <c r="U204" s="176"/>
      <c r="V204" s="176"/>
    </row>
    <row r="205" spans="1:22">
      <c r="A205" s="53">
        <v>180</v>
      </c>
      <c r="B205" s="28" t="s">
        <v>273</v>
      </c>
      <c r="C205" s="46" t="s">
        <v>274</v>
      </c>
      <c r="D205" s="28">
        <f>125000000+471975778.89+9649765.28</f>
        <v>606625544.16999996</v>
      </c>
      <c r="E205" s="20">
        <v>8789188.1699999999</v>
      </c>
      <c r="F205" s="46">
        <v>0</v>
      </c>
      <c r="G205" s="20">
        <v>1720123.5</v>
      </c>
      <c r="H205" s="21">
        <f>(E205+F205)-G205</f>
        <v>7069064.6699999999</v>
      </c>
      <c r="I205" s="122">
        <v>163480086.50999999</v>
      </c>
      <c r="J205" s="23">
        <f t="shared" ref="J205:J207" si="104">(I205/$I$208)</f>
        <v>7.6641269512115456E-3</v>
      </c>
      <c r="K205" s="20">
        <v>621422852.86000001</v>
      </c>
      <c r="L205" s="23">
        <f t="shared" ref="L205" si="105">(K205/$K$208)</f>
        <v>3.3748074701733313E-2</v>
      </c>
      <c r="M205" s="23">
        <f t="shared" ref="M205" si="106">((K205-I205)/I205)</f>
        <v>2.8012143627168187</v>
      </c>
      <c r="N205" s="25">
        <f t="shared" ref="N205" si="107">(G205/K205)</f>
        <v>2.7680402999075504E-3</v>
      </c>
      <c r="O205" s="26">
        <f t="shared" ref="O205" si="108">H205/K205</f>
        <v>1.1375611047237404E-2</v>
      </c>
      <c r="P205" s="27">
        <f t="shared" ref="P205" si="109">K205/V205</f>
        <v>1067.9001649049426</v>
      </c>
      <c r="Q205" s="27">
        <f t="shared" ref="Q205" si="110">H205/V205</f>
        <v>12.14801691323931</v>
      </c>
      <c r="R205" s="20">
        <v>1069.0899999999999</v>
      </c>
      <c r="S205" s="20">
        <v>1069.0899999999999</v>
      </c>
      <c r="T205" s="28">
        <v>33</v>
      </c>
      <c r="U205" s="20">
        <v>580885</v>
      </c>
      <c r="V205" s="20">
        <v>581911</v>
      </c>
    </row>
    <row r="206" spans="1:22">
      <c r="A206" s="53">
        <v>181</v>
      </c>
      <c r="B206" s="28" t="s">
        <v>275</v>
      </c>
      <c r="C206" s="46" t="s">
        <v>53</v>
      </c>
      <c r="D206" s="20">
        <v>15634386676.290001</v>
      </c>
      <c r="E206" s="20">
        <v>122025699.03</v>
      </c>
      <c r="F206" s="63">
        <v>2252213435.1500001</v>
      </c>
      <c r="G206" s="20">
        <v>59290258.119999997</v>
      </c>
      <c r="H206" s="21">
        <f>(E206+F206)-G206</f>
        <v>2314948876.0600004</v>
      </c>
      <c r="I206" s="122">
        <v>19205840006.720001</v>
      </c>
      <c r="J206" s="23">
        <f t="shared" si="104"/>
        <v>0.90039098436099607</v>
      </c>
      <c r="K206" s="20">
        <v>15891403094.26</v>
      </c>
      <c r="L206" s="23">
        <f t="shared" ref="L206:L207" si="111">(K206/$K$208)</f>
        <v>0.86302628922027447</v>
      </c>
      <c r="M206" s="23">
        <f t="shared" ref="M206:M207" si="112">((K206-I206)/I206)</f>
        <v>-0.17257443107410561</v>
      </c>
      <c r="N206" s="25">
        <f t="shared" ref="N206:N207" si="113">(G206/K206)</f>
        <v>3.7309643313632721E-3</v>
      </c>
      <c r="O206" s="26">
        <f t="shared" ref="O206:O207" si="114">H206/K206</f>
        <v>0.14567303228851855</v>
      </c>
      <c r="P206" s="27">
        <f t="shared" ref="P206:P207" si="115">K206/V206</f>
        <v>6.4382299506367984</v>
      </c>
      <c r="Q206" s="27">
        <f t="shared" ref="Q206:Q207" si="116">H206/V206</f>
        <v>0.9378764794800214</v>
      </c>
      <c r="R206" s="28">
        <v>6.38</v>
      </c>
      <c r="S206" s="28">
        <v>6.48</v>
      </c>
      <c r="T206" s="20">
        <v>17125</v>
      </c>
      <c r="U206" s="20">
        <v>2631514577.1700001</v>
      </c>
      <c r="V206" s="20">
        <v>2468287590.8600001</v>
      </c>
    </row>
    <row r="207" spans="1:22">
      <c r="A207" s="53">
        <v>182</v>
      </c>
      <c r="B207" s="28" t="s">
        <v>276</v>
      </c>
      <c r="C207" s="46" t="s">
        <v>137</v>
      </c>
      <c r="D207" s="20">
        <v>1818148216.3599999</v>
      </c>
      <c r="E207" s="20">
        <v>13502338.869999999</v>
      </c>
      <c r="F207" s="20">
        <v>70379949.400000006</v>
      </c>
      <c r="G207" s="20">
        <v>14884963.550000001</v>
      </c>
      <c r="H207" s="21">
        <f>(E207+F207)-G207</f>
        <v>68997324.720000014</v>
      </c>
      <c r="I207" s="122">
        <v>1961235565.71</v>
      </c>
      <c r="J207" s="23">
        <f t="shared" si="104"/>
        <v>9.1944888687792478E-2</v>
      </c>
      <c r="K207" s="20">
        <v>1900753445.25</v>
      </c>
      <c r="L207" s="23">
        <f t="shared" si="111"/>
        <v>0.10322563607799205</v>
      </c>
      <c r="M207" s="23">
        <f t="shared" si="112"/>
        <v>-3.0838784242679437E-2</v>
      </c>
      <c r="N207" s="25">
        <f t="shared" si="113"/>
        <v>7.8310859239517153E-3</v>
      </c>
      <c r="O207" s="26">
        <f t="shared" si="114"/>
        <v>3.6299986667089806E-2</v>
      </c>
      <c r="P207" s="27">
        <f t="shared" si="115"/>
        <v>52.297682146495909</v>
      </c>
      <c r="Q207" s="27">
        <f t="shared" si="116"/>
        <v>1.898405164637502</v>
      </c>
      <c r="R207" s="28">
        <v>52.296100000000003</v>
      </c>
      <c r="S207" s="28">
        <v>52.769300000000001</v>
      </c>
      <c r="T207" s="20">
        <v>1552</v>
      </c>
      <c r="U207" s="20">
        <v>36331753.530000001</v>
      </c>
      <c r="V207" s="20">
        <v>36344888.859999999</v>
      </c>
    </row>
    <row r="208" spans="1:22" ht="15" customHeight="1">
      <c r="A208" s="177" t="s">
        <v>61</v>
      </c>
      <c r="B208" s="177"/>
      <c r="C208" s="177"/>
      <c r="D208" s="177"/>
      <c r="E208" s="177"/>
      <c r="F208" s="177"/>
      <c r="G208" s="177"/>
      <c r="H208" s="177"/>
      <c r="I208" s="40">
        <f>SUM(I205:I207)</f>
        <v>21330555658.939999</v>
      </c>
      <c r="J208" s="38">
        <f>(I208/$I$247)</f>
        <v>2.3557575168007211E-3</v>
      </c>
      <c r="K208" s="40">
        <f>SUM(K205:K207)</f>
        <v>18413579392.370003</v>
      </c>
      <c r="L208" s="38">
        <f>(K208/$K$247)</f>
        <v>2.0030340235444779E-3</v>
      </c>
      <c r="M208" s="38">
        <f t="shared" ref="M208" si="117">((K208-I208)/I208)</f>
        <v>-0.13675106796139375</v>
      </c>
      <c r="N208" s="25"/>
      <c r="O208" s="64"/>
      <c r="P208" s="39"/>
      <c r="Q208" s="39"/>
      <c r="R208" s="40"/>
      <c r="S208" s="40"/>
      <c r="T208" s="40">
        <f>SUM(T205:T207)</f>
        <v>18710</v>
      </c>
      <c r="U208" s="40"/>
      <c r="V208" s="62"/>
    </row>
    <row r="209" spans="1:22" ht="4.95" customHeight="1">
      <c r="A209" s="184"/>
      <c r="B209" s="184"/>
      <c r="C209" s="184"/>
      <c r="D209" s="184"/>
      <c r="E209" s="184"/>
      <c r="F209" s="184"/>
      <c r="G209" s="184"/>
      <c r="H209" s="184"/>
      <c r="I209" s="184"/>
      <c r="J209" s="184"/>
      <c r="K209" s="184"/>
      <c r="L209" s="184"/>
      <c r="M209" s="184"/>
      <c r="N209" s="184"/>
      <c r="O209" s="184"/>
      <c r="P209" s="184"/>
      <c r="Q209" s="184"/>
      <c r="R209" s="184"/>
      <c r="S209" s="184"/>
      <c r="T209" s="184"/>
      <c r="U209" s="184"/>
      <c r="V209" s="184"/>
    </row>
    <row r="210" spans="1:22">
      <c r="A210" s="176" t="s">
        <v>277</v>
      </c>
      <c r="B210" s="176"/>
      <c r="C210" s="176"/>
      <c r="D210" s="176"/>
      <c r="E210" s="176"/>
      <c r="F210" s="176"/>
      <c r="G210" s="176"/>
      <c r="H210" s="176"/>
      <c r="I210" s="176"/>
      <c r="J210" s="176"/>
      <c r="K210" s="176"/>
      <c r="L210" s="176"/>
      <c r="M210" s="176"/>
      <c r="N210" s="176"/>
      <c r="O210" s="176"/>
      <c r="P210" s="176"/>
      <c r="Q210" s="176"/>
      <c r="R210" s="176"/>
      <c r="S210" s="176"/>
      <c r="T210" s="176"/>
      <c r="U210" s="176"/>
      <c r="V210" s="176"/>
    </row>
    <row r="211" spans="1:22" ht="13.05" customHeight="1">
      <c r="A211" s="189" t="s">
        <v>278</v>
      </c>
      <c r="B211" s="189"/>
      <c r="C211" s="189"/>
      <c r="D211" s="189"/>
      <c r="E211" s="189"/>
      <c r="F211" s="189"/>
      <c r="G211" s="189"/>
      <c r="H211" s="189"/>
      <c r="I211" s="189"/>
      <c r="J211" s="189"/>
      <c r="K211" s="189"/>
      <c r="L211" s="189"/>
      <c r="M211" s="189"/>
      <c r="N211" s="189"/>
      <c r="O211" s="189"/>
      <c r="P211" s="189"/>
      <c r="Q211" s="189"/>
      <c r="R211" s="189"/>
      <c r="S211" s="189"/>
      <c r="T211" s="189"/>
      <c r="U211" s="189"/>
      <c r="V211" s="189"/>
    </row>
    <row r="212" spans="1:22" ht="15" customHeight="1">
      <c r="A212" s="29">
        <v>183</v>
      </c>
      <c r="B212" s="30" t="s">
        <v>279</v>
      </c>
      <c r="C212" s="19" t="s">
        <v>280</v>
      </c>
      <c r="D212" s="65">
        <v>12336198704.33</v>
      </c>
      <c r="E212" s="24">
        <v>135264152.63999999</v>
      </c>
      <c r="F212" s="24">
        <v>1393467436.78</v>
      </c>
      <c r="G212" s="35">
        <v>103509128.28</v>
      </c>
      <c r="H212" s="21">
        <f>(E212+F212)-G212</f>
        <v>1425222461.1400001</v>
      </c>
      <c r="I212" s="118">
        <v>17490743715.630001</v>
      </c>
      <c r="J212" s="23">
        <f>(I212/$I$236)</f>
        <v>0.12150252684581465</v>
      </c>
      <c r="K212" s="24">
        <v>16816035411.309999</v>
      </c>
      <c r="L212" s="23">
        <f>(K212/$K$236)</f>
        <v>0.12366301185985751</v>
      </c>
      <c r="M212" s="23">
        <f>((K212-I212)/I212)</f>
        <v>-3.8575163828915508E-2</v>
      </c>
      <c r="N212" s="25">
        <f>(G212/K212)</f>
        <v>6.1553823923552534E-3</v>
      </c>
      <c r="O212" s="26">
        <f>H212/K212</f>
        <v>8.475377378079467E-2</v>
      </c>
      <c r="P212" s="27">
        <f>K212/V212</f>
        <v>3.7471874073678326</v>
      </c>
      <c r="Q212" s="27">
        <f>H212/V212</f>
        <v>0.31758827383829574</v>
      </c>
      <c r="R212" s="22">
        <v>3.71</v>
      </c>
      <c r="S212" s="22">
        <v>3.78</v>
      </c>
      <c r="T212" s="22">
        <v>34</v>
      </c>
      <c r="U212" s="20">
        <v>4319490774.9099998</v>
      </c>
      <c r="V212" s="20">
        <v>4487641952</v>
      </c>
    </row>
    <row r="213" spans="1:22">
      <c r="A213" s="29">
        <v>184</v>
      </c>
      <c r="B213" s="19" t="s">
        <v>281</v>
      </c>
      <c r="C213" s="19" t="s">
        <v>53</v>
      </c>
      <c r="D213" s="35">
        <v>29730926248.060001</v>
      </c>
      <c r="E213" s="35">
        <v>1001933970.09</v>
      </c>
      <c r="F213" s="35">
        <v>4923458422.54</v>
      </c>
      <c r="G213" s="35">
        <v>104315196.34999999</v>
      </c>
      <c r="H213" s="21">
        <f>(E213+F213)-G213</f>
        <v>5821077196.2799997</v>
      </c>
      <c r="I213" s="126">
        <v>42483217673.209999</v>
      </c>
      <c r="J213" s="23">
        <f>(I213/$I$236)</f>
        <v>0.29511714194423327</v>
      </c>
      <c r="K213" s="35">
        <v>29673081858.439999</v>
      </c>
      <c r="L213" s="23">
        <f>(K213/$K$236)</f>
        <v>0.2182121162346512</v>
      </c>
      <c r="M213" s="23">
        <f>((K213-I213)/I213)</f>
        <v>-0.30153402958571324</v>
      </c>
      <c r="N213" s="25">
        <f>(G213/K213)</f>
        <v>3.5154823771811664E-3</v>
      </c>
      <c r="O213" s="26">
        <f>H213/K213</f>
        <v>0.19617366420011051</v>
      </c>
      <c r="P213" s="27">
        <f>K213/V213</f>
        <v>1429.5171691362455</v>
      </c>
      <c r="Q213" s="27">
        <f>H213/V213</f>
        <v>280.43362110642641</v>
      </c>
      <c r="R213" s="35">
        <v>1417.18</v>
      </c>
      <c r="S213" s="35">
        <v>1437.97</v>
      </c>
      <c r="T213" s="34">
        <v>10158</v>
      </c>
      <c r="U213" s="35">
        <v>26604806.030000001</v>
      </c>
      <c r="V213" s="35">
        <v>20757415.510000002</v>
      </c>
    </row>
    <row r="214" spans="1:22" ht="7.05" customHeight="1">
      <c r="A214" s="184"/>
      <c r="B214" s="184"/>
      <c r="C214" s="184"/>
      <c r="D214" s="184"/>
      <c r="E214" s="184"/>
      <c r="F214" s="184"/>
      <c r="G214" s="184"/>
      <c r="H214" s="184"/>
      <c r="I214" s="184"/>
      <c r="J214" s="184"/>
      <c r="K214" s="184"/>
      <c r="L214" s="184"/>
      <c r="M214" s="184"/>
      <c r="N214" s="184"/>
      <c r="O214" s="184"/>
      <c r="P214" s="184"/>
      <c r="Q214" s="184"/>
      <c r="R214" s="184"/>
      <c r="S214" s="184"/>
      <c r="T214" s="184"/>
      <c r="U214" s="184"/>
      <c r="V214" s="184"/>
    </row>
    <row r="215" spans="1:22">
      <c r="A215" s="190" t="s">
        <v>206</v>
      </c>
      <c r="B215" s="190"/>
      <c r="C215" s="190"/>
      <c r="D215" s="190"/>
      <c r="E215" s="190"/>
      <c r="F215" s="190"/>
      <c r="G215" s="190"/>
      <c r="H215" s="190"/>
      <c r="I215" s="190"/>
      <c r="J215" s="190"/>
      <c r="K215" s="190"/>
      <c r="L215" s="190"/>
      <c r="M215" s="190"/>
      <c r="N215" s="190"/>
      <c r="O215" s="190"/>
      <c r="P215" s="190"/>
      <c r="Q215" s="190"/>
      <c r="R215" s="190"/>
      <c r="S215" s="190"/>
      <c r="T215" s="190"/>
      <c r="U215" s="190"/>
      <c r="V215" s="190"/>
    </row>
    <row r="216" spans="1:22">
      <c r="A216" s="66">
        <v>185</v>
      </c>
      <c r="B216" s="67" t="s">
        <v>282</v>
      </c>
      <c r="C216" s="68" t="s">
        <v>72</v>
      </c>
      <c r="D216" s="69">
        <v>867586095</v>
      </c>
      <c r="E216" s="69">
        <v>19834095</v>
      </c>
      <c r="F216" s="28">
        <v>0</v>
      </c>
      <c r="G216" s="69">
        <v>3662195</v>
      </c>
      <c r="H216" s="70">
        <f>(E216+F216)-G216</f>
        <v>16171900</v>
      </c>
      <c r="I216" s="128">
        <v>1492193185</v>
      </c>
      <c r="J216" s="23">
        <f t="shared" ref="J216:J229" si="118">(I216/$I$236)</f>
        <v>1.0365782351358049E-2</v>
      </c>
      <c r="K216" s="69">
        <v>1551214684</v>
      </c>
      <c r="L216" s="23">
        <f t="shared" ref="L216" si="119">(K216/$K$236)</f>
        <v>1.1407437911058334E-2</v>
      </c>
      <c r="M216" s="23">
        <f t="shared" ref="M216:M236" si="120">((K216-I216)/I216)</f>
        <v>3.9553524029799128E-2</v>
      </c>
      <c r="N216" s="25">
        <f>(G216/K216)</f>
        <v>2.360856326189857E-3</v>
      </c>
      <c r="O216" s="26">
        <f>H216/K216</f>
        <v>1.0425313895494301E-2</v>
      </c>
      <c r="P216" s="27">
        <f>K216/V216</f>
        <v>1.2028640974536626</v>
      </c>
      <c r="Q216" s="27">
        <f>H216/V216</f>
        <v>1.254023578957488E-2</v>
      </c>
      <c r="R216" s="70">
        <v>1.2029000000000001</v>
      </c>
      <c r="S216" s="70">
        <v>1.2029000000000001</v>
      </c>
      <c r="T216" s="70">
        <v>910</v>
      </c>
      <c r="U216" s="69">
        <v>1268324646</v>
      </c>
      <c r="V216" s="69">
        <v>1289600951</v>
      </c>
    </row>
    <row r="217" spans="1:22">
      <c r="A217" s="66">
        <v>186</v>
      </c>
      <c r="B217" s="67" t="s">
        <v>283</v>
      </c>
      <c r="C217" s="68" t="s">
        <v>284</v>
      </c>
      <c r="D217" s="70">
        <v>240718860</v>
      </c>
      <c r="E217" s="70">
        <v>2567323</v>
      </c>
      <c r="F217" s="28">
        <v>0</v>
      </c>
      <c r="G217" s="70">
        <v>3069901</v>
      </c>
      <c r="H217" s="70">
        <f>(E217+F217)-G217</f>
        <v>-502578</v>
      </c>
      <c r="I217" s="128">
        <v>325044846</v>
      </c>
      <c r="J217" s="23">
        <f t="shared" si="118"/>
        <v>2.2579811796062418E-3</v>
      </c>
      <c r="K217" s="70">
        <v>296784448</v>
      </c>
      <c r="L217" s="23">
        <f t="shared" ref="L217:L229" si="121">(K217/$K$236)</f>
        <v>2.1825155463315099E-3</v>
      </c>
      <c r="M217" s="23">
        <f t="shared" ref="M217:M229" si="122">((K217-I217)/I217)</f>
        <v>-8.6943073695129436E-2</v>
      </c>
      <c r="N217" s="25">
        <f t="shared" ref="N217:N229" si="123">(G217/K217)</f>
        <v>1.0343874218099191E-2</v>
      </c>
      <c r="O217" s="26">
        <f t="shared" ref="O217:O229" si="124">H217/K217</f>
        <v>-1.6934108353278672E-3</v>
      </c>
      <c r="P217" s="27">
        <f t="shared" ref="P217:P229" si="125">K217/V217</f>
        <v>1143.5193884470748</v>
      </c>
      <c r="Q217" s="27">
        <f t="shared" ref="Q217:Q229" si="126">H217/V217</f>
        <v>-1.9364481228037729</v>
      </c>
      <c r="R217" s="70">
        <v>1143.52</v>
      </c>
      <c r="S217" s="70">
        <v>1143.52</v>
      </c>
      <c r="T217" s="70">
        <v>16</v>
      </c>
      <c r="U217" s="70">
        <v>283745</v>
      </c>
      <c r="V217" s="70">
        <v>259536</v>
      </c>
    </row>
    <row r="218" spans="1:22" ht="15" customHeight="1">
      <c r="A218" s="66">
        <v>187</v>
      </c>
      <c r="B218" s="67" t="s">
        <v>285</v>
      </c>
      <c r="C218" s="68" t="s">
        <v>83</v>
      </c>
      <c r="D218" s="69">
        <v>158590249.97</v>
      </c>
      <c r="E218" s="69">
        <v>4911426.9000000004</v>
      </c>
      <c r="F218" s="28">
        <v>0</v>
      </c>
      <c r="G218" s="69">
        <v>603014.26</v>
      </c>
      <c r="H218" s="70">
        <f t="shared" ref="H218:H229" si="127">(E218+F218)-G218</f>
        <v>4308412.6400000006</v>
      </c>
      <c r="I218" s="128">
        <v>367995889.92000002</v>
      </c>
      <c r="J218" s="23">
        <f t="shared" si="118"/>
        <v>2.5563481588377819E-3</v>
      </c>
      <c r="K218" s="69">
        <v>339787212.36000001</v>
      </c>
      <c r="L218" s="23">
        <f t="shared" si="121"/>
        <v>2.4987524731091915E-3</v>
      </c>
      <c r="M218" s="23">
        <f t="shared" si="122"/>
        <v>-7.665487124362283E-2</v>
      </c>
      <c r="N218" s="25">
        <f t="shared" si="123"/>
        <v>1.7746820305912939E-3</v>
      </c>
      <c r="O218" s="26">
        <f t="shared" si="124"/>
        <v>1.2679737445314143E-2</v>
      </c>
      <c r="P218" s="27">
        <f t="shared" si="125"/>
        <v>122.71860927640247</v>
      </c>
      <c r="Q218" s="27">
        <f t="shared" si="126"/>
        <v>1.5560397452788759</v>
      </c>
      <c r="R218" s="70">
        <v>126.51</v>
      </c>
      <c r="S218" s="70">
        <v>126.51</v>
      </c>
      <c r="T218" s="70">
        <v>89</v>
      </c>
      <c r="U218" s="69">
        <v>2907198</v>
      </c>
      <c r="V218" s="69">
        <v>2768832</v>
      </c>
    </row>
    <row r="219" spans="1:22" ht="15" customHeight="1">
      <c r="A219" s="66">
        <v>188</v>
      </c>
      <c r="B219" s="67" t="s">
        <v>286</v>
      </c>
      <c r="C219" s="68" t="s">
        <v>287</v>
      </c>
      <c r="D219" s="69">
        <v>48500000</v>
      </c>
      <c r="E219" s="69">
        <v>774763.15</v>
      </c>
      <c r="F219" s="28"/>
      <c r="G219" s="69">
        <v>110731.71</v>
      </c>
      <c r="H219" s="70">
        <f t="shared" ref="H219" si="128">(E219+F219)-G219</f>
        <v>664031.44000000006</v>
      </c>
      <c r="I219" s="129">
        <v>54531943.43</v>
      </c>
      <c r="J219" s="23">
        <f t="shared" si="118"/>
        <v>3.7881573409809504E-4</v>
      </c>
      <c r="K219" s="69">
        <v>53836387.920000002</v>
      </c>
      <c r="L219" s="23">
        <f t="shared" si="121"/>
        <v>3.959060334378906E-4</v>
      </c>
      <c r="M219" s="23">
        <f t="shared" si="122"/>
        <v>-1.2755010481019234E-2</v>
      </c>
      <c r="N219" s="25">
        <f t="shared" si="123"/>
        <v>2.0568190823750197E-3</v>
      </c>
      <c r="O219" s="26">
        <f t="shared" si="124"/>
        <v>1.2334249485436133E-2</v>
      </c>
      <c r="P219" s="27">
        <f t="shared" si="125"/>
        <v>105.61828888461645</v>
      </c>
      <c r="Q219" s="27">
        <f t="shared" si="126"/>
        <v>1.3027223253277251</v>
      </c>
      <c r="R219" s="70">
        <v>105.62</v>
      </c>
      <c r="S219" s="70">
        <v>105.62</v>
      </c>
      <c r="T219" s="70">
        <v>12</v>
      </c>
      <c r="U219" s="69">
        <v>511386</v>
      </c>
      <c r="V219" s="69">
        <v>509726</v>
      </c>
    </row>
    <row r="220" spans="1:22" ht="15" customHeight="1">
      <c r="A220" s="66">
        <v>189</v>
      </c>
      <c r="B220" s="67" t="s">
        <v>288</v>
      </c>
      <c r="C220" s="68" t="s">
        <v>193</v>
      </c>
      <c r="D220" s="69">
        <v>182626877.15000001</v>
      </c>
      <c r="E220" s="69">
        <v>1168782.01</v>
      </c>
      <c r="F220" s="28">
        <v>0</v>
      </c>
      <c r="G220" s="69">
        <v>367224.42</v>
      </c>
      <c r="H220" s="70">
        <f t="shared" si="127"/>
        <v>801557.59000000008</v>
      </c>
      <c r="I220" s="128">
        <v>242810958.09</v>
      </c>
      <c r="J220" s="23">
        <f t="shared" si="118"/>
        <v>1.6867290169842594E-3</v>
      </c>
      <c r="K220" s="69">
        <v>203747910.69999999</v>
      </c>
      <c r="L220" s="23">
        <f t="shared" si="121"/>
        <v>1.4983365389662001E-3</v>
      </c>
      <c r="M220" s="23">
        <f t="shared" si="122"/>
        <v>-0.16087843686000761</v>
      </c>
      <c r="N220" s="25">
        <f t="shared" si="123"/>
        <v>1.802346923403323E-3</v>
      </c>
      <c r="O220" s="26">
        <f t="shared" si="124"/>
        <v>3.9340653224180528E-3</v>
      </c>
      <c r="P220" s="27">
        <f t="shared" si="125"/>
        <v>94.211585762552915</v>
      </c>
      <c r="Q220" s="27">
        <f t="shared" si="126"/>
        <v>0.37063453251847378</v>
      </c>
      <c r="R220" s="70">
        <v>101.29</v>
      </c>
      <c r="S220" s="70">
        <v>101.86</v>
      </c>
      <c r="T220" s="70">
        <v>29</v>
      </c>
      <c r="U220" s="69">
        <v>2093600</v>
      </c>
      <c r="V220" s="69">
        <v>2162663</v>
      </c>
    </row>
    <row r="221" spans="1:22" ht="15" customHeight="1">
      <c r="A221" s="66">
        <v>190</v>
      </c>
      <c r="B221" s="19" t="s">
        <v>289</v>
      </c>
      <c r="C221" s="30" t="s">
        <v>92</v>
      </c>
      <c r="D221" s="50">
        <v>390723500.25999999</v>
      </c>
      <c r="E221" s="24">
        <v>5235762</v>
      </c>
      <c r="F221" s="22">
        <v>0</v>
      </c>
      <c r="G221" s="20">
        <v>817472</v>
      </c>
      <c r="H221" s="21">
        <f t="shared" si="127"/>
        <v>4418290</v>
      </c>
      <c r="I221" s="119">
        <v>334421437</v>
      </c>
      <c r="J221" s="23">
        <f t="shared" si="118"/>
        <v>2.3231173177958174E-3</v>
      </c>
      <c r="K221" s="35">
        <v>408441050</v>
      </c>
      <c r="L221" s="23">
        <f t="shared" si="121"/>
        <v>3.0036241703101829E-3</v>
      </c>
      <c r="M221" s="23">
        <f t="shared" si="122"/>
        <v>0.22133632838854167</v>
      </c>
      <c r="N221" s="25">
        <f t="shared" si="123"/>
        <v>2.0014442720681478E-3</v>
      </c>
      <c r="O221" s="26">
        <f t="shared" si="124"/>
        <v>1.0817448442070159E-2</v>
      </c>
      <c r="P221" s="27">
        <f t="shared" si="125"/>
        <v>1.4169837511441146</v>
      </c>
      <c r="Q221" s="27">
        <f t="shared" si="126"/>
        <v>1.5328148671252631E-2</v>
      </c>
      <c r="R221" s="28">
        <v>1.2323999999999999</v>
      </c>
      <c r="S221" s="28">
        <v>1.2064999999999999</v>
      </c>
      <c r="T221" s="28">
        <v>72</v>
      </c>
      <c r="U221" s="20">
        <v>273098763.16000003</v>
      </c>
      <c r="V221" s="20">
        <v>288246812.75999999</v>
      </c>
    </row>
    <row r="222" spans="1:22" ht="15" customHeight="1">
      <c r="A222" s="66">
        <v>191</v>
      </c>
      <c r="B222" s="68" t="s">
        <v>290</v>
      </c>
      <c r="C222" s="19" t="s">
        <v>323</v>
      </c>
      <c r="D222" s="69">
        <v>5984001244.4899998</v>
      </c>
      <c r="E222" s="69">
        <v>72399791.469999999</v>
      </c>
      <c r="F222" s="28">
        <v>0</v>
      </c>
      <c r="G222" s="69">
        <v>9312495.2400000002</v>
      </c>
      <c r="H222" s="70">
        <f t="shared" si="127"/>
        <v>63087296.229999997</v>
      </c>
      <c r="I222" s="128">
        <v>5707842120.1099997</v>
      </c>
      <c r="J222" s="23">
        <f t="shared" si="118"/>
        <v>3.9650528971538188E-2</v>
      </c>
      <c r="K222" s="69">
        <v>5910575973.4499998</v>
      </c>
      <c r="L222" s="23">
        <f t="shared" si="121"/>
        <v>4.3465633178420872E-2</v>
      </c>
      <c r="M222" s="23">
        <f t="shared" si="122"/>
        <v>3.5518475997386757E-2</v>
      </c>
      <c r="N222" s="25">
        <f t="shared" si="123"/>
        <v>1.5755647642177759E-3</v>
      </c>
      <c r="O222" s="26">
        <f t="shared" si="124"/>
        <v>1.06736291883202E-2</v>
      </c>
      <c r="P222" s="27">
        <f t="shared" si="125"/>
        <v>152.08385064335621</v>
      </c>
      <c r="Q222" s="27">
        <f t="shared" si="126"/>
        <v>1.6232866272990565</v>
      </c>
      <c r="R222" s="70">
        <v>152.08000000000001</v>
      </c>
      <c r="S222" s="70">
        <v>152.08000000000001</v>
      </c>
      <c r="T222" s="70">
        <v>1737</v>
      </c>
      <c r="U222" s="69">
        <v>37953575</v>
      </c>
      <c r="V222" s="69">
        <v>38863929</v>
      </c>
    </row>
    <row r="223" spans="1:22" ht="15" customHeight="1">
      <c r="A223" s="66">
        <v>192</v>
      </c>
      <c r="B223" s="68" t="s">
        <v>291</v>
      </c>
      <c r="C223" s="68" t="s">
        <v>81</v>
      </c>
      <c r="D223" s="69">
        <v>989736917.24000001</v>
      </c>
      <c r="E223" s="69">
        <v>11897881.060000001</v>
      </c>
      <c r="F223" s="28">
        <v>0</v>
      </c>
      <c r="G223" s="69">
        <v>1724802.54</v>
      </c>
      <c r="H223" s="70">
        <f t="shared" si="127"/>
        <v>10173078.52</v>
      </c>
      <c r="I223" s="128">
        <v>995150824.54999995</v>
      </c>
      <c r="J223" s="23">
        <f t="shared" si="118"/>
        <v>6.9129901930625693E-3</v>
      </c>
      <c r="K223" s="69">
        <v>1007997040.52</v>
      </c>
      <c r="L223" s="23">
        <f t="shared" si="121"/>
        <v>7.4126836039301262E-3</v>
      </c>
      <c r="M223" s="23">
        <f t="shared" si="122"/>
        <v>1.2908813069424924E-2</v>
      </c>
      <c r="N223" s="25">
        <f t="shared" si="123"/>
        <v>1.7111186547831712E-3</v>
      </c>
      <c r="O223" s="26">
        <f t="shared" si="124"/>
        <v>1.0092369432703857E-2</v>
      </c>
      <c r="P223" s="27">
        <f t="shared" si="125"/>
        <v>1406.8454881209204</v>
      </c>
      <c r="Q223" s="27">
        <f t="shared" si="126"/>
        <v>14.198404400848917</v>
      </c>
      <c r="R223" s="69">
        <v>1406.85</v>
      </c>
      <c r="S223" s="69">
        <v>1406.85</v>
      </c>
      <c r="T223" s="70">
        <v>336</v>
      </c>
      <c r="U223" s="69">
        <v>714664.31</v>
      </c>
      <c r="V223" s="69">
        <v>716494.49</v>
      </c>
    </row>
    <row r="224" spans="1:22" ht="15" customHeight="1">
      <c r="A224" s="66">
        <v>193</v>
      </c>
      <c r="B224" s="67" t="s">
        <v>292</v>
      </c>
      <c r="C224" s="68" t="s">
        <v>280</v>
      </c>
      <c r="D224" s="69">
        <v>29936864865.240002</v>
      </c>
      <c r="E224" s="69">
        <v>700153765.14999998</v>
      </c>
      <c r="F224" s="28">
        <v>0</v>
      </c>
      <c r="G224" s="69">
        <v>78129867.489999995</v>
      </c>
      <c r="H224" s="70">
        <f t="shared" si="127"/>
        <v>622023897.65999997</v>
      </c>
      <c r="I224" s="128">
        <v>45681347066.419998</v>
      </c>
      <c r="J224" s="23">
        <f t="shared" si="118"/>
        <v>0.31733351014289629</v>
      </c>
      <c r="K224" s="69">
        <v>48314120528.470001</v>
      </c>
      <c r="L224" s="23">
        <f t="shared" si="121"/>
        <v>0.35529597278870939</v>
      </c>
      <c r="M224" s="23">
        <f t="shared" si="122"/>
        <v>5.7633446277798893E-2</v>
      </c>
      <c r="N224" s="25">
        <f t="shared" si="123"/>
        <v>1.6171228335608533E-3</v>
      </c>
      <c r="O224" s="26">
        <f t="shared" si="124"/>
        <v>1.2874577677419601E-2</v>
      </c>
      <c r="P224" s="27">
        <f t="shared" si="125"/>
        <v>1319.6587440507633</v>
      </c>
      <c r="Q224" s="27">
        <f t="shared" si="126"/>
        <v>16.990049007967546</v>
      </c>
      <c r="R224" s="69">
        <v>1319.66</v>
      </c>
      <c r="S224" s="69">
        <v>1319.66</v>
      </c>
      <c r="T224" s="70">
        <v>13810</v>
      </c>
      <c r="U224" s="69">
        <v>35033647.329999998</v>
      </c>
      <c r="V224" s="69">
        <v>36611071.420000002</v>
      </c>
    </row>
    <row r="225" spans="1:24" ht="15" customHeight="1">
      <c r="A225" s="66">
        <v>194</v>
      </c>
      <c r="B225" s="71" t="s">
        <v>293</v>
      </c>
      <c r="C225" s="71" t="s">
        <v>294</v>
      </c>
      <c r="D225" s="69">
        <v>571151378.30999994</v>
      </c>
      <c r="E225" s="69">
        <v>442071</v>
      </c>
      <c r="F225" s="28">
        <v>124824521.61</v>
      </c>
      <c r="G225" s="69">
        <v>1100194.51</v>
      </c>
      <c r="H225" s="70">
        <f t="shared" si="127"/>
        <v>124166398.09999999</v>
      </c>
      <c r="I225" s="129">
        <v>576150317.52999997</v>
      </c>
      <c r="J225" s="23">
        <f t="shared" si="118"/>
        <v>4.0023294927337503E-3</v>
      </c>
      <c r="K225" s="69">
        <v>595615269.84000003</v>
      </c>
      <c r="L225" s="23">
        <f t="shared" si="121"/>
        <v>4.3800798688017418E-3</v>
      </c>
      <c r="M225" s="23">
        <f t="shared" si="122"/>
        <v>3.3784503310607873E-2</v>
      </c>
      <c r="N225" s="25">
        <f t="shared" si="123"/>
        <v>1.8471563200445566E-3</v>
      </c>
      <c r="O225" s="26">
        <f t="shared" si="124"/>
        <v>0.20846745271214215</v>
      </c>
      <c r="P225" s="27">
        <f t="shared" si="125"/>
        <v>142.35030344286702</v>
      </c>
      <c r="Q225" s="27">
        <f t="shared" si="126"/>
        <v>29.675405151534964</v>
      </c>
      <c r="R225" s="70">
        <v>142.05000000000001</v>
      </c>
      <c r="S225" s="70">
        <v>142.5</v>
      </c>
      <c r="T225" s="70">
        <v>144</v>
      </c>
      <c r="U225" s="69">
        <v>4055232.4</v>
      </c>
      <c r="V225" s="69">
        <v>4184151.74</v>
      </c>
    </row>
    <row r="226" spans="1:24" ht="15" customHeight="1">
      <c r="A226" s="66">
        <v>195</v>
      </c>
      <c r="B226" s="71" t="s">
        <v>295</v>
      </c>
      <c r="C226" s="127" t="s">
        <v>294</v>
      </c>
      <c r="D226" s="69">
        <v>1026038256.52</v>
      </c>
      <c r="E226" s="70"/>
      <c r="F226" s="28">
        <v>52962826.5</v>
      </c>
      <c r="G226" s="70">
        <v>1830429.65</v>
      </c>
      <c r="H226" s="70">
        <f t="shared" si="127"/>
        <v>51132396.850000001</v>
      </c>
      <c r="I226" s="128">
        <v>1003801508.39</v>
      </c>
      <c r="J226" s="23">
        <f t="shared" si="118"/>
        <v>6.9730836895194976E-3</v>
      </c>
      <c r="K226" s="70">
        <v>954257670.78999996</v>
      </c>
      <c r="L226" s="23">
        <f t="shared" si="121"/>
        <v>7.0174910300733516E-3</v>
      </c>
      <c r="M226" s="23">
        <f t="shared" si="122"/>
        <v>-4.9356209555277038E-2</v>
      </c>
      <c r="N226" s="25">
        <f t="shared" si="123"/>
        <v>1.9181712717956407E-3</v>
      </c>
      <c r="O226" s="26">
        <f t="shared" si="124"/>
        <v>5.358342763718011E-2</v>
      </c>
      <c r="P226" s="27">
        <f t="shared" si="125"/>
        <v>142.37130494883766</v>
      </c>
      <c r="Q226" s="27">
        <f t="shared" si="126"/>
        <v>7.6287425163369447</v>
      </c>
      <c r="R226" s="70">
        <v>141.47999999999999</v>
      </c>
      <c r="S226" s="70">
        <v>141.47999999999999</v>
      </c>
      <c r="T226" s="70">
        <v>134</v>
      </c>
      <c r="U226" s="70">
        <v>5844304.8600000003</v>
      </c>
      <c r="V226" s="70">
        <v>6702598.3300000001</v>
      </c>
    </row>
    <row r="227" spans="1:24" ht="13.95" customHeight="1">
      <c r="A227" s="66">
        <v>196</v>
      </c>
      <c r="B227" s="68" t="s">
        <v>296</v>
      </c>
      <c r="C227" s="68" t="s">
        <v>203</v>
      </c>
      <c r="D227" s="69">
        <v>2828125701.3800001</v>
      </c>
      <c r="E227" s="69">
        <v>60823502.609999999</v>
      </c>
      <c r="F227" s="28">
        <v>0</v>
      </c>
      <c r="G227" s="69">
        <v>8097697.4800000004</v>
      </c>
      <c r="H227" s="70">
        <f t="shared" si="127"/>
        <v>52725805.129999995</v>
      </c>
      <c r="I227" s="128">
        <v>3369921531</v>
      </c>
      <c r="J227" s="23">
        <f t="shared" si="118"/>
        <v>2.3409752492269488E-2</v>
      </c>
      <c r="K227" s="69">
        <v>4031546474</v>
      </c>
      <c r="L227" s="23">
        <f t="shared" si="121"/>
        <v>2.9647486297068312E-2</v>
      </c>
      <c r="M227" s="23">
        <f t="shared" si="122"/>
        <v>0.1963324477776987</v>
      </c>
      <c r="N227" s="25">
        <f t="shared" si="123"/>
        <v>2.0085834386936053E-3</v>
      </c>
      <c r="O227" s="26">
        <f t="shared" si="124"/>
        <v>1.3078307659364959E-2</v>
      </c>
      <c r="P227" s="27">
        <f t="shared" si="125"/>
        <v>109.46021501686154</v>
      </c>
      <c r="Q227" s="27">
        <f t="shared" si="126"/>
        <v>1.4315543684507557</v>
      </c>
      <c r="R227" s="70">
        <v>109.46</v>
      </c>
      <c r="S227" s="70">
        <v>109.46</v>
      </c>
      <c r="T227" s="70">
        <v>1003</v>
      </c>
      <c r="U227" s="70">
        <v>31243469</v>
      </c>
      <c r="V227" s="70">
        <v>36831158</v>
      </c>
    </row>
    <row r="228" spans="1:24">
      <c r="A228" s="66">
        <v>197</v>
      </c>
      <c r="B228" s="67" t="s">
        <v>297</v>
      </c>
      <c r="C228" s="67" t="s">
        <v>53</v>
      </c>
      <c r="D228" s="69">
        <v>2330975190.5900002</v>
      </c>
      <c r="E228" s="69">
        <v>31386857.449999999</v>
      </c>
      <c r="F228" s="28">
        <v>0</v>
      </c>
      <c r="G228" s="69">
        <v>4348789.5599999996</v>
      </c>
      <c r="H228" s="70">
        <f t="shared" si="127"/>
        <v>27038067.890000001</v>
      </c>
      <c r="I228" s="128">
        <v>2579660041.1300001</v>
      </c>
      <c r="J228" s="23">
        <f t="shared" si="118"/>
        <v>1.7920062090920844E-2</v>
      </c>
      <c r="K228" s="69">
        <v>2313017156.5300002</v>
      </c>
      <c r="L228" s="23">
        <f t="shared" si="121"/>
        <v>1.7009637590775072E-2</v>
      </c>
      <c r="M228" s="23">
        <f t="shared" si="122"/>
        <v>-0.10336357517992915</v>
      </c>
      <c r="N228" s="25">
        <f t="shared" si="123"/>
        <v>1.8801371826070133E-3</v>
      </c>
      <c r="O228" s="26">
        <f t="shared" si="124"/>
        <v>1.168952327641298E-2</v>
      </c>
      <c r="P228" s="27">
        <f t="shared" si="125"/>
        <v>152.00616052214778</v>
      </c>
      <c r="Q228" s="27">
        <f t="shared" si="126"/>
        <v>1.7768795515818141</v>
      </c>
      <c r="R228" s="70">
        <v>152.01</v>
      </c>
      <c r="S228" s="70">
        <v>152.01</v>
      </c>
      <c r="T228" s="70">
        <v>3418</v>
      </c>
      <c r="U228" s="69">
        <v>16784303.5</v>
      </c>
      <c r="V228" s="69">
        <v>15216601.41</v>
      </c>
    </row>
    <row r="229" spans="1:24" ht="15" customHeight="1">
      <c r="A229" s="66">
        <v>198</v>
      </c>
      <c r="B229" s="68" t="s">
        <v>298</v>
      </c>
      <c r="C229" s="68" t="s">
        <v>56</v>
      </c>
      <c r="D229" s="70">
        <v>2427121940</v>
      </c>
      <c r="E229" s="70">
        <v>43229211</v>
      </c>
      <c r="F229" s="28">
        <v>0</v>
      </c>
      <c r="G229" s="70">
        <v>6601666</v>
      </c>
      <c r="H229" s="70">
        <f t="shared" si="127"/>
        <v>36627545</v>
      </c>
      <c r="I229" s="128">
        <v>4099349191.3600001</v>
      </c>
      <c r="J229" s="23">
        <f t="shared" si="118"/>
        <v>2.8476849999722643E-2</v>
      </c>
      <c r="K229" s="70">
        <v>4020371098</v>
      </c>
      <c r="L229" s="23">
        <f t="shared" si="121"/>
        <v>2.9565303985897816E-2</v>
      </c>
      <c r="M229" s="23">
        <f t="shared" si="122"/>
        <v>-1.9266007766905645E-2</v>
      </c>
      <c r="N229" s="25">
        <f t="shared" si="123"/>
        <v>1.6420538898222873E-3</v>
      </c>
      <c r="O229" s="26">
        <f t="shared" si="124"/>
        <v>9.1104885860464422E-3</v>
      </c>
      <c r="P229" s="27">
        <f t="shared" si="125"/>
        <v>1.2666031742868882</v>
      </c>
      <c r="Q229" s="27">
        <f t="shared" si="126"/>
        <v>1.1539373762390885E-2</v>
      </c>
      <c r="R229" s="70">
        <v>1.27</v>
      </c>
      <c r="S229" s="70">
        <v>1.27</v>
      </c>
      <c r="T229" s="70">
        <v>222</v>
      </c>
      <c r="U229" s="70">
        <v>3285091211</v>
      </c>
      <c r="V229" s="70">
        <v>3174136288</v>
      </c>
    </row>
    <row r="230" spans="1:24" ht="4.95" customHeight="1">
      <c r="A230" s="29"/>
      <c r="B230" s="19"/>
      <c r="C230" s="19"/>
      <c r="D230" s="72"/>
      <c r="E230" s="72"/>
      <c r="F230" s="72"/>
      <c r="G230" s="73"/>
      <c r="H230" s="21"/>
      <c r="I230" s="74"/>
      <c r="J230" s="23"/>
      <c r="K230" s="75"/>
      <c r="L230" s="23"/>
      <c r="M230" s="23"/>
      <c r="N230" s="25"/>
      <c r="O230" s="26"/>
      <c r="P230" s="27"/>
      <c r="Q230" s="27"/>
      <c r="R230" s="21"/>
      <c r="S230" s="21"/>
      <c r="T230" s="76"/>
      <c r="U230" s="73"/>
      <c r="V230" s="76"/>
    </row>
    <row r="231" spans="1:24" ht="15" customHeight="1">
      <c r="A231" s="189" t="s">
        <v>299</v>
      </c>
      <c r="B231" s="192"/>
      <c r="C231" s="192"/>
      <c r="D231" s="189"/>
      <c r="E231" s="189"/>
      <c r="F231" s="189"/>
      <c r="G231" s="189"/>
      <c r="H231" s="189"/>
      <c r="I231" s="189"/>
      <c r="J231" s="189"/>
      <c r="K231" s="189"/>
      <c r="L231" s="189"/>
      <c r="M231" s="189"/>
      <c r="N231" s="189"/>
      <c r="O231" s="189"/>
      <c r="P231" s="189"/>
      <c r="Q231" s="189"/>
      <c r="R231" s="189"/>
      <c r="S231" s="189"/>
      <c r="T231" s="189"/>
      <c r="U231" s="189"/>
      <c r="V231" s="189"/>
    </row>
    <row r="232" spans="1:24" ht="15" customHeight="1">
      <c r="A232" s="77">
        <v>199</v>
      </c>
      <c r="B232" s="78" t="s">
        <v>300</v>
      </c>
      <c r="C232" s="78" t="s">
        <v>301</v>
      </c>
      <c r="D232" s="79">
        <v>643726364.96000004</v>
      </c>
      <c r="E232" s="50">
        <v>7420468.8799999999</v>
      </c>
      <c r="F232" s="50">
        <v>21781716.77</v>
      </c>
      <c r="G232" s="50">
        <v>1625069.15</v>
      </c>
      <c r="H232" s="80">
        <f>(E232+F232)-G232</f>
        <v>27577116.5</v>
      </c>
      <c r="I232" s="130">
        <v>670398065.79999995</v>
      </c>
      <c r="J232" s="82">
        <f t="shared" ref="J232:J235" si="129">(I232/$I$236)</f>
        <v>4.6570380488999566E-3</v>
      </c>
      <c r="K232" s="83">
        <v>645475929.45000005</v>
      </c>
      <c r="L232" s="23">
        <f t="shared" ref="L232" si="130">(K232/$K$236)</f>
        <v>4.746748895708329E-3</v>
      </c>
      <c r="M232" s="23">
        <f>((K232-I232)/I232)</f>
        <v>-3.7175131644002879E-2</v>
      </c>
      <c r="N232" s="25">
        <f t="shared" ref="N232" si="131">(G232/K232)</f>
        <v>2.5176293582081302E-3</v>
      </c>
      <c r="O232" s="26">
        <f t="shared" ref="O232" si="132">H232/K232</f>
        <v>4.272369462870293E-2</v>
      </c>
      <c r="P232" s="27">
        <f t="shared" ref="P232" si="133">K232/V232</f>
        <v>116.59252624874711</v>
      </c>
      <c r="Q232" s="27">
        <f t="shared" ref="Q232" si="134">H232/V232</f>
        <v>4.9812634874405024</v>
      </c>
      <c r="R232" s="81">
        <v>116.59</v>
      </c>
      <c r="S232" s="81">
        <v>116.59</v>
      </c>
      <c r="T232" s="81">
        <v>108</v>
      </c>
      <c r="U232" s="83">
        <v>5558509</v>
      </c>
      <c r="V232" s="83">
        <v>5536169</v>
      </c>
    </row>
    <row r="233" spans="1:24" ht="15" customHeight="1">
      <c r="A233" s="168">
        <v>200</v>
      </c>
      <c r="B233" s="169" t="s">
        <v>302</v>
      </c>
      <c r="C233" s="84" t="s">
        <v>72</v>
      </c>
      <c r="D233" s="50">
        <v>10012846650</v>
      </c>
      <c r="E233" s="50">
        <v>183687325</v>
      </c>
      <c r="F233" s="50">
        <v>-1676459739</v>
      </c>
      <c r="G233" s="50">
        <v>114586733</v>
      </c>
      <c r="H233" s="80">
        <f>(E233+F233)-G233</f>
        <v>-1607359147</v>
      </c>
      <c r="I233" s="130">
        <v>15850049353</v>
      </c>
      <c r="J233" s="82">
        <f t="shared" si="129"/>
        <v>0.1101051549511543</v>
      </c>
      <c r="K233" s="81">
        <v>18317751214</v>
      </c>
      <c r="L233" s="23">
        <f t="shared" ref="L233:L235" si="135">(K233/$K$236)</f>
        <v>0.1347064412161782</v>
      </c>
      <c r="M233" s="23">
        <f t="shared" ref="M233:M235" si="136">((K233-I233)/I233)</f>
        <v>0.15569048436640537</v>
      </c>
      <c r="N233" s="25">
        <f t="shared" ref="N233:N235" si="137">(G233/K233)</f>
        <v>6.2555021990048087E-3</v>
      </c>
      <c r="O233" s="26">
        <f t="shared" ref="O233:O235" si="138">H233/K233</f>
        <v>-8.774871588885419E-2</v>
      </c>
      <c r="P233" s="27">
        <f t="shared" ref="P233:P235" si="139">K233/V233</f>
        <v>143.03551243324461</v>
      </c>
      <c r="Q233" s="27">
        <f t="shared" ref="Q233:Q235" si="140">H233/V233</f>
        <v>-12.551182542521452</v>
      </c>
      <c r="R233" s="81">
        <v>142.3203</v>
      </c>
      <c r="S233" s="81">
        <v>146.6114</v>
      </c>
      <c r="T233" s="81">
        <v>7607</v>
      </c>
      <c r="U233" s="83">
        <v>132158036</v>
      </c>
      <c r="V233" s="83">
        <v>128064359</v>
      </c>
    </row>
    <row r="234" spans="1:24" ht="15" customHeight="1">
      <c r="A234" s="85">
        <v>201</v>
      </c>
      <c r="B234" s="28" t="s">
        <v>303</v>
      </c>
      <c r="C234" s="46" t="s">
        <v>280</v>
      </c>
      <c r="D234" s="80"/>
      <c r="E234" s="80">
        <v>2670722.33</v>
      </c>
      <c r="F234" s="80">
        <v>15868930.390000001</v>
      </c>
      <c r="G234" s="28">
        <v>804006.09</v>
      </c>
      <c r="H234" s="21">
        <f>(E234+F234)-G234</f>
        <v>17735646.629999999</v>
      </c>
      <c r="I234" s="119">
        <v>425115641.63</v>
      </c>
      <c r="J234" s="82">
        <f t="shared" si="129"/>
        <v>2.953140558200919E-3</v>
      </c>
      <c r="K234" s="34">
        <v>346979424.66000003</v>
      </c>
      <c r="L234" s="23">
        <f t="shared" si="135"/>
        <v>2.5516430988244136E-3</v>
      </c>
      <c r="M234" s="23">
        <f t="shared" si="136"/>
        <v>-0.18379991070289983</v>
      </c>
      <c r="N234" s="25">
        <f t="shared" si="137"/>
        <v>2.317157827983125E-3</v>
      </c>
      <c r="O234" s="26">
        <f t="shared" si="138"/>
        <v>5.1114404398413235E-2</v>
      </c>
      <c r="P234" s="27">
        <f t="shared" si="139"/>
        <v>1482.6732716912045</v>
      </c>
      <c r="Q234" s="27">
        <f t="shared" si="140"/>
        <v>75.785961199942648</v>
      </c>
      <c r="R234" s="21">
        <v>1482.67</v>
      </c>
      <c r="S234" s="21">
        <v>1482.67</v>
      </c>
      <c r="T234" s="28">
        <v>276</v>
      </c>
      <c r="U234" s="28">
        <v>230318.74</v>
      </c>
      <c r="V234" s="28">
        <v>234022.85</v>
      </c>
      <c r="X234" s="86"/>
    </row>
    <row r="235" spans="1:24" ht="15" customHeight="1">
      <c r="A235" s="85">
        <v>202</v>
      </c>
      <c r="B235" s="28" t="s">
        <v>304</v>
      </c>
      <c r="C235" s="28" t="s">
        <v>305</v>
      </c>
      <c r="D235" s="34">
        <v>99421958.200000003</v>
      </c>
      <c r="E235" s="35">
        <v>11939024.960000001</v>
      </c>
      <c r="F235" s="34">
        <v>0</v>
      </c>
      <c r="G235" s="35">
        <v>287796.40999999997</v>
      </c>
      <c r="H235" s="34">
        <f>(E235+F235)-G235</f>
        <v>11651228.550000001</v>
      </c>
      <c r="I235" s="126">
        <v>203999272.80000001</v>
      </c>
      <c r="J235" s="82">
        <f t="shared" si="129"/>
        <v>1.4171168203533353E-3</v>
      </c>
      <c r="K235" s="35">
        <v>182105052.38999999</v>
      </c>
      <c r="L235" s="23">
        <f t="shared" si="135"/>
        <v>1.3391776778906186E-3</v>
      </c>
      <c r="M235" s="23">
        <f t="shared" si="136"/>
        <v>-0.10732499243497315</v>
      </c>
      <c r="N235" s="25">
        <f t="shared" si="137"/>
        <v>1.580386739537842E-3</v>
      </c>
      <c r="O235" s="26">
        <f t="shared" si="138"/>
        <v>6.3980808863268041E-2</v>
      </c>
      <c r="P235" s="27">
        <f t="shared" si="139"/>
        <v>136.97792138138271</v>
      </c>
      <c r="Q235" s="27">
        <f t="shared" si="140"/>
        <v>8.7639582063900043</v>
      </c>
      <c r="R235" s="34">
        <v>135.58000000000001</v>
      </c>
      <c r="S235" s="34">
        <v>135.58000000000001</v>
      </c>
      <c r="T235" s="34">
        <v>342</v>
      </c>
      <c r="U235" s="34">
        <v>1558245.7</v>
      </c>
      <c r="V235" s="35">
        <v>1329448.21</v>
      </c>
    </row>
    <row r="236" spans="1:24" ht="15" customHeight="1">
      <c r="A236" s="177" t="s">
        <v>61</v>
      </c>
      <c r="B236" s="177"/>
      <c r="C236" s="177"/>
      <c r="D236" s="177"/>
      <c r="E236" s="177"/>
      <c r="F236" s="177"/>
      <c r="G236" s="177"/>
      <c r="H236" s="177"/>
      <c r="I236" s="40">
        <f>SUM(I212:I235)</f>
        <v>143953744582</v>
      </c>
      <c r="J236" s="38">
        <f>(I236/$I$247)</f>
        <v>1.5898325448850958E-2</v>
      </c>
      <c r="K236" s="40">
        <f>SUM(K212:K235)</f>
        <v>135982741794.82997</v>
      </c>
      <c r="L236" s="38">
        <f>(K236/$K$247)</f>
        <v>1.4792238522770475E-2</v>
      </c>
      <c r="M236" s="38">
        <f t="shared" si="120"/>
        <v>-5.5371972506276325E-2</v>
      </c>
      <c r="N236" s="25"/>
      <c r="O236" s="25"/>
      <c r="P236" s="39"/>
      <c r="Q236" s="39"/>
      <c r="R236" s="40"/>
      <c r="S236" s="40"/>
      <c r="T236" s="40">
        <f>SUM(T212:T235)</f>
        <v>40457</v>
      </c>
      <c r="U236" s="40"/>
      <c r="V236" s="40"/>
    </row>
    <row r="237" spans="1:24" ht="15" customHeight="1">
      <c r="A237" s="193" t="s">
        <v>306</v>
      </c>
      <c r="B237" s="193"/>
      <c r="C237" s="193"/>
      <c r="D237" s="193"/>
      <c r="E237" s="193"/>
      <c r="F237" s="193"/>
      <c r="G237" s="193"/>
      <c r="H237" s="193"/>
      <c r="I237" s="87">
        <f>SUM(I25,I75,I116,I160,I169,I202,I208,I236)</f>
        <v>9023551397069.5176</v>
      </c>
      <c r="J237" s="88"/>
      <c r="K237" s="87">
        <f>SUM(K25,K75,K116,K160,K169,K202,K208,K236)</f>
        <v>9161422453444.5977</v>
      </c>
      <c r="L237" s="88"/>
      <c r="M237" s="88"/>
      <c r="N237" s="89"/>
      <c r="O237" s="89"/>
      <c r="P237" s="90"/>
      <c r="Q237" s="90"/>
      <c r="R237" s="87"/>
      <c r="S237" s="87"/>
      <c r="T237" s="87">
        <f>SUM(T25,T75,T116,T160,T169,T202,T208,T236)</f>
        <v>1336193</v>
      </c>
      <c r="U237" s="87"/>
      <c r="V237" s="87"/>
    </row>
    <row r="238" spans="1:24" s="12" customFormat="1" ht="6.6" customHeight="1">
      <c r="A238" s="91"/>
      <c r="B238" s="91"/>
      <c r="C238" s="91"/>
      <c r="D238" s="91"/>
      <c r="E238" s="91"/>
      <c r="F238" s="91"/>
      <c r="G238" s="91"/>
      <c r="H238" s="91"/>
      <c r="I238" s="40"/>
      <c r="J238" s="92"/>
      <c r="K238" s="40"/>
      <c r="L238" s="92"/>
      <c r="M238" s="92"/>
      <c r="N238" s="93"/>
      <c r="O238" s="93"/>
      <c r="P238" s="94"/>
      <c r="Q238" s="94"/>
      <c r="R238" s="40"/>
      <c r="S238" s="40"/>
      <c r="T238" s="40"/>
      <c r="U238" s="40"/>
      <c r="V238" s="40"/>
    </row>
    <row r="239" spans="1:24" s="12" customFormat="1" ht="15" customHeight="1">
      <c r="A239" s="194" t="s">
        <v>307</v>
      </c>
      <c r="B239" s="194"/>
      <c r="C239" s="194"/>
      <c r="D239" s="194"/>
      <c r="E239" s="194"/>
      <c r="F239" s="194"/>
      <c r="G239" s="194"/>
      <c r="H239" s="194"/>
      <c r="I239" s="194"/>
      <c r="J239" s="194"/>
      <c r="K239" s="194"/>
      <c r="L239" s="194"/>
      <c r="M239" s="194"/>
      <c r="N239" s="194"/>
      <c r="O239" s="194"/>
      <c r="P239" s="194"/>
      <c r="Q239" s="194"/>
      <c r="R239" s="194"/>
      <c r="S239" s="194"/>
      <c r="T239" s="194"/>
      <c r="U239" s="194"/>
      <c r="V239" s="194"/>
    </row>
    <row r="240" spans="1:24" s="12" customFormat="1" ht="15" customHeight="1">
      <c r="A240" s="95">
        <v>1</v>
      </c>
      <c r="B240" s="46" t="s">
        <v>308</v>
      </c>
      <c r="C240" s="46" t="s">
        <v>72</v>
      </c>
      <c r="D240" s="35">
        <f>1233960*C249</f>
        <v>1702475115.4319999</v>
      </c>
      <c r="E240" s="50">
        <f>11279*C249</f>
        <v>15561458.091799999</v>
      </c>
      <c r="F240" s="80">
        <f>-6093*C249</f>
        <v>-8406415.8305999991</v>
      </c>
      <c r="G240" s="80">
        <f>3505*C249</f>
        <v>4835793.1209999993</v>
      </c>
      <c r="H240" s="34">
        <f t="shared" ref="H240:H245" si="141">(E240+F240)-G240</f>
        <v>2319249.1402000003</v>
      </c>
      <c r="I240" s="28">
        <v>2383913508.5654998</v>
      </c>
      <c r="J240" s="23">
        <f t="shared" ref="J240:J245" si="142">(I240/$I$246)</f>
        <v>7.6660943765888681E-2</v>
      </c>
      <c r="K240" s="20">
        <f>1965315*C249</f>
        <v>2711514053.5229998</v>
      </c>
      <c r="L240" s="23">
        <f t="shared" ref="L240" si="143">(K240/$K$246)</f>
        <v>8.6294616038765246E-2</v>
      </c>
      <c r="M240" s="23">
        <f>((K240-I240)/I240)</f>
        <v>0.13742132161272533</v>
      </c>
      <c r="N240" s="25">
        <f t="shared" ref="N240" si="144">(G240/K240)</f>
        <v>1.7834291195050157E-3</v>
      </c>
      <c r="O240" s="26">
        <f t="shared" ref="O240" si="145">H240/K240</f>
        <v>8.5533362336317608E-4</v>
      </c>
      <c r="P240" s="27">
        <f t="shared" ref="P240" si="146">K240/V240</f>
        <v>1460.7892334346873</v>
      </c>
      <c r="Q240" s="27">
        <f t="shared" ref="Q240" si="147">H240/V240</f>
        <v>1.2494621480036074</v>
      </c>
      <c r="R240" s="28">
        <f>1.0588*C249</f>
        <v>1460.8096309599998</v>
      </c>
      <c r="S240" s="28">
        <f>1.0588*C249</f>
        <v>1460.8096309599998</v>
      </c>
      <c r="T240" s="28">
        <v>61</v>
      </c>
      <c r="U240" s="28">
        <v>1816095</v>
      </c>
      <c r="V240" s="20">
        <v>1856198</v>
      </c>
    </row>
    <row r="241" spans="1:22" s="12" customFormat="1" ht="15" customHeight="1">
      <c r="A241" s="95">
        <v>2</v>
      </c>
      <c r="B241" s="46" t="s">
        <v>309</v>
      </c>
      <c r="C241" s="46" t="s">
        <v>310</v>
      </c>
      <c r="D241" s="50">
        <v>12532820841.700001</v>
      </c>
      <c r="E241" s="50">
        <v>246789702.00999999</v>
      </c>
      <c r="F241" s="36">
        <v>0</v>
      </c>
      <c r="G241" s="50">
        <v>22973712.41</v>
      </c>
      <c r="H241" s="34">
        <f t="shared" si="141"/>
        <v>223815989.59999999</v>
      </c>
      <c r="I241" s="28">
        <v>15586051362.889999</v>
      </c>
      <c r="J241" s="23">
        <f t="shared" si="142"/>
        <v>0.50121004926128754</v>
      </c>
      <c r="K241" s="20">
        <v>15400102147.98</v>
      </c>
      <c r="L241" s="23">
        <f t="shared" ref="L241:L245" si="148">(K241/$K$246)</f>
        <v>0.49011212023446205</v>
      </c>
      <c r="M241" s="23">
        <f t="shared" ref="M241:M245" si="149">((K241-I241)/I241)</f>
        <v>-1.1930489036674184E-2</v>
      </c>
      <c r="N241" s="25">
        <f t="shared" ref="N241:N245" si="150">(G241/K241)</f>
        <v>1.4917896121236713E-3</v>
      </c>
      <c r="O241" s="26">
        <f t="shared" ref="O241:O245" si="151">H241/K241</f>
        <v>1.4533409418284767E-2</v>
      </c>
      <c r="P241" s="27">
        <f t="shared" ref="P241:P245" si="152">K241/V241</f>
        <v>107.76919825713729</v>
      </c>
      <c r="Q241" s="27">
        <f t="shared" ref="Q241:Q245" si="153">H241/V241</f>
        <v>1.5662538809512774</v>
      </c>
      <c r="R241" s="28">
        <v>123.3</v>
      </c>
      <c r="S241" s="28">
        <v>123.3</v>
      </c>
      <c r="T241" s="28">
        <v>12</v>
      </c>
      <c r="U241" s="20">
        <v>142898921</v>
      </c>
      <c r="V241" s="28">
        <v>142898921</v>
      </c>
    </row>
    <row r="242" spans="1:22" s="12" customFormat="1" ht="15" customHeight="1">
      <c r="A242" s="95">
        <v>3</v>
      </c>
      <c r="B242" s="46" t="s">
        <v>311</v>
      </c>
      <c r="C242" s="46" t="s">
        <v>312</v>
      </c>
      <c r="D242" s="50">
        <v>11125474075.860001</v>
      </c>
      <c r="E242" s="50">
        <v>203686864.87</v>
      </c>
      <c r="F242" s="36">
        <v>0</v>
      </c>
      <c r="G242" s="50">
        <v>21441880.32</v>
      </c>
      <c r="H242" s="34">
        <f t="shared" si="141"/>
        <v>182244984.55000001</v>
      </c>
      <c r="I242" s="28">
        <v>10810002174.219999</v>
      </c>
      <c r="J242" s="23">
        <f t="shared" si="142"/>
        <v>0.34762375640284032</v>
      </c>
      <c r="K242" s="20">
        <v>10995969358.889999</v>
      </c>
      <c r="L242" s="23">
        <f t="shared" si="148"/>
        <v>0.34994948765490191</v>
      </c>
      <c r="M242" s="23">
        <f t="shared" si="149"/>
        <v>1.7203251365989537E-2</v>
      </c>
      <c r="N242" s="25">
        <f t="shared" si="150"/>
        <v>1.9499763613532364E-3</v>
      </c>
      <c r="O242" s="26">
        <f t="shared" si="151"/>
        <v>1.6573798871370896E-2</v>
      </c>
      <c r="P242" s="27">
        <f t="shared" si="152"/>
        <v>1.0542636010441035</v>
      </c>
      <c r="Q242" s="27">
        <f t="shared" si="153"/>
        <v>1.7473152881112178E-2</v>
      </c>
      <c r="R242" s="28">
        <v>1.05</v>
      </c>
      <c r="S242" s="28">
        <v>1.05</v>
      </c>
      <c r="T242" s="28">
        <v>16</v>
      </c>
      <c r="U242" s="28">
        <v>10430000000</v>
      </c>
      <c r="V242" s="28">
        <v>10430000000</v>
      </c>
    </row>
    <row r="243" spans="1:22" s="12" customFormat="1" ht="15" customHeight="1">
      <c r="A243" s="95">
        <v>4</v>
      </c>
      <c r="B243" s="46" t="s">
        <v>313</v>
      </c>
      <c r="C243" s="19" t="s">
        <v>323</v>
      </c>
      <c r="D243" s="50">
        <v>1278950871.6099999</v>
      </c>
      <c r="E243" s="50">
        <v>6757873.8300000001</v>
      </c>
      <c r="F243" s="50">
        <v>-18448070.260000002</v>
      </c>
      <c r="G243" s="50">
        <v>1129583.81</v>
      </c>
      <c r="H243" s="34">
        <f t="shared" si="141"/>
        <v>-12819780.240000002</v>
      </c>
      <c r="I243" s="28">
        <v>1285596418.55</v>
      </c>
      <c r="J243" s="23">
        <f t="shared" si="142"/>
        <v>4.1341699014656834E-2</v>
      </c>
      <c r="K243" s="20">
        <v>1275742966.24</v>
      </c>
      <c r="L243" s="23">
        <f t="shared" si="148"/>
        <v>4.0600840439237076E-2</v>
      </c>
      <c r="M243" s="23">
        <f t="shared" si="149"/>
        <v>-7.6644988799155697E-3</v>
      </c>
      <c r="N243" s="25">
        <f t="shared" si="150"/>
        <v>8.8543212848684152E-4</v>
      </c>
      <c r="O243" s="26">
        <f t="shared" si="151"/>
        <v>-1.0048873934052537E-2</v>
      </c>
      <c r="P243" s="27">
        <f t="shared" si="152"/>
        <v>154760.63268606254</v>
      </c>
      <c r="Q243" s="27">
        <f t="shared" si="153"/>
        <v>-1555.1700878164531</v>
      </c>
      <c r="R243" s="28">
        <f>112.09*C249</f>
        <v>154648.801978</v>
      </c>
      <c r="S243" s="28">
        <f>112.09*C249</f>
        <v>154648.801978</v>
      </c>
      <c r="T243" s="28">
        <v>18</v>
      </c>
      <c r="U243" s="20">
        <v>8243.33</v>
      </c>
      <c r="V243" s="20">
        <v>8243.33</v>
      </c>
    </row>
    <row r="244" spans="1:22" s="12" customFormat="1" ht="15" customHeight="1">
      <c r="A244" s="95">
        <v>5</v>
      </c>
      <c r="B244" s="46" t="s">
        <v>314</v>
      </c>
      <c r="C244" s="46" t="s">
        <v>56</v>
      </c>
      <c r="D244" s="34">
        <v>260307561</v>
      </c>
      <c r="E244" s="80">
        <v>3082665</v>
      </c>
      <c r="F244" s="80">
        <v>28221115</v>
      </c>
      <c r="G244" s="80">
        <v>1142319</v>
      </c>
      <c r="H244" s="34">
        <f t="shared" si="141"/>
        <v>30161461</v>
      </c>
      <c r="I244" s="28">
        <v>449489324.78588998</v>
      </c>
      <c r="J244" s="23">
        <f t="shared" si="142"/>
        <v>1.4454499178333599E-2</v>
      </c>
      <c r="K244" s="28">
        <v>442313791</v>
      </c>
      <c r="L244" s="23">
        <f t="shared" si="148"/>
        <v>1.4076747532768004E-2</v>
      </c>
      <c r="M244" s="23">
        <f t="shared" si="149"/>
        <v>-1.5963746834939809E-2</v>
      </c>
      <c r="N244" s="25">
        <f t="shared" si="150"/>
        <v>2.5825986511010686E-3</v>
      </c>
      <c r="O244" s="26">
        <f t="shared" si="151"/>
        <v>6.8190188987347217E-2</v>
      </c>
      <c r="P244" s="27">
        <f t="shared" si="152"/>
        <v>1.4609529538159436</v>
      </c>
      <c r="Q244" s="27">
        <f t="shared" si="153"/>
        <v>9.9622658022332347E-2</v>
      </c>
      <c r="R244" s="28">
        <v>1.46</v>
      </c>
      <c r="S244" s="28">
        <v>1.46</v>
      </c>
      <c r="T244" s="28">
        <v>38</v>
      </c>
      <c r="U244" s="28">
        <v>291382392</v>
      </c>
      <c r="V244" s="28">
        <v>302757039.39999998</v>
      </c>
    </row>
    <row r="245" spans="1:22" ht="15" customHeight="1">
      <c r="A245" s="170">
        <v>6</v>
      </c>
      <c r="B245" s="171" t="s">
        <v>333</v>
      </c>
      <c r="C245" s="114" t="s">
        <v>132</v>
      </c>
      <c r="D245" s="34">
        <f>438650.27*C249</f>
        <v>605198846.84473395</v>
      </c>
      <c r="E245" s="80">
        <f>2275.44*C249</f>
        <v>3139388.6160479998</v>
      </c>
      <c r="F245" s="80">
        <v>0</v>
      </c>
      <c r="G245" s="80">
        <f>2012.98*C249</f>
        <v>2777276.7009159997</v>
      </c>
      <c r="H245" s="34">
        <f t="shared" si="141"/>
        <v>362111.91513200011</v>
      </c>
      <c r="I245" s="28">
        <v>581792507.40999997</v>
      </c>
      <c r="J245" s="23">
        <f t="shared" si="142"/>
        <v>1.8709052376993125E-2</v>
      </c>
      <c r="K245" s="28">
        <f>431945.07*C249</f>
        <v>595947788.34689403</v>
      </c>
      <c r="L245" s="23">
        <f t="shared" si="148"/>
        <v>1.8966188099865711E-2</v>
      </c>
      <c r="M245" s="23">
        <f t="shared" si="149"/>
        <v>2.4330462762248279E-2</v>
      </c>
      <c r="N245" s="25">
        <f t="shared" si="150"/>
        <v>4.6602684920098742E-3</v>
      </c>
      <c r="O245" s="26">
        <f t="shared" si="151"/>
        <v>6.076235573194528E-4</v>
      </c>
      <c r="P245" s="27">
        <f t="shared" si="152"/>
        <v>13674.028229404537</v>
      </c>
      <c r="Q245" s="27">
        <f t="shared" si="153"/>
        <v>8.3086616756374028</v>
      </c>
      <c r="R245" s="28">
        <f>9.91*C249</f>
        <v>13672.670421999999</v>
      </c>
      <c r="S245" s="28">
        <f>9.91*C249</f>
        <v>13672.670421999999</v>
      </c>
      <c r="T245" s="28">
        <v>13</v>
      </c>
      <c r="U245" s="115">
        <v>42782.6</v>
      </c>
      <c r="V245" s="115">
        <v>43582.46</v>
      </c>
    </row>
    <row r="246" spans="1:22" ht="15" customHeight="1">
      <c r="A246" s="177" t="s">
        <v>61</v>
      </c>
      <c r="B246" s="177"/>
      <c r="C246" s="177"/>
      <c r="D246" s="177"/>
      <c r="E246" s="177"/>
      <c r="F246" s="177"/>
      <c r="G246" s="177"/>
      <c r="H246" s="177"/>
      <c r="I246" s="40">
        <f>SUM(I240:I245)</f>
        <v>31096845296.421387</v>
      </c>
      <c r="J246" s="38">
        <f>(I246/$I$247)</f>
        <v>3.4343515577912632E-3</v>
      </c>
      <c r="K246" s="96">
        <f>SUM(K240:K245)</f>
        <v>31421590105.979893</v>
      </c>
      <c r="L246" s="38">
        <f>(K246/$K$247)</f>
        <v>3.4180488603006739E-3</v>
      </c>
      <c r="M246" s="92"/>
      <c r="N246" s="93"/>
      <c r="O246" s="93"/>
      <c r="P246" s="94"/>
      <c r="Q246" s="94"/>
      <c r="R246" s="40"/>
      <c r="S246" s="40"/>
      <c r="T246" s="40">
        <f>SUM(T240:T245)</f>
        <v>158</v>
      </c>
      <c r="U246" s="40"/>
      <c r="V246" s="40"/>
    </row>
    <row r="247" spans="1:22" ht="15.6" customHeight="1">
      <c r="A247" s="191" t="s">
        <v>315</v>
      </c>
      <c r="B247" s="191"/>
      <c r="C247" s="191"/>
      <c r="D247" s="191"/>
      <c r="E247" s="191"/>
      <c r="F247" s="191"/>
      <c r="G247" s="191"/>
      <c r="H247" s="191"/>
      <c r="I247" s="97">
        <f>I237+I246</f>
        <v>9054648242365.9395</v>
      </c>
      <c r="J247" s="98"/>
      <c r="K247" s="97">
        <f>K237+K246</f>
        <v>9192844043550.5781</v>
      </c>
      <c r="L247" s="98"/>
      <c r="M247" s="98"/>
      <c r="N247" s="98"/>
      <c r="O247" s="98"/>
      <c r="P247" s="98"/>
      <c r="Q247" s="98"/>
      <c r="R247" s="99"/>
      <c r="S247" s="99"/>
      <c r="T247" s="97">
        <f>T237+T246</f>
        <v>1336351</v>
      </c>
      <c r="U247" s="99"/>
      <c r="V247" s="99"/>
    </row>
    <row r="248" spans="1:22" ht="4.95" customHeight="1">
      <c r="A248" s="100"/>
      <c r="B248" s="100"/>
      <c r="C248" s="101"/>
      <c r="D248" s="12"/>
      <c r="E248" s="12"/>
      <c r="F248" s="12"/>
      <c r="G248" s="12"/>
      <c r="H248" s="10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</row>
    <row r="249" spans="1:22">
      <c r="A249" s="103" t="s">
        <v>316</v>
      </c>
      <c r="B249" s="104" t="s">
        <v>317</v>
      </c>
      <c r="C249" s="105">
        <v>1379.6841999999999</v>
      </c>
      <c r="D249" s="86"/>
      <c r="E249" s="12"/>
      <c r="F249" s="12"/>
      <c r="G249" s="12"/>
      <c r="H249" s="102"/>
      <c r="I249" s="106"/>
      <c r="J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07"/>
    </row>
    <row r="252" spans="1:22">
      <c r="B252" s="108"/>
    </row>
    <row r="254" spans="1:22">
      <c r="B254" s="109"/>
    </row>
  </sheetData>
  <sheetProtection algorithmName="SHA-512" hashValue="V8slXaDJKCYz4Oud+b6z0F4lvE6tk7DbPXKJHiLVBiAAACqIwbECE+vkq9EjlIBbspSEnHSt/2n3L4V/H0BAVQ==" saltValue="OQr5u6csN1Ek3pls5OiamQ==" spinCount="100000" sheet="1" objects="1" scenarios="1"/>
  <mergeCells count="36">
    <mergeCell ref="A247:H247"/>
    <mergeCell ref="A231:V231"/>
    <mergeCell ref="A236:H236"/>
    <mergeCell ref="A237:H237"/>
    <mergeCell ref="A239:V239"/>
    <mergeCell ref="A246:H246"/>
    <mergeCell ref="A209:V209"/>
    <mergeCell ref="A210:V210"/>
    <mergeCell ref="A211:V211"/>
    <mergeCell ref="A214:V214"/>
    <mergeCell ref="A215:V215"/>
    <mergeCell ref="A171:V171"/>
    <mergeCell ref="A202:H202"/>
    <mergeCell ref="A203:V203"/>
    <mergeCell ref="A204:V204"/>
    <mergeCell ref="A208:H208"/>
    <mergeCell ref="A160:H160"/>
    <mergeCell ref="A161:V161"/>
    <mergeCell ref="A162:V162"/>
    <mergeCell ref="A169:H169"/>
    <mergeCell ref="A170:V170"/>
    <mergeCell ref="A117:V117"/>
    <mergeCell ref="A118:V118"/>
    <mergeCell ref="A119:V119"/>
    <mergeCell ref="A138:V138"/>
    <mergeCell ref="A139:V139"/>
    <mergeCell ref="A27:V27"/>
    <mergeCell ref="A75:H75"/>
    <mergeCell ref="A76:V76"/>
    <mergeCell ref="A77:V77"/>
    <mergeCell ref="A116:H116"/>
    <mergeCell ref="A1:V1"/>
    <mergeCell ref="A3:V3"/>
    <mergeCell ref="A4:V4"/>
    <mergeCell ref="A25:H25"/>
    <mergeCell ref="A26:V26"/>
  </mergeCells>
  <pageMargins left="0.7" right="0.7" top="0.75" bottom="0.75" header="0.3" footer="0.3"/>
  <pageSetup scale="83" orientation="portrait" r:id="rId1"/>
  <colBreaks count="1" manualBreakCount="1">
    <brk id="3" max="1048575" man="1"/>
  </colBreaks>
  <ignoredErrors>
    <ignoredError sqref="J25 J75 J116 J160 J169 J202 J208 J236 J246 H13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opLeftCell="B1" workbookViewId="0">
      <selection activeCell="M8" sqref="M8"/>
    </sheetView>
  </sheetViews>
  <sheetFormatPr defaultColWidth="9" defaultRowHeight="14.4"/>
  <cols>
    <col min="1" max="1" width="30.33203125" customWidth="1"/>
    <col min="2" max="3" width="9.33203125" customWidth="1"/>
    <col min="4" max="4" width="9.44140625" customWidth="1"/>
  </cols>
  <sheetData>
    <row r="1" spans="1:9">
      <c r="A1" s="136"/>
      <c r="B1" s="136"/>
      <c r="C1" s="136"/>
      <c r="D1" s="136"/>
      <c r="E1" s="136"/>
      <c r="F1" s="136"/>
      <c r="G1" s="1"/>
      <c r="H1" s="1"/>
      <c r="I1" s="1"/>
    </row>
    <row r="2" spans="1:9">
      <c r="A2" s="1"/>
      <c r="B2" s="1"/>
      <c r="C2" s="1"/>
      <c r="D2" s="1"/>
      <c r="E2" s="1"/>
      <c r="F2" s="136"/>
      <c r="G2" s="1"/>
      <c r="H2" s="1"/>
      <c r="I2" s="1"/>
    </row>
    <row r="3" spans="1:9">
      <c r="A3" s="137"/>
      <c r="B3" s="137"/>
      <c r="C3" s="137"/>
      <c r="D3" s="137"/>
      <c r="E3" s="1"/>
      <c r="F3" s="136"/>
      <c r="G3" s="1"/>
      <c r="H3" s="1"/>
      <c r="I3" s="1"/>
    </row>
    <row r="4" spans="1:9" ht="33" customHeight="1">
      <c r="A4" s="138" t="s">
        <v>318</v>
      </c>
      <c r="B4" s="155" t="s">
        <v>335</v>
      </c>
      <c r="C4" s="155" t="s">
        <v>336</v>
      </c>
      <c r="D4" s="155" t="s">
        <v>334</v>
      </c>
      <c r="E4" s="2"/>
      <c r="F4" s="136"/>
      <c r="G4" s="1"/>
      <c r="H4" s="1"/>
      <c r="I4" s="1"/>
    </row>
    <row r="5" spans="1:9" ht="19.05" customHeight="1">
      <c r="A5" s="139" t="s">
        <v>23</v>
      </c>
      <c r="B5" s="197">
        <v>235.55133925593</v>
      </c>
      <c r="C5" s="197">
        <f>[1]May!K25/1000000000</f>
        <v>262.04603652085001</v>
      </c>
      <c r="D5" s="197">
        <f>June!K25/1000000000</f>
        <v>228.66727299104002</v>
      </c>
      <c r="E5" s="2"/>
      <c r="F5" s="136"/>
      <c r="G5" s="1"/>
      <c r="H5" s="1"/>
      <c r="I5" s="1"/>
    </row>
    <row r="6" spans="1:9">
      <c r="A6" s="138" t="s">
        <v>62</v>
      </c>
      <c r="B6" s="197">
        <v>5695.4340585764612</v>
      </c>
      <c r="C6" s="197">
        <f>[1]May!K75/1000000000</f>
        <v>5836.1190802569317</v>
      </c>
      <c r="D6" s="197">
        <f>June!K75/1000000000</f>
        <v>6011.1481524692708</v>
      </c>
      <c r="E6" s="2"/>
      <c r="F6" s="136"/>
      <c r="G6" s="1"/>
      <c r="H6" s="1"/>
      <c r="I6" s="1"/>
    </row>
    <row r="7" spans="1:9">
      <c r="A7" s="138" t="s">
        <v>319</v>
      </c>
      <c r="B7" s="197">
        <v>234.62439952482995</v>
      </c>
      <c r="C7" s="197">
        <f>[1]May!K116/1000000000</f>
        <v>233.72032571471999</v>
      </c>
      <c r="D7" s="197">
        <f>June!K116/1000000000</f>
        <v>237.74935106990003</v>
      </c>
      <c r="E7" s="2"/>
      <c r="F7" s="136"/>
      <c r="G7" s="1"/>
      <c r="H7" s="1"/>
      <c r="I7" s="1"/>
    </row>
    <row r="8" spans="1:9">
      <c r="A8" s="138" t="s">
        <v>183</v>
      </c>
      <c r="B8" s="197">
        <v>1858.7017859926186</v>
      </c>
      <c r="C8" s="197">
        <f>[1]May!K160/1000000000</f>
        <v>1841.4176133460965</v>
      </c>
      <c r="D8" s="197">
        <f>June!K160/1000000000</f>
        <v>1851.6010627390665</v>
      </c>
      <c r="E8" s="2"/>
      <c r="F8" s="136"/>
      <c r="G8" s="1"/>
      <c r="H8" s="1"/>
      <c r="I8" s="1"/>
    </row>
    <row r="9" spans="1:9">
      <c r="A9" s="138" t="s">
        <v>320</v>
      </c>
      <c r="B9" s="197">
        <v>526.89377204159996</v>
      </c>
      <c r="C9" s="197">
        <f>[1]May!K169/1000000000</f>
        <v>527.75099154406996</v>
      </c>
      <c r="D9" s="197">
        <f>June!K169/1000000000</f>
        <v>529.08901903765002</v>
      </c>
      <c r="E9" s="2"/>
      <c r="F9" s="136"/>
      <c r="G9" s="1"/>
      <c r="H9" s="1"/>
      <c r="I9" s="1"/>
    </row>
    <row r="10" spans="1:9">
      <c r="A10" s="138" t="s">
        <v>237</v>
      </c>
      <c r="B10" s="197">
        <v>144.17948628507881</v>
      </c>
      <c r="C10" s="197">
        <f>[1]May!K202/1000000000</f>
        <v>157.21304944591</v>
      </c>
      <c r="D10" s="197">
        <f>June!K202/1000000000</f>
        <v>148.77127395047</v>
      </c>
      <c r="E10" s="2"/>
      <c r="F10" s="136"/>
      <c r="G10" s="1"/>
      <c r="H10" s="1"/>
      <c r="I10" s="1"/>
    </row>
    <row r="11" spans="1:9">
      <c r="A11" s="138" t="s">
        <v>272</v>
      </c>
      <c r="B11" s="197">
        <v>19.528484775740001</v>
      </c>
      <c r="C11" s="197">
        <f>[1]May!K208/1000000000</f>
        <v>21.33055565894</v>
      </c>
      <c r="D11" s="197">
        <f>June!K208/1000000000</f>
        <v>18.413579392370004</v>
      </c>
      <c r="E11" s="2"/>
      <c r="F11" s="136"/>
      <c r="G11" s="1"/>
      <c r="H11" s="1"/>
      <c r="I11" s="1"/>
    </row>
    <row r="12" spans="1:9">
      <c r="A12" s="138" t="s">
        <v>321</v>
      </c>
      <c r="B12" s="197">
        <v>133.7210214308819</v>
      </c>
      <c r="C12" s="197">
        <f>[1]May!K236/1000000000</f>
        <v>143.95374458200001</v>
      </c>
      <c r="D12" s="197">
        <f>June!K236/1000000000</f>
        <v>135.98274179482996</v>
      </c>
      <c r="E12" s="2"/>
      <c r="F12" s="136"/>
      <c r="G12" s="1"/>
      <c r="H12" s="1"/>
      <c r="I12" s="1"/>
    </row>
    <row r="13" spans="1:9">
      <c r="A13" s="140" t="s">
        <v>307</v>
      </c>
      <c r="B13" s="197">
        <v>30.829078365314142</v>
      </c>
      <c r="C13" s="197">
        <f>[1]May!K246/1000000000</f>
        <v>31.096845296421385</v>
      </c>
      <c r="D13" s="197">
        <f>June!K246/1000000000</f>
        <v>31.421590105979892</v>
      </c>
      <c r="E13" s="2"/>
      <c r="F13" s="136"/>
      <c r="G13" s="1"/>
      <c r="H13" s="1"/>
      <c r="I13" s="1"/>
    </row>
    <row r="14" spans="1:9">
      <c r="A14" s="137"/>
      <c r="B14" s="198"/>
      <c r="C14" s="198"/>
      <c r="D14" s="198"/>
      <c r="E14" s="2"/>
      <c r="F14" s="136"/>
      <c r="G14" s="1"/>
      <c r="H14" s="1"/>
      <c r="I14" s="1"/>
    </row>
    <row r="15" spans="1:9">
      <c r="A15" s="137"/>
      <c r="B15" s="198"/>
      <c r="C15" s="198"/>
      <c r="D15" s="198"/>
      <c r="E15" s="2"/>
      <c r="F15" s="136"/>
      <c r="G15" s="1"/>
      <c r="H15" s="1"/>
      <c r="I15" s="1"/>
    </row>
    <row r="16" spans="1:9">
      <c r="A16" s="137"/>
      <c r="B16" s="141"/>
      <c r="C16" s="141"/>
      <c r="D16" s="137"/>
      <c r="E16" s="1"/>
      <c r="F16" s="136"/>
      <c r="G16" s="1"/>
      <c r="H16" s="1"/>
      <c r="I16" s="1"/>
    </row>
    <row r="17" spans="1:9">
      <c r="A17" s="142"/>
      <c r="B17" s="143"/>
      <c r="C17" s="143"/>
      <c r="D17" s="137"/>
      <c r="E17" s="1"/>
      <c r="F17" s="136"/>
      <c r="G17" s="1"/>
      <c r="H17" s="1"/>
      <c r="I17" s="1"/>
    </row>
    <row r="18" spans="1:9" ht="15.6">
      <c r="A18" s="144"/>
      <c r="B18" s="196"/>
      <c r="C18" s="196"/>
      <c r="D18" s="1"/>
      <c r="E18" s="1"/>
      <c r="F18" s="136"/>
      <c r="G18" s="1"/>
      <c r="H18" s="1"/>
      <c r="I18" s="1"/>
    </row>
    <row r="19" spans="1:9">
      <c r="A19" s="146"/>
      <c r="B19" s="147"/>
      <c r="C19" s="147"/>
      <c r="D19" s="136"/>
      <c r="E19" s="136"/>
      <c r="F19" s="136"/>
      <c r="G19" s="1"/>
      <c r="H19" s="1"/>
      <c r="I19" s="1"/>
    </row>
    <row r="20" spans="1:9">
      <c r="A20" s="146"/>
      <c r="B20" s="145"/>
      <c r="C20" s="145"/>
      <c r="D20" s="136"/>
      <c r="E20" s="136"/>
      <c r="F20" s="136"/>
      <c r="G20" s="1"/>
      <c r="H20" s="1"/>
      <c r="I20" s="1"/>
    </row>
    <row r="21" spans="1:9">
      <c r="A21" s="146"/>
      <c r="B21" s="147"/>
      <c r="C21" s="147"/>
      <c r="D21" s="136"/>
      <c r="E21" s="136"/>
      <c r="F21" s="136"/>
      <c r="G21" s="1"/>
      <c r="H21" s="1"/>
      <c r="I21" s="1"/>
    </row>
    <row r="22" spans="1:9">
      <c r="A22" s="146"/>
      <c r="B22" s="148"/>
      <c r="C22" s="148"/>
      <c r="D22" s="136"/>
      <c r="E22" s="136"/>
      <c r="F22" s="136"/>
      <c r="G22" s="1"/>
      <c r="H22" s="1"/>
      <c r="I22" s="1"/>
    </row>
    <row r="23" spans="1:9">
      <c r="A23" s="146"/>
      <c r="B23" s="147"/>
      <c r="C23" s="147"/>
      <c r="D23" s="136"/>
      <c r="E23" s="136"/>
      <c r="F23" s="136"/>
      <c r="G23" s="1"/>
      <c r="H23" s="1"/>
      <c r="I23" s="1"/>
    </row>
    <row r="24" spans="1:9">
      <c r="A24" s="146"/>
      <c r="B24" s="147"/>
      <c r="C24" s="147"/>
      <c r="D24" s="136"/>
      <c r="E24" s="136"/>
      <c r="F24" s="136"/>
      <c r="G24" s="1"/>
      <c r="H24" s="1"/>
      <c r="I24" s="1"/>
    </row>
    <row r="25" spans="1:9">
      <c r="A25" s="146"/>
      <c r="B25" s="147"/>
      <c r="C25" s="147"/>
      <c r="D25" s="136"/>
      <c r="E25" s="136"/>
      <c r="F25" s="136"/>
      <c r="G25" s="1"/>
      <c r="H25" s="1"/>
      <c r="I25" s="1"/>
    </row>
    <row r="26" spans="1:9">
      <c r="A26" s="9"/>
      <c r="B26" s="11"/>
      <c r="C26" s="11"/>
      <c r="D26" s="1"/>
      <c r="E26" s="1"/>
      <c r="F26" s="1"/>
      <c r="G26" s="1"/>
      <c r="H26" s="1"/>
      <c r="I26" s="1"/>
    </row>
    <row r="27" spans="1:9">
      <c r="A27" s="1"/>
      <c r="B27" s="1"/>
      <c r="C27" s="1"/>
      <c r="D27" s="1"/>
      <c r="E27" s="1"/>
      <c r="F27" s="1"/>
      <c r="G27" s="1"/>
      <c r="H27" s="1"/>
      <c r="I27" s="1"/>
    </row>
    <row r="28" spans="1:9">
      <c r="A28" s="1"/>
      <c r="B28" s="1"/>
      <c r="C28" s="1"/>
      <c r="D28" s="1"/>
      <c r="E28" s="1"/>
      <c r="F28" s="1"/>
      <c r="G28" s="1"/>
      <c r="H28" s="1"/>
      <c r="I28" s="1"/>
    </row>
  </sheetData>
  <sheetProtection algorithmName="SHA-512" hashValue="vHGGHfsFfUsWu5AtSiw2KiRwYAqhi6ZsKSyEV8DAlye5x7XFUihGBQYy59k/O7RDrho3vZrnzOpoXPb1NVA9QQ==" saltValue="ND2kQpa+OJcCAnQ6EZ2QVw==" spinCount="100000" sheet="1" objects="1" scenarios="1"/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zoomScale="85" zoomScaleNormal="85" workbookViewId="0">
      <selection activeCell="J14" sqref="J14"/>
    </sheetView>
  </sheetViews>
  <sheetFormatPr defaultColWidth="9" defaultRowHeight="14.4"/>
  <cols>
    <col min="1" max="1" width="26.77734375" customWidth="1"/>
    <col min="2" max="2" width="21.21875" customWidth="1"/>
  </cols>
  <sheetData>
    <row r="1" spans="1:6">
      <c r="A1" s="156" t="s">
        <v>318</v>
      </c>
      <c r="B1" s="157" t="s">
        <v>334</v>
      </c>
      <c r="C1" s="154"/>
      <c r="D1" s="154"/>
      <c r="E1" s="136"/>
      <c r="F1" s="1"/>
    </row>
    <row r="2" spans="1:6">
      <c r="A2" s="156" t="s">
        <v>272</v>
      </c>
      <c r="B2" s="158">
        <f>June!K208</f>
        <v>18413579392.370003</v>
      </c>
      <c r="C2" s="154"/>
      <c r="D2" s="154"/>
      <c r="E2" s="136"/>
      <c r="F2" s="1"/>
    </row>
    <row r="3" spans="1:6">
      <c r="A3" s="156" t="s">
        <v>307</v>
      </c>
      <c r="B3" s="158">
        <f>June!K246</f>
        <v>31421590105.979893</v>
      </c>
      <c r="C3" s="154"/>
      <c r="D3" s="154"/>
      <c r="E3" s="136"/>
      <c r="F3" s="1"/>
    </row>
    <row r="4" spans="1:6">
      <c r="A4" s="156" t="s">
        <v>321</v>
      </c>
      <c r="B4" s="159">
        <f>June!K236</f>
        <v>135982741794.82997</v>
      </c>
      <c r="C4" s="154"/>
      <c r="D4" s="154"/>
      <c r="E4" s="136"/>
      <c r="F4" s="1"/>
    </row>
    <row r="5" spans="1:6">
      <c r="A5" s="156" t="s">
        <v>23</v>
      </c>
      <c r="B5" s="160">
        <f>June!K25</f>
        <v>228667272991.04001</v>
      </c>
      <c r="C5" s="154"/>
      <c r="D5" s="154"/>
      <c r="E5" s="136"/>
      <c r="F5" s="1"/>
    </row>
    <row r="6" spans="1:6">
      <c r="A6" s="156" t="s">
        <v>237</v>
      </c>
      <c r="B6" s="160">
        <f>June!K202</f>
        <v>148771273950.47</v>
      </c>
      <c r="C6" s="154"/>
      <c r="D6" s="154"/>
      <c r="E6" s="136"/>
      <c r="F6" s="1"/>
    </row>
    <row r="7" spans="1:6">
      <c r="A7" s="156" t="s">
        <v>319</v>
      </c>
      <c r="B7" s="161">
        <f>June!K116</f>
        <v>237749351069.90002</v>
      </c>
      <c r="C7" s="154"/>
      <c r="D7" s="154"/>
      <c r="E7" s="136"/>
      <c r="F7" s="1"/>
    </row>
    <row r="8" spans="1:6">
      <c r="A8" s="156" t="s">
        <v>320</v>
      </c>
      <c r="B8" s="161">
        <f>June!K169</f>
        <v>529089019037.65002</v>
      </c>
      <c r="C8" s="154"/>
      <c r="D8" s="154"/>
      <c r="E8" s="136"/>
      <c r="F8" s="1"/>
    </row>
    <row r="9" spans="1:6">
      <c r="A9" s="156" t="s">
        <v>183</v>
      </c>
      <c r="B9" s="160">
        <f>June!K160</f>
        <v>1851601062739.0664</v>
      </c>
      <c r="C9" s="154"/>
      <c r="D9" s="154"/>
      <c r="E9" s="136"/>
      <c r="F9" s="1"/>
    </row>
    <row r="10" spans="1:6">
      <c r="A10" s="156" t="s">
        <v>62</v>
      </c>
      <c r="B10" s="160">
        <f>June!K75</f>
        <v>6011148152469.2705</v>
      </c>
      <c r="C10" s="154"/>
      <c r="D10" s="154"/>
      <c r="E10" s="136"/>
      <c r="F10" s="1"/>
    </row>
    <row r="11" spans="1:6">
      <c r="A11" s="154"/>
      <c r="B11" s="154"/>
      <c r="C11" s="154"/>
      <c r="D11" s="154"/>
      <c r="E11" s="136"/>
      <c r="F11" s="1"/>
    </row>
    <row r="12" spans="1:6">
      <c r="A12" s="162"/>
      <c r="B12" s="154"/>
      <c r="C12" s="154"/>
      <c r="D12" s="154"/>
      <c r="E12" s="136"/>
      <c r="F12" s="1"/>
    </row>
    <row r="13" spans="1:6">
      <c r="A13" s="163"/>
      <c r="B13" s="154"/>
      <c r="C13" s="154"/>
      <c r="D13" s="154"/>
      <c r="E13" s="136"/>
      <c r="F13" s="1"/>
    </row>
    <row r="14" spans="1:6" ht="15" customHeight="1">
      <c r="A14" s="154"/>
      <c r="B14" s="164"/>
      <c r="C14" s="154"/>
      <c r="D14" s="154"/>
      <c r="E14" s="136"/>
      <c r="F14" s="1"/>
    </row>
    <row r="15" spans="1:6">
      <c r="A15" s="154"/>
      <c r="B15" s="164"/>
      <c r="C15" s="154"/>
      <c r="D15" s="154"/>
      <c r="E15" s="136"/>
      <c r="F15" s="1"/>
    </row>
    <row r="16" spans="1:6">
      <c r="A16" s="165"/>
      <c r="B16" s="164"/>
      <c r="C16" s="154"/>
      <c r="D16" s="154"/>
      <c r="E16" s="136"/>
      <c r="F16" s="1"/>
    </row>
    <row r="17" spans="1:6">
      <c r="A17" s="166"/>
      <c r="B17" s="164"/>
      <c r="C17" s="154"/>
      <c r="D17" s="154"/>
      <c r="E17" s="136"/>
      <c r="F17" s="1"/>
    </row>
    <row r="18" spans="1:6">
      <c r="A18" s="151"/>
      <c r="B18" s="149"/>
      <c r="C18" s="136"/>
      <c r="D18" s="136"/>
      <c r="E18" s="136"/>
      <c r="F18" s="1"/>
    </row>
    <row r="19" spans="1:6">
      <c r="A19" s="150"/>
      <c r="B19" s="149"/>
      <c r="C19" s="136"/>
      <c r="D19" s="136"/>
      <c r="E19" s="136"/>
      <c r="F19" s="1"/>
    </row>
    <row r="20" spans="1:6">
      <c r="A20" s="152"/>
      <c r="B20" s="149"/>
      <c r="C20" s="136"/>
      <c r="D20" s="136"/>
      <c r="E20" s="136"/>
      <c r="F20" s="1"/>
    </row>
    <row r="21" spans="1:6">
      <c r="A21" s="153"/>
      <c r="B21" s="149"/>
      <c r="C21" s="136"/>
      <c r="D21" s="136"/>
      <c r="E21" s="136"/>
      <c r="F21" s="1"/>
    </row>
    <row r="22" spans="1:6">
      <c r="A22" s="146"/>
      <c r="B22" s="145"/>
      <c r="C22" s="136"/>
      <c r="D22" s="136"/>
      <c r="E22" s="136"/>
      <c r="F22" s="1"/>
    </row>
    <row r="23" spans="1:6">
      <c r="A23" s="136"/>
      <c r="B23" s="145"/>
      <c r="C23" s="136"/>
      <c r="D23" s="136"/>
      <c r="E23" s="136"/>
      <c r="F23" s="1"/>
    </row>
    <row r="24" spans="1:6">
      <c r="A24" s="136"/>
      <c r="B24" s="136"/>
      <c r="C24" s="136"/>
      <c r="D24" s="136"/>
      <c r="E24" s="136"/>
      <c r="F24" s="1"/>
    </row>
    <row r="25" spans="1:6">
      <c r="A25" s="136"/>
      <c r="B25" s="136"/>
      <c r="C25" s="136"/>
      <c r="D25" s="136"/>
      <c r="E25" s="136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3" spans="1:17" ht="16.05" customHeight="1">
      <c r="A33" s="195"/>
      <c r="B33" s="195"/>
      <c r="C33" s="195"/>
      <c r="D33" s="195"/>
      <c r="E33" s="195"/>
      <c r="F33" s="195"/>
      <c r="G33" s="195"/>
      <c r="H33" s="195"/>
      <c r="I33" s="195"/>
      <c r="J33" s="195"/>
      <c r="K33" s="195"/>
      <c r="L33" s="195"/>
      <c r="M33" s="195"/>
      <c r="N33" s="195"/>
      <c r="O33" s="195"/>
      <c r="P33" s="195"/>
      <c r="Q33" s="10"/>
    </row>
    <row r="34" spans="1:17">
      <c r="A34" s="195"/>
      <c r="B34" s="195"/>
      <c r="C34" s="195"/>
      <c r="D34" s="195"/>
      <c r="E34" s="195"/>
      <c r="F34" s="195"/>
      <c r="G34" s="195"/>
      <c r="H34" s="195"/>
      <c r="I34" s="195"/>
      <c r="J34" s="195"/>
      <c r="K34" s="195"/>
      <c r="L34" s="195"/>
      <c r="M34" s="195"/>
      <c r="N34" s="195"/>
      <c r="O34" s="195"/>
      <c r="P34" s="195"/>
      <c r="Q34" s="10"/>
    </row>
  </sheetData>
  <sheetProtection algorithmName="SHA-512" hashValue="heFz1fNnuP3HvLZiPcTk2jFci4c1bsH4AbawJCJj6hHzS67DDzGuyuuNUHKlwMYfkYM3xvlT9uBwI+0Dk19fVw==" saltValue="qLQWTj4SYbHJ9RrHbP/oYA==" spinCount="100000" sheet="1" objects="1" scenarios="1"/>
  <sortState ref="A13:A19">
    <sortCondition ref="A12:A19"/>
  </sortState>
  <mergeCells count="1">
    <mergeCell ref="A33:P34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F7" sqref="F7"/>
    </sheetView>
  </sheetViews>
  <sheetFormatPr defaultColWidth="9" defaultRowHeight="14.4"/>
  <cols>
    <col min="1" max="1" width="34.77734375" customWidth="1"/>
    <col min="2" max="2" width="15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A4" s="2"/>
      <c r="B4" s="2"/>
      <c r="C4" s="2"/>
      <c r="D4" s="1"/>
      <c r="E4" s="1"/>
      <c r="F4" s="1"/>
      <c r="G4" s="1"/>
      <c r="H4" s="1"/>
    </row>
    <row r="5" spans="1:8" ht="15.6">
      <c r="A5" s="3" t="s">
        <v>318</v>
      </c>
      <c r="B5" s="4" t="s">
        <v>322</v>
      </c>
      <c r="C5" s="2"/>
      <c r="D5" s="1"/>
      <c r="E5" s="1"/>
      <c r="F5" s="1"/>
      <c r="G5" s="1"/>
      <c r="H5" s="1"/>
    </row>
    <row r="6" spans="1:8">
      <c r="A6" s="5" t="s">
        <v>23</v>
      </c>
      <c r="B6" s="6">
        <f>June!T25</f>
        <v>102866</v>
      </c>
      <c r="C6" s="2"/>
      <c r="D6" s="1"/>
      <c r="E6" s="1"/>
      <c r="F6" s="1"/>
      <c r="G6" s="1"/>
      <c r="H6" s="1"/>
    </row>
    <row r="7" spans="1:8">
      <c r="A7" s="5" t="s">
        <v>62</v>
      </c>
      <c r="B7" s="6">
        <f>June!T75</f>
        <v>750973</v>
      </c>
      <c r="C7" s="2"/>
      <c r="D7" s="1"/>
      <c r="E7" s="1"/>
      <c r="F7" s="1"/>
      <c r="G7" s="1"/>
      <c r="H7" s="1"/>
    </row>
    <row r="8" spans="1:8">
      <c r="A8" s="5" t="s">
        <v>319</v>
      </c>
      <c r="B8" s="6">
        <f>June!T116</f>
        <v>64425</v>
      </c>
      <c r="C8" s="2"/>
      <c r="D8" s="1"/>
      <c r="E8" s="1"/>
      <c r="F8" s="1"/>
      <c r="G8" s="1"/>
      <c r="H8" s="1"/>
    </row>
    <row r="9" spans="1:8">
      <c r="A9" s="5" t="s">
        <v>183</v>
      </c>
      <c r="B9" s="6">
        <f>June!T160</f>
        <v>30355</v>
      </c>
      <c r="C9" s="2"/>
      <c r="D9" s="1"/>
      <c r="E9" s="1"/>
      <c r="F9" s="1"/>
      <c r="G9" s="1"/>
      <c r="H9" s="1"/>
    </row>
    <row r="10" spans="1:8">
      <c r="A10" s="5" t="s">
        <v>320</v>
      </c>
      <c r="B10" s="6">
        <f>June!T169</f>
        <v>230697</v>
      </c>
      <c r="C10" s="2"/>
      <c r="D10" s="1"/>
      <c r="E10" s="1"/>
      <c r="F10" s="1"/>
      <c r="G10" s="1"/>
      <c r="H10" s="1"/>
    </row>
    <row r="11" spans="1:8">
      <c r="A11" s="5" t="s">
        <v>237</v>
      </c>
      <c r="B11" s="6">
        <f>June!T202</f>
        <v>97710</v>
      </c>
      <c r="C11" s="2"/>
      <c r="D11" s="1"/>
      <c r="E11" s="1"/>
      <c r="F11" s="1"/>
      <c r="G11" s="1"/>
      <c r="H11" s="1"/>
    </row>
    <row r="12" spans="1:8">
      <c r="A12" s="5" t="s">
        <v>272</v>
      </c>
      <c r="B12" s="6">
        <f>June!T208</f>
        <v>18710</v>
      </c>
      <c r="C12" s="2"/>
      <c r="D12" s="1"/>
      <c r="E12" s="1"/>
      <c r="F12" s="1"/>
      <c r="G12" s="1"/>
      <c r="H12" s="1"/>
    </row>
    <row r="13" spans="1:8">
      <c r="A13" s="5" t="s">
        <v>321</v>
      </c>
      <c r="B13" s="6">
        <f>June!T236</f>
        <v>40457</v>
      </c>
      <c r="C13" s="2"/>
      <c r="D13" s="1"/>
      <c r="E13" s="1"/>
      <c r="F13" s="1"/>
      <c r="G13" s="1"/>
      <c r="H13" s="1"/>
    </row>
    <row r="14" spans="1:8">
      <c r="A14" s="7" t="s">
        <v>307</v>
      </c>
      <c r="B14" s="8">
        <f>June!T246</f>
        <v>158</v>
      </c>
      <c r="C14" s="2"/>
      <c r="D14" s="1"/>
      <c r="E14" s="1"/>
      <c r="F14" s="1"/>
      <c r="G14" s="1"/>
      <c r="H14" s="1"/>
    </row>
    <row r="15" spans="1:8">
      <c r="A15" s="2"/>
      <c r="B15" s="2"/>
      <c r="C15" s="2"/>
      <c r="D15" s="1"/>
      <c r="E15" s="1"/>
      <c r="F15" s="1"/>
      <c r="G15" s="1"/>
      <c r="H15" s="1"/>
    </row>
    <row r="16" spans="1:8">
      <c r="A16" s="2"/>
      <c r="B16" s="2"/>
      <c r="C16" s="2"/>
      <c r="D16" s="1"/>
      <c r="E16" s="1"/>
      <c r="F16" s="1"/>
      <c r="G16" s="1"/>
      <c r="H16" s="1"/>
    </row>
    <row r="17" spans="1:8">
      <c r="A17" s="1"/>
      <c r="B17" s="1"/>
      <c r="C17" s="1"/>
      <c r="D17" s="1"/>
      <c r="E17" s="1"/>
      <c r="F17" s="1"/>
      <c r="G17" s="1"/>
      <c r="H17" s="1"/>
    </row>
    <row r="18" spans="1:8">
      <c r="A18" s="1"/>
      <c r="B18" s="1"/>
      <c r="C18" s="1"/>
      <c r="D18" s="1"/>
      <c r="E18" s="1"/>
      <c r="F18" s="1"/>
      <c r="G18" s="1"/>
      <c r="H18" s="1"/>
    </row>
    <row r="19" spans="1:8">
      <c r="A19" s="1"/>
      <c r="B19" s="1"/>
      <c r="C19" s="1"/>
      <c r="D19" s="1"/>
      <c r="E19" s="1"/>
      <c r="F19" s="1"/>
      <c r="G19" s="1"/>
      <c r="H19" s="1"/>
    </row>
    <row r="20" spans="1:8">
      <c r="A20" s="1"/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</sheetData>
  <sheetProtection algorithmName="SHA-512" hashValue="2uixY4XOGGKn6C/IpYgbaE9z3Cu/uueJUTDqPxjF6BdFga4WfIeOtHrxK2EOOIsVOQgGOmsRnm9wM/zgLaC9rA==" saltValue="Q5Dxqh2Zvg/HiW7MFiu8hA==" spinCount="100000" sheet="1" objects="1" scenarios="1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7" master="" otherUserPermission="visible"/>
  <rangeList sheetStid="2" master="" otherUserPermission="visible"/>
  <rangeList sheetStid="3" master="" otherUserPermission="visible"/>
  <rangeList sheetStid="6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June</vt:lpstr>
      <vt:lpstr>NAV Comparison</vt:lpstr>
      <vt:lpstr>Market Share</vt:lpstr>
      <vt:lpstr>Unitholders</vt:lpstr>
      <vt:lpstr>June!_Hlk34300669</vt:lpstr>
      <vt:lpstr>FX_RATE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RV;Mohammed N. Abdulaziz</dc:creator>
  <cp:lastModifiedBy>Isaac, Tunde</cp:lastModifiedBy>
  <cp:lastPrinted>2025-09-11T05:51:00Z</cp:lastPrinted>
  <dcterms:created xsi:type="dcterms:W3CDTF">2023-10-10T01:40:00Z</dcterms:created>
  <dcterms:modified xsi:type="dcterms:W3CDTF">2026-10-08T21:36:27Z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908C8CE57AD5F23C268F7C6A916769CD_43</vt:lpwstr>
  </property>
  <property fmtid="{D5CDD505-2E9C-101B-9397-08002B2CF9AE}" pid="3" name="KSOProductBuildVer">
    <vt:lpwstr>1033-12.1.26050.26050</vt:lpwstr>
  </property>
  <property fmtid="{D5CDD505-2E9C-101B-9397-08002B2CF9AE}" pid="4" name="CalculationRule">
    <vt:i4>0</vt:i4>
  </property>
</Properties>
</file>