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isaac\Desktop\Monthly Mutual Fund Update 2026\"/>
    </mc:Choice>
  </mc:AlternateContent>
  <bookViews>
    <workbookView xWindow="0" yWindow="0" windowWidth="22992" windowHeight="8448"/>
  </bookViews>
  <sheets>
    <sheet name="July" sheetId="7" r:id="rId1"/>
    <sheet name="NAV Comparison" sheetId="2" r:id="rId2"/>
    <sheet name="Market Share" sheetId="3" r:id="rId3"/>
    <sheet name="Unitholders" sheetId="6" r:id="rId4"/>
  </sheets>
  <externalReferences>
    <externalReference r:id="rId5"/>
  </externalReferences>
  <definedNames>
    <definedName name="_Hlk34300669" localSheetId="0">July!$K$70</definedName>
    <definedName name="Component">"Group"</definedName>
    <definedName name="FX_RATE">July!$C$250</definedName>
    <definedName name="pbCountingPages">FALSE</definedName>
  </definedNames>
  <calcPr calcId="162913"/>
</workbook>
</file>

<file path=xl/calcChain.xml><?xml version="1.0" encoding="utf-8"?>
<calcChain xmlns="http://schemas.openxmlformats.org/spreadsheetml/2006/main">
  <c r="L242" i="7" l="1"/>
  <c r="M242" i="7"/>
  <c r="N242" i="7"/>
  <c r="O242" i="7"/>
  <c r="P242" i="7"/>
  <c r="Q242" i="7"/>
  <c r="L243" i="7"/>
  <c r="M243" i="7"/>
  <c r="N243" i="7"/>
  <c r="O243" i="7"/>
  <c r="P243" i="7"/>
  <c r="Q243" i="7"/>
  <c r="L244" i="7"/>
  <c r="M244" i="7"/>
  <c r="N244" i="7"/>
  <c r="O244" i="7"/>
  <c r="P244" i="7"/>
  <c r="Q244" i="7"/>
  <c r="L245" i="7"/>
  <c r="M245" i="7"/>
  <c r="N245" i="7"/>
  <c r="O245" i="7"/>
  <c r="P245" i="7"/>
  <c r="Q245" i="7"/>
  <c r="L246" i="7"/>
  <c r="M246" i="7"/>
  <c r="N246" i="7"/>
  <c r="O246" i="7"/>
  <c r="P246" i="7"/>
  <c r="Q246" i="7"/>
  <c r="J242" i="7"/>
  <c r="J243" i="7"/>
  <c r="J244" i="7"/>
  <c r="J245" i="7"/>
  <c r="J246" i="7"/>
  <c r="L234" i="7"/>
  <c r="M234" i="7"/>
  <c r="N234" i="7"/>
  <c r="O234" i="7"/>
  <c r="P234" i="7"/>
  <c r="Q234" i="7"/>
  <c r="L235" i="7"/>
  <c r="M235" i="7"/>
  <c r="N235" i="7"/>
  <c r="O235" i="7"/>
  <c r="P235" i="7"/>
  <c r="Q235" i="7"/>
  <c r="L236" i="7"/>
  <c r="M236" i="7"/>
  <c r="N236" i="7"/>
  <c r="O236" i="7"/>
  <c r="P236" i="7"/>
  <c r="Q236" i="7"/>
  <c r="J234" i="7"/>
  <c r="J235" i="7"/>
  <c r="J236" i="7"/>
  <c r="L218" i="7"/>
  <c r="M218" i="7"/>
  <c r="N218" i="7"/>
  <c r="O218" i="7"/>
  <c r="P218" i="7"/>
  <c r="Q218" i="7"/>
  <c r="L219" i="7"/>
  <c r="M219" i="7"/>
  <c r="N219" i="7"/>
  <c r="O219" i="7"/>
  <c r="P219" i="7"/>
  <c r="Q219" i="7"/>
  <c r="L220" i="7"/>
  <c r="M220" i="7"/>
  <c r="N220" i="7"/>
  <c r="O220" i="7"/>
  <c r="P220" i="7"/>
  <c r="Q220" i="7"/>
  <c r="L221" i="7"/>
  <c r="M221" i="7"/>
  <c r="N221" i="7"/>
  <c r="O221" i="7"/>
  <c r="P221" i="7"/>
  <c r="Q221" i="7"/>
  <c r="L222" i="7"/>
  <c r="M222" i="7"/>
  <c r="N222" i="7"/>
  <c r="O222" i="7"/>
  <c r="P222" i="7"/>
  <c r="Q222" i="7"/>
  <c r="L223" i="7"/>
  <c r="M223" i="7"/>
  <c r="N223" i="7"/>
  <c r="O223" i="7"/>
  <c r="P223" i="7"/>
  <c r="Q223" i="7"/>
  <c r="L224" i="7"/>
  <c r="M224" i="7"/>
  <c r="N224" i="7"/>
  <c r="O224" i="7"/>
  <c r="P224" i="7"/>
  <c r="Q224" i="7"/>
  <c r="L225" i="7"/>
  <c r="M225" i="7"/>
  <c r="N225" i="7"/>
  <c r="O225" i="7"/>
  <c r="P225" i="7"/>
  <c r="Q225" i="7"/>
  <c r="L226" i="7"/>
  <c r="M226" i="7"/>
  <c r="N226" i="7"/>
  <c r="O226" i="7"/>
  <c r="P226" i="7"/>
  <c r="Q226" i="7"/>
  <c r="L227" i="7"/>
  <c r="M227" i="7"/>
  <c r="N227" i="7"/>
  <c r="O227" i="7"/>
  <c r="P227" i="7"/>
  <c r="Q227" i="7"/>
  <c r="L228" i="7"/>
  <c r="M228" i="7"/>
  <c r="N228" i="7"/>
  <c r="O228" i="7"/>
  <c r="P228" i="7"/>
  <c r="Q228" i="7"/>
  <c r="L229" i="7"/>
  <c r="M229" i="7"/>
  <c r="N229" i="7"/>
  <c r="O229" i="7"/>
  <c r="P229" i="7"/>
  <c r="Q229" i="7"/>
  <c r="L230" i="7"/>
  <c r="M230" i="7"/>
  <c r="N230" i="7"/>
  <c r="O230" i="7"/>
  <c r="P230" i="7"/>
  <c r="Q230" i="7"/>
  <c r="Q217" i="7"/>
  <c r="J218" i="7"/>
  <c r="J219" i="7"/>
  <c r="J220" i="7"/>
  <c r="J221" i="7"/>
  <c r="J222" i="7"/>
  <c r="J223" i="7"/>
  <c r="J224" i="7"/>
  <c r="J225" i="7"/>
  <c r="J226" i="7"/>
  <c r="J227" i="7"/>
  <c r="J228" i="7"/>
  <c r="J229" i="7"/>
  <c r="J230" i="7"/>
  <c r="L214" i="7"/>
  <c r="M214" i="7"/>
  <c r="N214" i="7"/>
  <c r="O214" i="7"/>
  <c r="P214" i="7"/>
  <c r="Q214" i="7"/>
  <c r="J214" i="7"/>
  <c r="L207" i="7"/>
  <c r="M207" i="7"/>
  <c r="N207" i="7"/>
  <c r="O207" i="7"/>
  <c r="P207" i="7"/>
  <c r="Q207" i="7"/>
  <c r="L208" i="7"/>
  <c r="M208" i="7"/>
  <c r="N208" i="7"/>
  <c r="O208" i="7"/>
  <c r="P208" i="7"/>
  <c r="Q208" i="7"/>
  <c r="J207" i="7"/>
  <c r="J208" i="7"/>
  <c r="L174" i="7"/>
  <c r="M174" i="7"/>
  <c r="N174" i="7"/>
  <c r="O174" i="7"/>
  <c r="P174" i="7"/>
  <c r="Q174" i="7"/>
  <c r="L175" i="7"/>
  <c r="M175" i="7"/>
  <c r="N175" i="7"/>
  <c r="O175" i="7"/>
  <c r="P175" i="7"/>
  <c r="Q175" i="7"/>
  <c r="L176" i="7"/>
  <c r="M176" i="7"/>
  <c r="N176" i="7"/>
  <c r="O176" i="7"/>
  <c r="P176" i="7"/>
  <c r="Q176" i="7"/>
  <c r="L177" i="7"/>
  <c r="M177" i="7"/>
  <c r="N177" i="7"/>
  <c r="O177" i="7"/>
  <c r="P177" i="7"/>
  <c r="Q177" i="7"/>
  <c r="L178" i="7"/>
  <c r="M178" i="7"/>
  <c r="N178" i="7"/>
  <c r="O178" i="7"/>
  <c r="P178" i="7"/>
  <c r="Q178" i="7"/>
  <c r="L179" i="7"/>
  <c r="M179" i="7"/>
  <c r="N179" i="7"/>
  <c r="O179" i="7"/>
  <c r="P179" i="7"/>
  <c r="Q179" i="7"/>
  <c r="L180" i="7"/>
  <c r="M180" i="7"/>
  <c r="N180" i="7"/>
  <c r="O180" i="7"/>
  <c r="P180" i="7"/>
  <c r="Q180" i="7"/>
  <c r="L181" i="7"/>
  <c r="M181" i="7"/>
  <c r="N181" i="7"/>
  <c r="O181" i="7"/>
  <c r="P181" i="7"/>
  <c r="Q181" i="7"/>
  <c r="L182" i="7"/>
  <c r="M182" i="7"/>
  <c r="N182" i="7"/>
  <c r="O182" i="7"/>
  <c r="P182" i="7"/>
  <c r="Q182" i="7"/>
  <c r="L183" i="7"/>
  <c r="M183" i="7"/>
  <c r="N183" i="7"/>
  <c r="O183" i="7"/>
  <c r="P183" i="7"/>
  <c r="Q183" i="7"/>
  <c r="L184" i="7"/>
  <c r="M184" i="7"/>
  <c r="N184" i="7"/>
  <c r="O184" i="7"/>
  <c r="P184" i="7"/>
  <c r="Q184" i="7"/>
  <c r="L185" i="7"/>
  <c r="M185" i="7"/>
  <c r="N185" i="7"/>
  <c r="O185" i="7"/>
  <c r="P185" i="7"/>
  <c r="Q185" i="7"/>
  <c r="L186" i="7"/>
  <c r="M186" i="7"/>
  <c r="N186" i="7"/>
  <c r="O186" i="7"/>
  <c r="P186" i="7"/>
  <c r="Q186" i="7"/>
  <c r="L187" i="7"/>
  <c r="M187" i="7"/>
  <c r="N187" i="7"/>
  <c r="O187" i="7"/>
  <c r="P187" i="7"/>
  <c r="Q187" i="7"/>
  <c r="L188" i="7"/>
  <c r="M188" i="7"/>
  <c r="N188" i="7"/>
  <c r="O188" i="7"/>
  <c r="P188" i="7"/>
  <c r="Q188" i="7"/>
  <c r="L189" i="7"/>
  <c r="M189" i="7"/>
  <c r="N189" i="7"/>
  <c r="O189" i="7"/>
  <c r="P189" i="7"/>
  <c r="Q189" i="7"/>
  <c r="L190" i="7"/>
  <c r="M190" i="7"/>
  <c r="N190" i="7"/>
  <c r="O190" i="7"/>
  <c r="P190" i="7"/>
  <c r="Q190" i="7"/>
  <c r="L191" i="7"/>
  <c r="M191" i="7"/>
  <c r="N191" i="7"/>
  <c r="O191" i="7"/>
  <c r="P191" i="7"/>
  <c r="Q191" i="7"/>
  <c r="L192" i="7"/>
  <c r="M192" i="7"/>
  <c r="N192" i="7"/>
  <c r="O192" i="7"/>
  <c r="P192" i="7"/>
  <c r="Q192" i="7"/>
  <c r="L193" i="7"/>
  <c r="M193" i="7"/>
  <c r="N193" i="7"/>
  <c r="O193" i="7"/>
  <c r="P193" i="7"/>
  <c r="Q193" i="7"/>
  <c r="L194" i="7"/>
  <c r="M194" i="7"/>
  <c r="N194" i="7"/>
  <c r="O194" i="7"/>
  <c r="P194" i="7"/>
  <c r="Q194" i="7"/>
  <c r="L195" i="7"/>
  <c r="M195" i="7"/>
  <c r="N195" i="7"/>
  <c r="O195" i="7"/>
  <c r="P195" i="7"/>
  <c r="Q195" i="7"/>
  <c r="L196" i="7"/>
  <c r="M196" i="7"/>
  <c r="N196" i="7"/>
  <c r="O196" i="7"/>
  <c r="P196" i="7"/>
  <c r="Q196" i="7"/>
  <c r="L197" i="7"/>
  <c r="M197" i="7"/>
  <c r="N197" i="7"/>
  <c r="O197" i="7"/>
  <c r="P197" i="7"/>
  <c r="Q197" i="7"/>
  <c r="L198" i="7"/>
  <c r="M198" i="7"/>
  <c r="N198" i="7"/>
  <c r="O198" i="7"/>
  <c r="P198" i="7"/>
  <c r="Q198" i="7"/>
  <c r="L199" i="7"/>
  <c r="M199" i="7"/>
  <c r="N199" i="7"/>
  <c r="O199" i="7"/>
  <c r="P199" i="7"/>
  <c r="Q199" i="7"/>
  <c r="L200" i="7"/>
  <c r="M200" i="7"/>
  <c r="N200" i="7"/>
  <c r="O200" i="7"/>
  <c r="P200" i="7"/>
  <c r="Q200" i="7"/>
  <c r="L201" i="7"/>
  <c r="M201" i="7"/>
  <c r="N201" i="7"/>
  <c r="O201" i="7"/>
  <c r="P201" i="7"/>
  <c r="Q201" i="7"/>
  <c r="L202" i="7"/>
  <c r="M202" i="7"/>
  <c r="N202" i="7"/>
  <c r="O202" i="7"/>
  <c r="P202" i="7"/>
  <c r="Q202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J202" i="7"/>
  <c r="L165" i="7"/>
  <c r="M165" i="7"/>
  <c r="N165" i="7"/>
  <c r="O165" i="7"/>
  <c r="P165" i="7"/>
  <c r="Q165" i="7"/>
  <c r="L166" i="7"/>
  <c r="M166" i="7"/>
  <c r="N166" i="7"/>
  <c r="O166" i="7"/>
  <c r="P166" i="7"/>
  <c r="Q166" i="7"/>
  <c r="L167" i="7"/>
  <c r="M167" i="7"/>
  <c r="N167" i="7"/>
  <c r="O167" i="7"/>
  <c r="P167" i="7"/>
  <c r="Q167" i="7"/>
  <c r="L168" i="7"/>
  <c r="M168" i="7"/>
  <c r="N168" i="7"/>
  <c r="O168" i="7"/>
  <c r="P168" i="7"/>
  <c r="Q168" i="7"/>
  <c r="L169" i="7"/>
  <c r="M169" i="7"/>
  <c r="N169" i="7"/>
  <c r="O169" i="7"/>
  <c r="P169" i="7"/>
  <c r="Q169" i="7"/>
  <c r="J165" i="7"/>
  <c r="J166" i="7"/>
  <c r="J167" i="7"/>
  <c r="J168" i="7"/>
  <c r="J169" i="7"/>
  <c r="L142" i="7"/>
  <c r="M142" i="7"/>
  <c r="N142" i="7"/>
  <c r="O142" i="7"/>
  <c r="P142" i="7"/>
  <c r="Q142" i="7"/>
  <c r="L143" i="7"/>
  <c r="M143" i="7"/>
  <c r="N143" i="7"/>
  <c r="O143" i="7"/>
  <c r="P143" i="7"/>
  <c r="Q143" i="7"/>
  <c r="L144" i="7"/>
  <c r="M144" i="7"/>
  <c r="N144" i="7"/>
  <c r="O144" i="7"/>
  <c r="P144" i="7"/>
  <c r="Q144" i="7"/>
  <c r="L145" i="7"/>
  <c r="M145" i="7"/>
  <c r="N145" i="7"/>
  <c r="O145" i="7"/>
  <c r="P145" i="7"/>
  <c r="Q145" i="7"/>
  <c r="L146" i="7"/>
  <c r="M146" i="7"/>
  <c r="N146" i="7"/>
  <c r="O146" i="7"/>
  <c r="P146" i="7"/>
  <c r="Q146" i="7"/>
  <c r="L147" i="7"/>
  <c r="M147" i="7"/>
  <c r="N147" i="7"/>
  <c r="O147" i="7"/>
  <c r="P147" i="7"/>
  <c r="Q147" i="7"/>
  <c r="L148" i="7"/>
  <c r="M148" i="7"/>
  <c r="N148" i="7"/>
  <c r="O148" i="7"/>
  <c r="P148" i="7"/>
  <c r="Q148" i="7"/>
  <c r="L149" i="7"/>
  <c r="M149" i="7"/>
  <c r="N149" i="7"/>
  <c r="O149" i="7"/>
  <c r="P149" i="7"/>
  <c r="Q149" i="7"/>
  <c r="L150" i="7"/>
  <c r="M150" i="7"/>
  <c r="N150" i="7"/>
  <c r="O150" i="7"/>
  <c r="P150" i="7"/>
  <c r="Q150" i="7"/>
  <c r="L151" i="7"/>
  <c r="M151" i="7"/>
  <c r="N151" i="7"/>
  <c r="O151" i="7"/>
  <c r="P151" i="7"/>
  <c r="Q151" i="7"/>
  <c r="L152" i="7"/>
  <c r="M152" i="7"/>
  <c r="N152" i="7"/>
  <c r="O152" i="7"/>
  <c r="P152" i="7"/>
  <c r="Q152" i="7"/>
  <c r="L153" i="7"/>
  <c r="M153" i="7"/>
  <c r="N153" i="7"/>
  <c r="O153" i="7"/>
  <c r="P153" i="7"/>
  <c r="Q153" i="7"/>
  <c r="L154" i="7"/>
  <c r="M154" i="7"/>
  <c r="N154" i="7"/>
  <c r="O154" i="7"/>
  <c r="P154" i="7"/>
  <c r="Q154" i="7"/>
  <c r="L155" i="7"/>
  <c r="M155" i="7"/>
  <c r="N155" i="7"/>
  <c r="O155" i="7"/>
  <c r="P155" i="7"/>
  <c r="Q155" i="7"/>
  <c r="L156" i="7"/>
  <c r="M156" i="7"/>
  <c r="N156" i="7"/>
  <c r="O156" i="7"/>
  <c r="P156" i="7"/>
  <c r="Q156" i="7"/>
  <c r="L157" i="7"/>
  <c r="M157" i="7"/>
  <c r="N157" i="7"/>
  <c r="O157" i="7"/>
  <c r="P157" i="7"/>
  <c r="Q157" i="7"/>
  <c r="L158" i="7"/>
  <c r="M158" i="7"/>
  <c r="N158" i="7"/>
  <c r="O158" i="7"/>
  <c r="P158" i="7"/>
  <c r="Q158" i="7"/>
  <c r="L159" i="7"/>
  <c r="M159" i="7"/>
  <c r="N159" i="7"/>
  <c r="O159" i="7"/>
  <c r="P159" i="7"/>
  <c r="Q159" i="7"/>
  <c r="L160" i="7"/>
  <c r="M160" i="7"/>
  <c r="N160" i="7"/>
  <c r="O160" i="7"/>
  <c r="P160" i="7"/>
  <c r="Q160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L122" i="7"/>
  <c r="M122" i="7"/>
  <c r="N122" i="7"/>
  <c r="O122" i="7"/>
  <c r="P122" i="7"/>
  <c r="Q122" i="7"/>
  <c r="L123" i="7"/>
  <c r="M123" i="7"/>
  <c r="N123" i="7"/>
  <c r="O123" i="7"/>
  <c r="P123" i="7"/>
  <c r="Q123" i="7"/>
  <c r="L124" i="7"/>
  <c r="M124" i="7"/>
  <c r="N124" i="7"/>
  <c r="O124" i="7"/>
  <c r="P124" i="7"/>
  <c r="Q124" i="7"/>
  <c r="L125" i="7"/>
  <c r="M125" i="7"/>
  <c r="N125" i="7"/>
  <c r="O125" i="7"/>
  <c r="P125" i="7"/>
  <c r="Q125" i="7"/>
  <c r="L126" i="7"/>
  <c r="M126" i="7"/>
  <c r="N126" i="7"/>
  <c r="O126" i="7"/>
  <c r="P126" i="7"/>
  <c r="Q126" i="7"/>
  <c r="L127" i="7"/>
  <c r="M127" i="7"/>
  <c r="N127" i="7"/>
  <c r="O127" i="7"/>
  <c r="P127" i="7"/>
  <c r="Q127" i="7"/>
  <c r="L128" i="7"/>
  <c r="M128" i="7"/>
  <c r="N128" i="7"/>
  <c r="O128" i="7"/>
  <c r="P128" i="7"/>
  <c r="Q128" i="7"/>
  <c r="L129" i="7"/>
  <c r="M129" i="7"/>
  <c r="N129" i="7"/>
  <c r="O129" i="7"/>
  <c r="P129" i="7"/>
  <c r="Q129" i="7"/>
  <c r="L130" i="7"/>
  <c r="M130" i="7"/>
  <c r="N130" i="7"/>
  <c r="O130" i="7"/>
  <c r="P130" i="7"/>
  <c r="Q130" i="7"/>
  <c r="L131" i="7"/>
  <c r="M131" i="7"/>
  <c r="N131" i="7"/>
  <c r="O131" i="7"/>
  <c r="P131" i="7"/>
  <c r="Q131" i="7"/>
  <c r="L132" i="7"/>
  <c r="M132" i="7"/>
  <c r="N132" i="7"/>
  <c r="O132" i="7"/>
  <c r="P132" i="7"/>
  <c r="Q132" i="7"/>
  <c r="L133" i="7"/>
  <c r="M133" i="7"/>
  <c r="N133" i="7"/>
  <c r="O133" i="7"/>
  <c r="P133" i="7"/>
  <c r="Q133" i="7"/>
  <c r="L134" i="7"/>
  <c r="M134" i="7"/>
  <c r="N134" i="7"/>
  <c r="O134" i="7"/>
  <c r="P134" i="7"/>
  <c r="Q134" i="7"/>
  <c r="L135" i="7"/>
  <c r="M135" i="7"/>
  <c r="N135" i="7"/>
  <c r="O135" i="7"/>
  <c r="P135" i="7"/>
  <c r="Q135" i="7"/>
  <c r="L136" i="7"/>
  <c r="M136" i="7"/>
  <c r="N136" i="7"/>
  <c r="O136" i="7"/>
  <c r="P136" i="7"/>
  <c r="Q136" i="7"/>
  <c r="L137" i="7"/>
  <c r="M137" i="7"/>
  <c r="N137" i="7"/>
  <c r="O137" i="7"/>
  <c r="P137" i="7"/>
  <c r="Q137" i="7"/>
  <c r="L138" i="7"/>
  <c r="M138" i="7"/>
  <c r="N138" i="7"/>
  <c r="O138" i="7"/>
  <c r="P138" i="7"/>
  <c r="Q138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L80" i="7"/>
  <c r="M80" i="7"/>
  <c r="N80" i="7"/>
  <c r="O80" i="7"/>
  <c r="P80" i="7"/>
  <c r="Q80" i="7"/>
  <c r="L81" i="7"/>
  <c r="M81" i="7"/>
  <c r="N81" i="7"/>
  <c r="O81" i="7"/>
  <c r="P81" i="7"/>
  <c r="Q81" i="7"/>
  <c r="L82" i="7"/>
  <c r="M82" i="7"/>
  <c r="N82" i="7"/>
  <c r="O82" i="7"/>
  <c r="P82" i="7"/>
  <c r="Q82" i="7"/>
  <c r="L83" i="7"/>
  <c r="M83" i="7"/>
  <c r="N83" i="7"/>
  <c r="O83" i="7"/>
  <c r="P83" i="7"/>
  <c r="Q83" i="7"/>
  <c r="L84" i="7"/>
  <c r="M84" i="7"/>
  <c r="N84" i="7"/>
  <c r="O84" i="7"/>
  <c r="P84" i="7"/>
  <c r="Q84" i="7"/>
  <c r="L85" i="7"/>
  <c r="M85" i="7"/>
  <c r="N85" i="7"/>
  <c r="O85" i="7"/>
  <c r="P85" i="7"/>
  <c r="Q85" i="7"/>
  <c r="L86" i="7"/>
  <c r="M86" i="7"/>
  <c r="N86" i="7"/>
  <c r="O86" i="7"/>
  <c r="P86" i="7"/>
  <c r="Q86" i="7"/>
  <c r="L87" i="7"/>
  <c r="M87" i="7"/>
  <c r="N87" i="7"/>
  <c r="O87" i="7"/>
  <c r="P87" i="7"/>
  <c r="Q87" i="7"/>
  <c r="L88" i="7"/>
  <c r="M88" i="7"/>
  <c r="N88" i="7"/>
  <c r="O88" i="7"/>
  <c r="P88" i="7"/>
  <c r="Q88" i="7"/>
  <c r="L89" i="7"/>
  <c r="M89" i="7"/>
  <c r="N89" i="7"/>
  <c r="O89" i="7"/>
  <c r="P89" i="7"/>
  <c r="Q89" i="7"/>
  <c r="L90" i="7"/>
  <c r="M90" i="7"/>
  <c r="N90" i="7"/>
  <c r="O90" i="7"/>
  <c r="P90" i="7"/>
  <c r="Q90" i="7"/>
  <c r="L91" i="7"/>
  <c r="M91" i="7"/>
  <c r="N91" i="7"/>
  <c r="O91" i="7"/>
  <c r="P91" i="7"/>
  <c r="Q91" i="7"/>
  <c r="L92" i="7"/>
  <c r="M92" i="7"/>
  <c r="N92" i="7"/>
  <c r="O92" i="7"/>
  <c r="P92" i="7"/>
  <c r="Q92" i="7"/>
  <c r="L93" i="7"/>
  <c r="M93" i="7"/>
  <c r="N93" i="7"/>
  <c r="O93" i="7"/>
  <c r="P93" i="7"/>
  <c r="Q93" i="7"/>
  <c r="L94" i="7"/>
  <c r="M94" i="7"/>
  <c r="N94" i="7"/>
  <c r="O94" i="7"/>
  <c r="P94" i="7"/>
  <c r="Q94" i="7"/>
  <c r="L95" i="7"/>
  <c r="M95" i="7"/>
  <c r="N95" i="7"/>
  <c r="O95" i="7"/>
  <c r="P95" i="7"/>
  <c r="Q95" i="7"/>
  <c r="L96" i="7"/>
  <c r="M96" i="7"/>
  <c r="N96" i="7"/>
  <c r="O96" i="7"/>
  <c r="P96" i="7"/>
  <c r="Q96" i="7"/>
  <c r="L97" i="7"/>
  <c r="M97" i="7"/>
  <c r="N97" i="7"/>
  <c r="O97" i="7"/>
  <c r="P97" i="7"/>
  <c r="Q97" i="7"/>
  <c r="L98" i="7"/>
  <c r="M98" i="7"/>
  <c r="N98" i="7"/>
  <c r="O98" i="7"/>
  <c r="P98" i="7"/>
  <c r="Q98" i="7"/>
  <c r="L99" i="7"/>
  <c r="M99" i="7"/>
  <c r="N99" i="7"/>
  <c r="O99" i="7"/>
  <c r="P99" i="7"/>
  <c r="Q99" i="7"/>
  <c r="L100" i="7"/>
  <c r="M100" i="7"/>
  <c r="N100" i="7"/>
  <c r="O100" i="7"/>
  <c r="P100" i="7"/>
  <c r="Q100" i="7"/>
  <c r="L101" i="7"/>
  <c r="M101" i="7"/>
  <c r="N101" i="7"/>
  <c r="O101" i="7"/>
  <c r="P101" i="7"/>
  <c r="Q101" i="7"/>
  <c r="L102" i="7"/>
  <c r="M102" i="7"/>
  <c r="N102" i="7"/>
  <c r="O102" i="7"/>
  <c r="P102" i="7"/>
  <c r="Q102" i="7"/>
  <c r="L103" i="7"/>
  <c r="M103" i="7"/>
  <c r="N103" i="7"/>
  <c r="O103" i="7"/>
  <c r="P103" i="7"/>
  <c r="Q103" i="7"/>
  <c r="L104" i="7"/>
  <c r="M104" i="7"/>
  <c r="N104" i="7"/>
  <c r="O104" i="7"/>
  <c r="P104" i="7"/>
  <c r="Q104" i="7"/>
  <c r="L105" i="7"/>
  <c r="M105" i="7"/>
  <c r="N105" i="7"/>
  <c r="O105" i="7"/>
  <c r="P105" i="7"/>
  <c r="Q105" i="7"/>
  <c r="L106" i="7"/>
  <c r="M106" i="7"/>
  <c r="N106" i="7"/>
  <c r="O106" i="7"/>
  <c r="P106" i="7"/>
  <c r="Q106" i="7"/>
  <c r="L107" i="7"/>
  <c r="M107" i="7"/>
  <c r="N107" i="7"/>
  <c r="O107" i="7"/>
  <c r="P107" i="7"/>
  <c r="Q107" i="7"/>
  <c r="L108" i="7"/>
  <c r="M108" i="7"/>
  <c r="N108" i="7"/>
  <c r="O108" i="7"/>
  <c r="P108" i="7"/>
  <c r="Q108" i="7"/>
  <c r="L109" i="7"/>
  <c r="M109" i="7"/>
  <c r="N109" i="7"/>
  <c r="O109" i="7"/>
  <c r="P109" i="7"/>
  <c r="Q109" i="7"/>
  <c r="L110" i="7"/>
  <c r="M110" i="7"/>
  <c r="N110" i="7"/>
  <c r="O110" i="7"/>
  <c r="P110" i="7"/>
  <c r="Q110" i="7"/>
  <c r="L111" i="7"/>
  <c r="M111" i="7"/>
  <c r="N111" i="7"/>
  <c r="O111" i="7"/>
  <c r="P111" i="7"/>
  <c r="Q111" i="7"/>
  <c r="L112" i="7"/>
  <c r="M112" i="7"/>
  <c r="N112" i="7"/>
  <c r="O112" i="7"/>
  <c r="P112" i="7"/>
  <c r="Q112" i="7"/>
  <c r="L113" i="7"/>
  <c r="M113" i="7"/>
  <c r="N113" i="7"/>
  <c r="O113" i="7"/>
  <c r="P113" i="7"/>
  <c r="Q113" i="7"/>
  <c r="L114" i="7"/>
  <c r="M114" i="7"/>
  <c r="N114" i="7"/>
  <c r="O114" i="7"/>
  <c r="P114" i="7"/>
  <c r="Q114" i="7"/>
  <c r="L115" i="7"/>
  <c r="M115" i="7"/>
  <c r="N115" i="7"/>
  <c r="O115" i="7"/>
  <c r="P115" i="7"/>
  <c r="Q115" i="7"/>
  <c r="L116" i="7"/>
  <c r="M116" i="7"/>
  <c r="N116" i="7"/>
  <c r="O116" i="7"/>
  <c r="P116" i="7"/>
  <c r="Q116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L29" i="7"/>
  <c r="M29" i="7"/>
  <c r="N29" i="7"/>
  <c r="O29" i="7"/>
  <c r="P29" i="7"/>
  <c r="Q29" i="7"/>
  <c r="L30" i="7"/>
  <c r="M30" i="7"/>
  <c r="N30" i="7"/>
  <c r="O30" i="7"/>
  <c r="P30" i="7"/>
  <c r="Q30" i="7"/>
  <c r="L31" i="7"/>
  <c r="M31" i="7"/>
  <c r="N31" i="7"/>
  <c r="O31" i="7"/>
  <c r="P31" i="7"/>
  <c r="Q31" i="7"/>
  <c r="L32" i="7"/>
  <c r="M32" i="7"/>
  <c r="N32" i="7"/>
  <c r="O32" i="7"/>
  <c r="P32" i="7"/>
  <c r="Q32" i="7"/>
  <c r="L33" i="7"/>
  <c r="M33" i="7"/>
  <c r="N33" i="7"/>
  <c r="O33" i="7"/>
  <c r="P33" i="7"/>
  <c r="Q33" i="7"/>
  <c r="L34" i="7"/>
  <c r="M34" i="7"/>
  <c r="N34" i="7"/>
  <c r="O34" i="7"/>
  <c r="P34" i="7"/>
  <c r="Q34" i="7"/>
  <c r="L35" i="7"/>
  <c r="M35" i="7"/>
  <c r="N35" i="7"/>
  <c r="O35" i="7"/>
  <c r="P35" i="7"/>
  <c r="Q35" i="7"/>
  <c r="L36" i="7"/>
  <c r="M36" i="7"/>
  <c r="N36" i="7"/>
  <c r="O36" i="7"/>
  <c r="P36" i="7"/>
  <c r="Q36" i="7"/>
  <c r="L37" i="7"/>
  <c r="M37" i="7"/>
  <c r="N37" i="7"/>
  <c r="O37" i="7"/>
  <c r="P37" i="7"/>
  <c r="Q37" i="7"/>
  <c r="L38" i="7"/>
  <c r="M38" i="7"/>
  <c r="N38" i="7"/>
  <c r="O38" i="7"/>
  <c r="P38" i="7"/>
  <c r="Q38" i="7"/>
  <c r="L39" i="7"/>
  <c r="M39" i="7"/>
  <c r="N39" i="7"/>
  <c r="O39" i="7"/>
  <c r="P39" i="7"/>
  <c r="Q39" i="7"/>
  <c r="L40" i="7"/>
  <c r="M40" i="7"/>
  <c r="N40" i="7"/>
  <c r="O40" i="7"/>
  <c r="P40" i="7"/>
  <c r="Q40" i="7"/>
  <c r="L41" i="7"/>
  <c r="M41" i="7"/>
  <c r="N41" i="7"/>
  <c r="O41" i="7"/>
  <c r="P41" i="7"/>
  <c r="Q41" i="7"/>
  <c r="L42" i="7"/>
  <c r="M42" i="7"/>
  <c r="N42" i="7"/>
  <c r="O42" i="7"/>
  <c r="P42" i="7"/>
  <c r="Q42" i="7"/>
  <c r="L43" i="7"/>
  <c r="M43" i="7"/>
  <c r="N43" i="7"/>
  <c r="O43" i="7"/>
  <c r="P43" i="7"/>
  <c r="Q43" i="7"/>
  <c r="L44" i="7"/>
  <c r="M44" i="7"/>
  <c r="N44" i="7"/>
  <c r="O44" i="7"/>
  <c r="P44" i="7"/>
  <c r="Q44" i="7"/>
  <c r="L45" i="7"/>
  <c r="M45" i="7"/>
  <c r="N45" i="7"/>
  <c r="O45" i="7"/>
  <c r="P45" i="7"/>
  <c r="Q45" i="7"/>
  <c r="L46" i="7"/>
  <c r="M46" i="7"/>
  <c r="N46" i="7"/>
  <c r="O46" i="7"/>
  <c r="P46" i="7"/>
  <c r="Q46" i="7"/>
  <c r="L47" i="7"/>
  <c r="M47" i="7"/>
  <c r="N47" i="7"/>
  <c r="O47" i="7"/>
  <c r="P47" i="7"/>
  <c r="Q47" i="7"/>
  <c r="L48" i="7"/>
  <c r="M48" i="7"/>
  <c r="N48" i="7"/>
  <c r="O48" i="7"/>
  <c r="P48" i="7"/>
  <c r="Q48" i="7"/>
  <c r="L49" i="7"/>
  <c r="M49" i="7"/>
  <c r="N49" i="7"/>
  <c r="O49" i="7"/>
  <c r="P49" i="7"/>
  <c r="Q49" i="7"/>
  <c r="L50" i="7"/>
  <c r="M50" i="7"/>
  <c r="N50" i="7"/>
  <c r="O50" i="7"/>
  <c r="P50" i="7"/>
  <c r="Q50" i="7"/>
  <c r="L51" i="7"/>
  <c r="M51" i="7"/>
  <c r="N51" i="7"/>
  <c r="O51" i="7"/>
  <c r="P51" i="7"/>
  <c r="Q51" i="7"/>
  <c r="L52" i="7"/>
  <c r="M52" i="7"/>
  <c r="N52" i="7"/>
  <c r="O52" i="7"/>
  <c r="P52" i="7"/>
  <c r="Q52" i="7"/>
  <c r="L53" i="7"/>
  <c r="M53" i="7"/>
  <c r="N53" i="7"/>
  <c r="O53" i="7"/>
  <c r="P53" i="7"/>
  <c r="Q53" i="7"/>
  <c r="L54" i="7"/>
  <c r="M54" i="7"/>
  <c r="N54" i="7"/>
  <c r="O54" i="7"/>
  <c r="P54" i="7"/>
  <c r="Q54" i="7"/>
  <c r="L55" i="7"/>
  <c r="M55" i="7"/>
  <c r="N55" i="7"/>
  <c r="O55" i="7"/>
  <c r="P55" i="7"/>
  <c r="Q55" i="7"/>
  <c r="L56" i="7"/>
  <c r="M56" i="7"/>
  <c r="N56" i="7"/>
  <c r="O56" i="7"/>
  <c r="P56" i="7"/>
  <c r="Q56" i="7"/>
  <c r="L57" i="7"/>
  <c r="M57" i="7"/>
  <c r="N57" i="7"/>
  <c r="O57" i="7"/>
  <c r="P57" i="7"/>
  <c r="Q57" i="7"/>
  <c r="L58" i="7"/>
  <c r="M58" i="7"/>
  <c r="N58" i="7"/>
  <c r="O58" i="7"/>
  <c r="P58" i="7"/>
  <c r="Q58" i="7"/>
  <c r="L59" i="7"/>
  <c r="M59" i="7"/>
  <c r="N59" i="7"/>
  <c r="O59" i="7"/>
  <c r="P59" i="7"/>
  <c r="Q59" i="7"/>
  <c r="L60" i="7"/>
  <c r="M60" i="7"/>
  <c r="N60" i="7"/>
  <c r="O60" i="7"/>
  <c r="P60" i="7"/>
  <c r="Q60" i="7"/>
  <c r="L61" i="7"/>
  <c r="M61" i="7"/>
  <c r="N61" i="7"/>
  <c r="O61" i="7"/>
  <c r="P61" i="7"/>
  <c r="Q61" i="7"/>
  <c r="L62" i="7"/>
  <c r="M62" i="7"/>
  <c r="N62" i="7"/>
  <c r="O62" i="7"/>
  <c r="P62" i="7"/>
  <c r="Q62" i="7"/>
  <c r="L63" i="7"/>
  <c r="M63" i="7"/>
  <c r="N63" i="7"/>
  <c r="O63" i="7"/>
  <c r="P63" i="7"/>
  <c r="Q63" i="7"/>
  <c r="L64" i="7"/>
  <c r="M64" i="7"/>
  <c r="N64" i="7"/>
  <c r="O64" i="7"/>
  <c r="P64" i="7"/>
  <c r="Q64" i="7"/>
  <c r="L65" i="7"/>
  <c r="M65" i="7"/>
  <c r="N65" i="7"/>
  <c r="O65" i="7"/>
  <c r="P65" i="7"/>
  <c r="Q65" i="7"/>
  <c r="L66" i="7"/>
  <c r="M66" i="7"/>
  <c r="N66" i="7"/>
  <c r="O66" i="7"/>
  <c r="P66" i="7"/>
  <c r="Q66" i="7"/>
  <c r="L67" i="7"/>
  <c r="M67" i="7"/>
  <c r="N67" i="7"/>
  <c r="O67" i="7"/>
  <c r="P67" i="7"/>
  <c r="Q67" i="7"/>
  <c r="L68" i="7"/>
  <c r="M68" i="7"/>
  <c r="N68" i="7"/>
  <c r="O68" i="7"/>
  <c r="P68" i="7"/>
  <c r="Q68" i="7"/>
  <c r="L69" i="7"/>
  <c r="M69" i="7"/>
  <c r="N69" i="7"/>
  <c r="O69" i="7"/>
  <c r="P69" i="7"/>
  <c r="Q69" i="7"/>
  <c r="L70" i="7"/>
  <c r="M70" i="7"/>
  <c r="N70" i="7"/>
  <c r="O70" i="7"/>
  <c r="P70" i="7"/>
  <c r="Q70" i="7"/>
  <c r="L71" i="7"/>
  <c r="M71" i="7"/>
  <c r="N71" i="7"/>
  <c r="O71" i="7"/>
  <c r="P71" i="7"/>
  <c r="Q71" i="7"/>
  <c r="L72" i="7"/>
  <c r="M72" i="7"/>
  <c r="N72" i="7"/>
  <c r="O72" i="7"/>
  <c r="P72" i="7"/>
  <c r="Q72" i="7"/>
  <c r="L73" i="7"/>
  <c r="M73" i="7"/>
  <c r="N73" i="7"/>
  <c r="O73" i="7"/>
  <c r="P73" i="7"/>
  <c r="Q73" i="7"/>
  <c r="L74" i="7"/>
  <c r="M74" i="7"/>
  <c r="N74" i="7"/>
  <c r="O74" i="7"/>
  <c r="P74" i="7"/>
  <c r="Q74" i="7"/>
  <c r="L75" i="7"/>
  <c r="M75" i="7"/>
  <c r="N75" i="7"/>
  <c r="O75" i="7"/>
  <c r="P75" i="7"/>
  <c r="Q75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L6" i="7"/>
  <c r="M6" i="7"/>
  <c r="N6" i="7"/>
  <c r="O6" i="7"/>
  <c r="P6" i="7"/>
  <c r="Q6" i="7"/>
  <c r="L7" i="7"/>
  <c r="M7" i="7"/>
  <c r="N7" i="7"/>
  <c r="O7" i="7"/>
  <c r="P7" i="7"/>
  <c r="Q7" i="7"/>
  <c r="L8" i="7"/>
  <c r="M8" i="7"/>
  <c r="N8" i="7"/>
  <c r="O8" i="7"/>
  <c r="P8" i="7"/>
  <c r="Q8" i="7"/>
  <c r="L9" i="7"/>
  <c r="M9" i="7"/>
  <c r="N9" i="7"/>
  <c r="O9" i="7"/>
  <c r="P9" i="7"/>
  <c r="Q9" i="7"/>
  <c r="L10" i="7"/>
  <c r="M10" i="7"/>
  <c r="N10" i="7"/>
  <c r="O10" i="7"/>
  <c r="P10" i="7"/>
  <c r="Q10" i="7"/>
  <c r="L11" i="7"/>
  <c r="M11" i="7"/>
  <c r="N11" i="7"/>
  <c r="O11" i="7"/>
  <c r="P11" i="7"/>
  <c r="Q11" i="7"/>
  <c r="L12" i="7"/>
  <c r="M12" i="7"/>
  <c r="N12" i="7"/>
  <c r="O12" i="7"/>
  <c r="P12" i="7"/>
  <c r="Q12" i="7"/>
  <c r="L13" i="7"/>
  <c r="M13" i="7"/>
  <c r="N13" i="7"/>
  <c r="O13" i="7"/>
  <c r="P13" i="7"/>
  <c r="Q13" i="7"/>
  <c r="L14" i="7"/>
  <c r="M14" i="7"/>
  <c r="N14" i="7"/>
  <c r="O14" i="7"/>
  <c r="P14" i="7"/>
  <c r="Q14" i="7"/>
  <c r="L15" i="7"/>
  <c r="M15" i="7"/>
  <c r="N15" i="7"/>
  <c r="O15" i="7"/>
  <c r="P15" i="7"/>
  <c r="Q15" i="7"/>
  <c r="L16" i="7"/>
  <c r="M16" i="7"/>
  <c r="N16" i="7"/>
  <c r="O16" i="7"/>
  <c r="P16" i="7"/>
  <c r="Q16" i="7"/>
  <c r="L17" i="7"/>
  <c r="M17" i="7"/>
  <c r="N17" i="7"/>
  <c r="O17" i="7"/>
  <c r="P17" i="7"/>
  <c r="Q17" i="7"/>
  <c r="L18" i="7"/>
  <c r="M18" i="7"/>
  <c r="N18" i="7"/>
  <c r="O18" i="7"/>
  <c r="P18" i="7"/>
  <c r="Q18" i="7"/>
  <c r="L19" i="7"/>
  <c r="M19" i="7"/>
  <c r="N19" i="7"/>
  <c r="O19" i="7"/>
  <c r="P19" i="7"/>
  <c r="Q19" i="7"/>
  <c r="L20" i="7"/>
  <c r="M20" i="7"/>
  <c r="N20" i="7"/>
  <c r="O20" i="7"/>
  <c r="P20" i="7"/>
  <c r="Q20" i="7"/>
  <c r="L21" i="7"/>
  <c r="M21" i="7"/>
  <c r="N21" i="7"/>
  <c r="O21" i="7"/>
  <c r="P21" i="7"/>
  <c r="Q21" i="7"/>
  <c r="L22" i="7"/>
  <c r="M22" i="7"/>
  <c r="N22" i="7"/>
  <c r="O22" i="7"/>
  <c r="P22" i="7"/>
  <c r="Q22" i="7"/>
  <c r="L23" i="7"/>
  <c r="M23" i="7"/>
  <c r="N23" i="7"/>
  <c r="O23" i="7"/>
  <c r="P23" i="7"/>
  <c r="Q23" i="7"/>
  <c r="L24" i="7"/>
  <c r="M24" i="7"/>
  <c r="N24" i="7"/>
  <c r="O24" i="7"/>
  <c r="P24" i="7"/>
  <c r="Q24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B13" i="2"/>
  <c r="B12" i="2"/>
  <c r="B11" i="2"/>
  <c r="B10" i="2"/>
  <c r="B9" i="2"/>
  <c r="B8" i="2"/>
  <c r="B7" i="2"/>
  <c r="B6" i="2"/>
  <c r="B5" i="2"/>
  <c r="D236" i="7"/>
  <c r="H69" i="7" l="1"/>
  <c r="H10" i="7" l="1"/>
  <c r="H169" i="7" l="1"/>
  <c r="K137" i="7"/>
  <c r="H102" i="7"/>
  <c r="F241" i="7" l="1"/>
  <c r="E241" i="7"/>
  <c r="D241" i="7"/>
  <c r="F158" i="7"/>
  <c r="D148" i="7" l="1"/>
  <c r="E146" i="7"/>
  <c r="K145" i="7"/>
  <c r="D144" i="7"/>
  <c r="T136" i="7"/>
  <c r="K133" i="7"/>
  <c r="G133" i="7"/>
  <c r="E133" i="7"/>
  <c r="D133" i="7"/>
  <c r="S129" i="7" l="1"/>
  <c r="R129" i="7"/>
  <c r="S127" i="7"/>
  <c r="S124" i="7" l="1"/>
  <c r="R124" i="7"/>
  <c r="K124" i="7"/>
  <c r="G124" i="7"/>
  <c r="F124" i="7"/>
  <c r="E124" i="7"/>
  <c r="D124" i="7"/>
  <c r="S138" i="7" l="1"/>
  <c r="R138" i="7"/>
  <c r="G138" i="7"/>
  <c r="K157" i="7" l="1"/>
  <c r="E157" i="7"/>
  <c r="K127" i="7" l="1"/>
  <c r="E127" i="7"/>
  <c r="D127" i="7"/>
  <c r="G65" i="7" l="1"/>
  <c r="K150" i="7" l="1"/>
  <c r="G150" i="7"/>
  <c r="E150" i="7"/>
  <c r="D150" i="7"/>
  <c r="D100" i="7"/>
  <c r="H64" i="7" l="1"/>
  <c r="D64" i="7"/>
  <c r="H105" i="7" l="1"/>
  <c r="S152" i="7" l="1"/>
  <c r="R152" i="7"/>
  <c r="G152" i="7"/>
  <c r="F152" i="7"/>
  <c r="E152" i="7"/>
  <c r="D152" i="7"/>
  <c r="S132" i="7" l="1"/>
  <c r="R132" i="7"/>
  <c r="S131" i="7"/>
  <c r="R131" i="7"/>
  <c r="S244" i="7"/>
  <c r="R244" i="7"/>
  <c r="S159" i="7"/>
  <c r="R159" i="7"/>
  <c r="K159" i="7"/>
  <c r="G159" i="7"/>
  <c r="F159" i="7"/>
  <c r="E159" i="7"/>
  <c r="D159" i="7"/>
  <c r="K129" i="7"/>
  <c r="G129" i="7"/>
  <c r="E129" i="7"/>
  <c r="D129" i="7"/>
  <c r="S153" i="7"/>
  <c r="R153" i="7"/>
  <c r="K153" i="7"/>
  <c r="G153" i="7"/>
  <c r="E153" i="7"/>
  <c r="D153" i="7"/>
  <c r="S128" i="7" l="1"/>
  <c r="R128" i="7"/>
  <c r="K128" i="7"/>
  <c r="G128" i="7"/>
  <c r="E128" i="7"/>
  <c r="D128" i="7"/>
  <c r="H65" i="7" l="1"/>
  <c r="S158" i="7" l="1"/>
  <c r="R158" i="7"/>
  <c r="K158" i="7"/>
  <c r="G158" i="7"/>
  <c r="E158" i="7"/>
  <c r="D158" i="7"/>
  <c r="S125" i="7" l="1"/>
  <c r="R125" i="7"/>
  <c r="K125" i="7"/>
  <c r="G125" i="7"/>
  <c r="E125" i="7"/>
  <c r="D125" i="7"/>
  <c r="S145" i="7"/>
  <c r="R145" i="7"/>
  <c r="G145" i="7"/>
  <c r="E145" i="7"/>
  <c r="D145" i="7"/>
  <c r="S126" i="7" l="1"/>
  <c r="R126" i="7"/>
  <c r="K126" i="7"/>
  <c r="G126" i="7"/>
  <c r="E126" i="7"/>
  <c r="D126" i="7"/>
  <c r="S134" i="7"/>
  <c r="R134" i="7"/>
  <c r="K134" i="7"/>
  <c r="G134" i="7"/>
  <c r="E134" i="7"/>
  <c r="D134" i="7"/>
  <c r="K149" i="7"/>
  <c r="G149" i="7"/>
  <c r="E149" i="7"/>
  <c r="D149" i="7"/>
  <c r="S241" i="7"/>
  <c r="R241" i="7"/>
  <c r="K241" i="7"/>
  <c r="G241" i="7"/>
  <c r="S123" i="7" l="1"/>
  <c r="R123" i="7"/>
  <c r="K123" i="7"/>
  <c r="G123" i="7"/>
  <c r="F123" i="7"/>
  <c r="E123" i="7"/>
  <c r="D123" i="7"/>
  <c r="S146" i="7" l="1"/>
  <c r="R146" i="7"/>
  <c r="S147" i="7"/>
  <c r="R147" i="7"/>
  <c r="K147" i="7"/>
  <c r="G147" i="7"/>
  <c r="E147" i="7"/>
  <c r="D147" i="7"/>
  <c r="G137" i="7"/>
  <c r="E137" i="7"/>
  <c r="D137" i="7"/>
  <c r="R127" i="7"/>
  <c r="G127" i="7"/>
  <c r="S142" i="7"/>
  <c r="R142" i="7"/>
  <c r="K142" i="7"/>
  <c r="G142" i="7"/>
  <c r="E142" i="7"/>
  <c r="D142" i="7"/>
  <c r="S154" i="7" l="1"/>
  <c r="R154" i="7"/>
  <c r="K154" i="7"/>
  <c r="G154" i="7"/>
  <c r="E154" i="7"/>
  <c r="D154" i="7"/>
  <c r="S246" i="7" l="1"/>
  <c r="R246" i="7"/>
  <c r="K246" i="7"/>
  <c r="G246" i="7"/>
  <c r="E246" i="7"/>
  <c r="D246" i="7"/>
  <c r="S144" i="7" l="1"/>
  <c r="R144" i="7"/>
  <c r="K144" i="7"/>
  <c r="G144" i="7"/>
  <c r="E144" i="7"/>
  <c r="S130" i="7" l="1"/>
  <c r="R130" i="7"/>
  <c r="K130" i="7"/>
  <c r="G130" i="7"/>
  <c r="E130" i="7"/>
  <c r="D130" i="7"/>
  <c r="R122" i="7"/>
  <c r="K122" i="7"/>
  <c r="G122" i="7"/>
  <c r="E122" i="7"/>
  <c r="D122" i="7"/>
  <c r="S157" i="7" l="1"/>
  <c r="R157" i="7"/>
  <c r="G157" i="7"/>
  <c r="D157" i="7"/>
  <c r="K135" i="7" l="1"/>
  <c r="G135" i="7"/>
  <c r="E135" i="7"/>
  <c r="D135" i="7"/>
  <c r="S148" i="7" l="1"/>
  <c r="R148" i="7"/>
  <c r="K148" i="7"/>
  <c r="G148" i="7"/>
  <c r="E148" i="7"/>
  <c r="S121" i="7" l="1"/>
  <c r="R121" i="7"/>
  <c r="H198" i="7" l="1"/>
  <c r="S143" i="7"/>
  <c r="R143" i="7"/>
  <c r="K143" i="7"/>
  <c r="G143" i="7"/>
  <c r="E143" i="7"/>
  <c r="D143" i="7"/>
  <c r="K138" i="7" l="1"/>
  <c r="E138" i="7"/>
  <c r="D138" i="7"/>
  <c r="H53" i="7" l="1"/>
  <c r="H187" i="7" l="1"/>
  <c r="S160" i="7"/>
  <c r="R160" i="7"/>
  <c r="K160" i="7"/>
  <c r="G160" i="7"/>
  <c r="E160" i="7"/>
  <c r="D160" i="7"/>
  <c r="S141" i="7"/>
  <c r="R141" i="7"/>
  <c r="K141" i="7"/>
  <c r="G141" i="7"/>
  <c r="E141" i="7"/>
  <c r="D141" i="7"/>
  <c r="S155" i="7"/>
  <c r="R155" i="7"/>
  <c r="K155" i="7"/>
  <c r="G155" i="7"/>
  <c r="E155" i="7"/>
  <c r="D155" i="7"/>
  <c r="S151" i="7" l="1"/>
  <c r="R151" i="7"/>
  <c r="K151" i="7"/>
  <c r="G151" i="7"/>
  <c r="E151" i="7"/>
  <c r="D151" i="7"/>
  <c r="I117" i="7" l="1"/>
  <c r="H245" i="7" l="1"/>
  <c r="K152" i="7" l="1"/>
  <c r="H31" i="7" l="1"/>
  <c r="H6" i="7"/>
  <c r="M79" i="7"/>
  <c r="H79" i="7"/>
  <c r="S135" i="7" l="1"/>
  <c r="R135" i="7"/>
  <c r="H135" i="7"/>
  <c r="H58" i="7" l="1"/>
  <c r="H191" i="7"/>
  <c r="H207" i="7" l="1"/>
  <c r="H67" i="7" l="1"/>
  <c r="H30" i="7"/>
  <c r="H142" i="7" l="1"/>
  <c r="H137" i="7"/>
  <c r="J79" i="7"/>
  <c r="S150" i="7" l="1"/>
  <c r="R150" i="7"/>
  <c r="H32" i="7" l="1"/>
  <c r="H50" i="7" l="1"/>
  <c r="H23" i="7" l="1"/>
  <c r="H226" i="7" l="1"/>
  <c r="H98" i="7" l="1"/>
  <c r="H227" i="7"/>
  <c r="H184" i="7"/>
  <c r="H185" i="7"/>
  <c r="H114" i="7"/>
  <c r="H228" i="7"/>
  <c r="H148" i="7" l="1"/>
  <c r="H47" i="7" l="1"/>
  <c r="H56" i="7" l="1"/>
  <c r="H85" i="7" l="1"/>
  <c r="H144" i="7"/>
  <c r="H111" i="7"/>
  <c r="H195" i="7"/>
  <c r="H220" i="7"/>
  <c r="H159" i="7" l="1"/>
  <c r="H51" i="7" l="1"/>
  <c r="H42" i="7" l="1"/>
  <c r="H181" i="7"/>
  <c r="H182" i="7"/>
  <c r="H174" i="7"/>
  <c r="H175" i="7"/>
  <c r="P233" i="7" l="1"/>
  <c r="N233" i="7"/>
  <c r="M233" i="7"/>
  <c r="H233" i="7"/>
  <c r="Q233" i="7" s="1"/>
  <c r="O233" i="7" l="1"/>
  <c r="H173" i="7" l="1"/>
  <c r="I247" i="7" l="1"/>
  <c r="H154" i="7"/>
  <c r="H63" i="7"/>
  <c r="J241" i="7" l="1"/>
  <c r="T237" i="7"/>
  <c r="K237" i="7"/>
  <c r="I237" i="7"/>
  <c r="B4" i="3" l="1"/>
  <c r="C12" i="2"/>
  <c r="J233" i="7"/>
  <c r="L233" i="7"/>
  <c r="H197" i="7"/>
  <c r="H156" i="7"/>
  <c r="T247" i="7" l="1"/>
  <c r="B14" i="6" s="1"/>
  <c r="B13" i="6"/>
  <c r="H74" i="7" l="1"/>
  <c r="H115" i="7" l="1"/>
  <c r="H158" i="7" l="1"/>
  <c r="H121" i="7"/>
  <c r="H246" i="7" l="1"/>
  <c r="H243" i="7"/>
  <c r="H244" i="7"/>
  <c r="H242" i="7"/>
  <c r="H165" i="7" l="1"/>
  <c r="K247" i="7" l="1"/>
  <c r="P241" i="7"/>
  <c r="M241" i="7"/>
  <c r="N241" i="7"/>
  <c r="H241" i="7"/>
  <c r="B3" i="3" l="1"/>
  <c r="C13" i="2"/>
  <c r="L241" i="7"/>
  <c r="Q241" i="7"/>
  <c r="O241" i="7"/>
  <c r="H5" i="7"/>
  <c r="H49" i="7" l="1"/>
  <c r="S133" i="7"/>
  <c r="R133" i="7"/>
  <c r="H133" i="7" l="1"/>
  <c r="H18" i="7"/>
  <c r="H177" i="7" l="1"/>
  <c r="H236" i="7" l="1"/>
  <c r="H234" i="7"/>
  <c r="H235" i="7"/>
  <c r="H230" i="7"/>
  <c r="H20" i="7" l="1"/>
  <c r="H145" i="7" l="1"/>
  <c r="H128" i="7"/>
  <c r="S122" i="7"/>
  <c r="S149" i="7"/>
  <c r="R149" i="7"/>
  <c r="M206" i="7" l="1"/>
  <c r="N206" i="7"/>
  <c r="P206" i="7"/>
  <c r="H218" i="7" l="1"/>
  <c r="H124" i="7"/>
  <c r="H36" i="7" l="1"/>
  <c r="H34" i="7" l="1"/>
  <c r="H149" i="7" l="1"/>
  <c r="H54" i="7" l="1"/>
  <c r="H48" i="7" l="1"/>
  <c r="H164" i="7" l="1"/>
  <c r="H113" i="7" l="1"/>
  <c r="T170" i="7" l="1"/>
  <c r="B10" i="6" s="1"/>
  <c r="K170" i="7"/>
  <c r="P217" i="7"/>
  <c r="N217" i="7"/>
  <c r="M217" i="7"/>
  <c r="I170" i="7"/>
  <c r="C9" i="2" l="1"/>
  <c r="B8" i="3"/>
  <c r="M170" i="7"/>
  <c r="H222" i="7"/>
  <c r="H16" i="7" l="1"/>
  <c r="H146" i="7" l="1"/>
  <c r="H91" i="7"/>
  <c r="H189" i="7"/>
  <c r="H22" i="7"/>
  <c r="H176" i="7" l="1"/>
  <c r="H178" i="7"/>
  <c r="H179" i="7"/>
  <c r="H180" i="7"/>
  <c r="H183" i="7"/>
  <c r="H186" i="7"/>
  <c r="H188" i="7"/>
  <c r="H190" i="7"/>
  <c r="H192" i="7"/>
  <c r="H193" i="7"/>
  <c r="H194" i="7"/>
  <c r="H196" i="7"/>
  <c r="H199" i="7"/>
  <c r="H201" i="7"/>
  <c r="H200" i="7"/>
  <c r="H202" i="7"/>
  <c r="P164" i="7" l="1"/>
  <c r="N164" i="7"/>
  <c r="M164" i="7"/>
  <c r="H219" i="7" l="1"/>
  <c r="H221" i="7"/>
  <c r="H223" i="7"/>
  <c r="H224" i="7"/>
  <c r="H225" i="7"/>
  <c r="H229" i="7"/>
  <c r="H217" i="7" l="1"/>
  <c r="H214" i="7"/>
  <c r="H213" i="7"/>
  <c r="H206" i="7"/>
  <c r="H208" i="7"/>
  <c r="H166" i="7"/>
  <c r="H167" i="7"/>
  <c r="H168" i="7"/>
  <c r="H143" i="7"/>
  <c r="H147" i="7"/>
  <c r="H150" i="7"/>
  <c r="H151" i="7"/>
  <c r="H152" i="7"/>
  <c r="H153" i="7"/>
  <c r="H155" i="7"/>
  <c r="H157" i="7"/>
  <c r="H160" i="7"/>
  <c r="H141" i="7"/>
  <c r="H122" i="7"/>
  <c r="H123" i="7"/>
  <c r="H125" i="7"/>
  <c r="H126" i="7"/>
  <c r="H127" i="7"/>
  <c r="H129" i="7"/>
  <c r="H131" i="7"/>
  <c r="H132" i="7"/>
  <c r="H134" i="7"/>
  <c r="H130" i="7"/>
  <c r="H138" i="7"/>
  <c r="H136" i="7"/>
  <c r="O206" i="7" l="1"/>
  <c r="Q206" i="7"/>
  <c r="O217" i="7"/>
  <c r="Q164" i="7"/>
  <c r="O164" i="7"/>
  <c r="H80" i="7"/>
  <c r="H81" i="7"/>
  <c r="H82" i="7"/>
  <c r="H83" i="7"/>
  <c r="H84" i="7"/>
  <c r="H87" i="7"/>
  <c r="H88" i="7"/>
  <c r="H89" i="7"/>
  <c r="H90" i="7"/>
  <c r="H92" i="7"/>
  <c r="H93" i="7"/>
  <c r="H94" i="7"/>
  <c r="H95" i="7"/>
  <c r="H97" i="7"/>
  <c r="H99" i="7"/>
  <c r="H100" i="7"/>
  <c r="H96" i="7"/>
  <c r="H101" i="7"/>
  <c r="H86" i="7"/>
  <c r="H103" i="7"/>
  <c r="H104" i="7"/>
  <c r="H106" i="7"/>
  <c r="H107" i="7"/>
  <c r="H108" i="7"/>
  <c r="H109" i="7"/>
  <c r="H110" i="7"/>
  <c r="H112" i="7"/>
  <c r="H116" i="7"/>
  <c r="H8" i="7"/>
  <c r="H9" i="7"/>
  <c r="H12" i="7"/>
  <c r="H13" i="7"/>
  <c r="H14" i="7"/>
  <c r="H15" i="7"/>
  <c r="H11" i="7"/>
  <c r="H17" i="7"/>
  <c r="H19" i="7"/>
  <c r="H21" i="7"/>
  <c r="H24" i="7"/>
  <c r="H7" i="7"/>
  <c r="H29" i="7" l="1"/>
  <c r="H33" i="7"/>
  <c r="H35" i="7"/>
  <c r="H37" i="7"/>
  <c r="H38" i="7"/>
  <c r="H39" i="7"/>
  <c r="H40" i="7"/>
  <c r="H41" i="7"/>
  <c r="H43" i="7"/>
  <c r="H44" i="7"/>
  <c r="H45" i="7"/>
  <c r="H52" i="7"/>
  <c r="H55" i="7"/>
  <c r="H46" i="7"/>
  <c r="H57" i="7"/>
  <c r="H59" i="7"/>
  <c r="H60" i="7"/>
  <c r="H61" i="7"/>
  <c r="H62" i="7"/>
  <c r="H66" i="7"/>
  <c r="H68" i="7"/>
  <c r="H70" i="7"/>
  <c r="H71" i="7"/>
  <c r="H72" i="7"/>
  <c r="H73" i="7"/>
  <c r="H75" i="7"/>
  <c r="Q213" i="7" l="1"/>
  <c r="P213" i="7"/>
  <c r="O213" i="7"/>
  <c r="N213" i="7"/>
  <c r="M213" i="7"/>
  <c r="T209" i="7"/>
  <c r="B12" i="6" s="1"/>
  <c r="K209" i="7"/>
  <c r="I209" i="7"/>
  <c r="K203" i="7"/>
  <c r="I203" i="7"/>
  <c r="T203" i="7"/>
  <c r="B11" i="6" s="1"/>
  <c r="P173" i="7"/>
  <c r="N173" i="7"/>
  <c r="M173" i="7"/>
  <c r="Q173" i="7"/>
  <c r="L164" i="7"/>
  <c r="T161" i="7"/>
  <c r="B9" i="6" s="1"/>
  <c r="P121" i="7"/>
  <c r="N121" i="7"/>
  <c r="M121" i="7"/>
  <c r="Q121" i="7"/>
  <c r="T117" i="7"/>
  <c r="B8" i="6" s="1"/>
  <c r="K117" i="7"/>
  <c r="P79" i="7"/>
  <c r="N79" i="7"/>
  <c r="T76" i="7"/>
  <c r="B7" i="6" s="1"/>
  <c r="K76" i="7"/>
  <c r="I76" i="7"/>
  <c r="P28" i="7"/>
  <c r="N28" i="7"/>
  <c r="M28" i="7"/>
  <c r="H28" i="7"/>
  <c r="Q28" i="7" s="1"/>
  <c r="T25" i="7"/>
  <c r="B6" i="6" s="1"/>
  <c r="K25" i="7"/>
  <c r="I25" i="7"/>
  <c r="P5" i="7"/>
  <c r="N5" i="7"/>
  <c r="M5" i="7"/>
  <c r="Q5" i="7"/>
  <c r="L79" i="7" l="1"/>
  <c r="C11" i="2"/>
  <c r="C10" i="2"/>
  <c r="C7" i="2"/>
  <c r="C6" i="2"/>
  <c r="B5" i="3"/>
  <c r="C5" i="2"/>
  <c r="B2" i="3"/>
  <c r="B7" i="3"/>
  <c r="B10" i="3"/>
  <c r="L206" i="7"/>
  <c r="J206" i="7"/>
  <c r="B6" i="3"/>
  <c r="M209" i="7"/>
  <c r="L217" i="7"/>
  <c r="J217" i="7"/>
  <c r="M25" i="7"/>
  <c r="M76" i="7"/>
  <c r="M117" i="7"/>
  <c r="M203" i="7"/>
  <c r="J164" i="7"/>
  <c r="Q141" i="7"/>
  <c r="N141" i="7"/>
  <c r="L213" i="7"/>
  <c r="O121" i="7"/>
  <c r="J173" i="7"/>
  <c r="L28" i="7"/>
  <c r="J213" i="7"/>
  <c r="M237" i="7"/>
  <c r="T238" i="7"/>
  <c r="T248" i="7" s="1"/>
  <c r="M141" i="7"/>
  <c r="P141" i="7"/>
  <c r="O173" i="7"/>
  <c r="L5" i="7"/>
  <c r="Q79" i="7"/>
  <c r="O79" i="7"/>
  <c r="K161" i="7"/>
  <c r="J5" i="7"/>
  <c r="O5" i="7"/>
  <c r="J28" i="7"/>
  <c r="O28" i="7"/>
  <c r="I161" i="7"/>
  <c r="L173" i="7"/>
  <c r="C8" i="2" l="1"/>
  <c r="B9" i="3"/>
  <c r="J141" i="7"/>
  <c r="M161" i="7"/>
  <c r="O141" i="7"/>
  <c r="K238" i="7"/>
  <c r="J121" i="7"/>
  <c r="L121" i="7"/>
  <c r="L141" i="7"/>
  <c r="I238" i="7"/>
  <c r="I248" i="7" l="1"/>
  <c r="K248" i="7"/>
  <c r="J247" i="7" l="1"/>
  <c r="J209" i="7"/>
  <c r="J170" i="7"/>
  <c r="J117" i="7"/>
  <c r="J25" i="7"/>
  <c r="J237" i="7"/>
  <c r="J161" i="7"/>
  <c r="J76" i="7"/>
  <c r="J203" i="7"/>
  <c r="L237" i="7"/>
  <c r="L209" i="7"/>
  <c r="L25" i="7"/>
  <c r="L203" i="7"/>
  <c r="L170" i="7"/>
  <c r="L117" i="7"/>
  <c r="L76" i="7"/>
  <c r="L247" i="7"/>
  <c r="L161" i="7"/>
</calcChain>
</file>

<file path=xl/sharedStrings.xml><?xml version="1.0" encoding="utf-8"?>
<sst xmlns="http://schemas.openxmlformats.org/spreadsheetml/2006/main" count="503" uniqueCount="336">
  <si>
    <t>S/N</t>
  </si>
  <si>
    <t>FUND</t>
  </si>
  <si>
    <t>FUND MANAGER</t>
  </si>
  <si>
    <t>TOTAL VALUE OF INVESTMENT (N)</t>
  </si>
  <si>
    <t>TOTAL INCOME (N)</t>
  </si>
  <si>
    <t>UNREALIZED CAPITAL GAIN/LOSS (N)</t>
  </si>
  <si>
    <t>TOTAL EXPENSES (N)</t>
  </si>
  <si>
    <t>NET INCOME/LOSS (N)</t>
  </si>
  <si>
    <t>% ON TOTAL</t>
  </si>
  <si>
    <t xml:space="preserve">NET ASSET VALUE (N) </t>
  </si>
  <si>
    <t>% CHANGE IN NAV</t>
  </si>
  <si>
    <t>EXPENSE RATIO</t>
  </si>
  <si>
    <t>RETURN ON EQUITY (ROE)</t>
  </si>
  <si>
    <t>NET ASSET PER UNIT</t>
  </si>
  <si>
    <t>EARNINGS PER UNIT (EPU)</t>
  </si>
  <si>
    <t>BID PRICE (N)</t>
  </si>
  <si>
    <t>OFFER PRICE (N)</t>
  </si>
  <si>
    <t>NUMBER OF UNIT HOLDERS</t>
  </si>
  <si>
    <t>OPENING NUMBER OF UNITS</t>
  </si>
  <si>
    <t>CLOSING NUMBER OF UNITS</t>
  </si>
  <si>
    <t>EQUITY BASED FUNDS</t>
  </si>
  <si>
    <t>Afrinvest Equity Fund</t>
  </si>
  <si>
    <t>Afrinvest Asset Management Ltd.</t>
  </si>
  <si>
    <t>Anchoria Equity Fund</t>
  </si>
  <si>
    <t>Anchoria Asset Management Limited</t>
  </si>
  <si>
    <t>ARM Aggressive Growth Fund</t>
  </si>
  <si>
    <t xml:space="preserve">ARM Investment Managers Limited </t>
  </si>
  <si>
    <t>AXA Mansard Equity Income Fund</t>
  </si>
  <si>
    <t>AXA Mansard Investments Limited</t>
  </si>
  <si>
    <t>Frontier Fund</t>
  </si>
  <si>
    <t>SCM Capital Limited</t>
  </si>
  <si>
    <t>Futureview Equity Fund</t>
  </si>
  <si>
    <t xml:space="preserve">Futureview Asset Management Limited </t>
  </si>
  <si>
    <t>Guaranty Trust Equity Income Fund</t>
  </si>
  <si>
    <t>Guaranty Trust Fund Managers Limited</t>
  </si>
  <si>
    <t>First City Asset Management Plc</t>
  </si>
  <si>
    <t>Meristem Equity Market Fund</t>
  </si>
  <si>
    <t>Meristem Wealth Management Limited</t>
  </si>
  <si>
    <t>Pacam Equity Fund</t>
  </si>
  <si>
    <t>PAC Asset Management Ltd.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</si>
  <si>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</si>
  <si>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</si>
  <si>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</si>
  <si>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</si>
  <si>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</si>
  <si>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Cowry Treasurers Limited</t>
  </si>
  <si>
    <t>United Capital Equity Fund</t>
  </si>
  <si>
    <t>United Capital Asset Mgt. Ltd</t>
  </si>
  <si>
    <t>Sub Total</t>
  </si>
  <si>
    <t>MONEY MARKET FUNDS</t>
  </si>
  <si>
    <t>Afrinvest Plutus Fund</t>
  </si>
  <si>
    <t>AIICO Money Market Fund</t>
  </si>
  <si>
    <t>AIICO Capital Ltd</t>
  </si>
  <si>
    <t>Anchoria Money Market Fund</t>
  </si>
  <si>
    <t>ARM Money Market Fund</t>
  </si>
  <si>
    <t>ARM Investment Managers Limited</t>
  </si>
  <si>
    <t>AXA Mansard Money Market Fund</t>
  </si>
  <si>
    <t>FSDH Asset Management Ltd</t>
  </si>
  <si>
    <t>Cordros Money Market Fund</t>
  </si>
  <si>
    <t>Cordros Asset Management Limited</t>
  </si>
  <si>
    <t>Coronation Money Market Fund</t>
  </si>
  <si>
    <t>Coronation Asset Management Limited</t>
  </si>
  <si>
    <t>EDC Money Market Class A</t>
  </si>
  <si>
    <t>EDC Fund Management</t>
  </si>
  <si>
    <t>EDC Money Market Class B</t>
  </si>
  <si>
    <t>Emerging Africa Money Market Fund</t>
  </si>
  <si>
    <t>Emerging Africa Asset Management Limited</t>
  </si>
  <si>
    <t>First Ally Asset Management Limited</t>
  </si>
  <si>
    <t>GDL Money Market Fund</t>
  </si>
  <si>
    <t xml:space="preserve">Growth and Development Asset Management Limited </t>
  </si>
  <si>
    <t>Greenwich Plus Money Market</t>
  </si>
  <si>
    <t xml:space="preserve">Greenwich Asst Management Ltd </t>
  </si>
  <si>
    <t>Guaranty Trust Money Market Fund</t>
  </si>
  <si>
    <t>Meristem Money Market Fund</t>
  </si>
  <si>
    <t>Norrenberger Money Market Fund</t>
  </si>
  <si>
    <t>NOVA Prime Money Market Fund</t>
  </si>
  <si>
    <t>NOVAMBL Asset Management Limited</t>
  </si>
  <si>
    <t>PACAM Money Market Fund</t>
  </si>
  <si>
    <t>Stanbic IBTC Money Market Fund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</si>
  <si>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</si>
  <si>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</si>
  <si>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</si>
  <si>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</si>
  <si>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</si>
  <si>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</si>
  <si>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 Limited</t>
  </si>
  <si>
    <t>Zenith Asset Management Ltd</t>
  </si>
  <si>
    <t>BOND/FIXED INCOME FUNDS</t>
  </si>
  <si>
    <t>Anchoria Fixed Income Fund</t>
  </si>
  <si>
    <t>ARM Fixed Income Fund</t>
  </si>
  <si>
    <t>ARM Short Term-Bond Fund</t>
  </si>
  <si>
    <t>ARM Investment Managers</t>
  </si>
  <si>
    <t>AVA Global Asset Managers Limited</t>
  </si>
  <si>
    <t>CardinalStone Fixed Income Alpha Fund</t>
  </si>
  <si>
    <t>CardinalStone Asset Mgt. Limited</t>
  </si>
  <si>
    <t>CEAT Fixed Income Fund</t>
  </si>
  <si>
    <t>Capital Express Assset &amp; Trust Limited</t>
  </si>
  <si>
    <t>Coral Income Fund</t>
  </si>
  <si>
    <t>Cordros Fixed Income Fund</t>
  </si>
  <si>
    <t>Coronation Fixed Income Fund</t>
  </si>
  <si>
    <t>DLM Fixed Income Fund</t>
  </si>
  <si>
    <t>DLM Asset Management Limited</t>
  </si>
  <si>
    <t>EDC Nigeria Fixed Income Fund</t>
  </si>
  <si>
    <t>Emerging Africa Bond Fund</t>
  </si>
  <si>
    <t>GDL Income Fund</t>
  </si>
  <si>
    <t xml:space="preserve">Lead Fixed Income Fund </t>
  </si>
  <si>
    <t>Lead Asset Mgt Ltd</t>
  </si>
  <si>
    <t>Lotus Halal Fixed Income Fund</t>
  </si>
  <si>
    <t>Lotus Capital Limited</t>
  </si>
  <si>
    <t>Nigeria International Debt Fund</t>
  </si>
  <si>
    <t>PACAM Fixed Income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</si>
  <si>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</si>
  <si>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</si>
  <si>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</si>
  <si>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</si>
  <si>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</si>
  <si>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</si>
  <si>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United Capital Fixed Income Fund</t>
  </si>
  <si>
    <t>Zenith Income Fund</t>
  </si>
  <si>
    <t>EUROBONDS</t>
  </si>
  <si>
    <t>Afrinvest Dollar Fund</t>
  </si>
  <si>
    <t>ARM Eurobond Fund</t>
  </si>
  <si>
    <t>Emerging Africa Eurobond Fund</t>
  </si>
  <si>
    <t>Futureview Dollar Fund</t>
  </si>
  <si>
    <t>Futureview Asset Management Limited</t>
  </si>
  <si>
    <t>Norrenberger Dollar Fund</t>
  </si>
  <si>
    <t>Norrenberger Investment &amp; Capital Management Limited</t>
  </si>
  <si>
    <t>Pacam Eurobond Fund</t>
  </si>
  <si>
    <t>FIXED INCOME</t>
  </si>
  <si>
    <t>AVA GAM Fixed Income Dollar Fund</t>
  </si>
  <si>
    <t>AXA Mansard Dollar Bond Fund</t>
  </si>
  <si>
    <t>Cordros Dollar Fund</t>
  </si>
  <si>
    <t>FSDH Dollar Fund</t>
  </si>
  <si>
    <t>Nigeria Dollar Income Fund</t>
  </si>
  <si>
    <t>NOVA Dollar Fixed Income Fund</t>
  </si>
  <si>
    <t>Stanbic IBTC Dollar Fund</t>
  </si>
  <si>
    <t xml:space="preserve">United Capital Global Fixed Income Fund </t>
  </si>
  <si>
    <t>REAL ESTATE FUNDS</t>
  </si>
  <si>
    <t>Nigeria Real Estate Investment Trust</t>
  </si>
  <si>
    <t>SFS Real Estate Investment Trust Fund</t>
  </si>
  <si>
    <t>Union Homes REITS</t>
  </si>
  <si>
    <t>UPDC Real Estate Investment Fund</t>
  </si>
  <si>
    <t>BALANCED FUNDS</t>
  </si>
  <si>
    <t>AIICO Balanced Fund</t>
  </si>
  <si>
    <t>ARM Discovery Balanced Fund</t>
  </si>
  <si>
    <t>Capital Express Balanced Fund</t>
  </si>
  <si>
    <t>Coral Balanced Fund</t>
  </si>
  <si>
    <t>Cordros Milestone Fund</t>
  </si>
  <si>
    <t>Coronation Balanced Fund</t>
  </si>
  <si>
    <t>EDC Balanced Fund</t>
  </si>
  <si>
    <t>EDC Fund Management Limited</t>
  </si>
  <si>
    <t>Emerging Africa Balanced-Diversity Fund</t>
  </si>
  <si>
    <t>GDL Canary Balanced Fund</t>
  </si>
  <si>
    <t>Greenwich Balanced Fund</t>
  </si>
  <si>
    <t>Guaranty Trust Balanced Fund</t>
  </si>
  <si>
    <t xml:space="preserve">Lead Balanced Fund </t>
  </si>
  <si>
    <t>Nigeria Energy Sector Fund</t>
  </si>
  <si>
    <t>NOVA Hybrid Balanced Fund</t>
  </si>
  <si>
    <t>PACAM Balanced Fund</t>
  </si>
  <si>
    <t>Stanbic IBTC Balanced Fund</t>
  </si>
  <si>
    <t>United Capital Balanced Fund</t>
  </si>
  <si>
    <t>ValuAlliance Value Fund</t>
  </si>
  <si>
    <t>Zenith Balanced Strategy Fund</t>
  </si>
  <si>
    <t>ETHICAL FUNDS</t>
  </si>
  <si>
    <t>Stanbic IBTC Ethical Fund</t>
  </si>
  <si>
    <t>Zenith ESG Impact Fund</t>
  </si>
  <si>
    <t>SHARI'AH COMPLIANT FUNDS</t>
  </si>
  <si>
    <t>EQUITIES</t>
  </si>
  <si>
    <t>Lotus Halal Investment  Fund</t>
  </si>
  <si>
    <t>Stanbic IBTC Imaan Fund</t>
  </si>
  <si>
    <t>Capital Trust Halal Fixed Income Fund</t>
  </si>
  <si>
    <t>Capital Trust Investments &amp; Asset Mgt. Ltd</t>
  </si>
  <si>
    <t>Cordros Halal Fixed Income Fund</t>
  </si>
  <si>
    <t>EDC Halal Fund</t>
  </si>
  <si>
    <t>Norrenberger Islamic Fund</t>
  </si>
  <si>
    <t>Stanbic IBTC Shariah Fixed Income Fund</t>
  </si>
  <si>
    <t>United Capital Sukuk Fund</t>
  </si>
  <si>
    <t>Grand Total</t>
  </si>
  <si>
    <t>Note:</t>
  </si>
  <si>
    <t>FUNDS</t>
  </si>
  <si>
    <t>BONDS/FIXED INCOME FUNDS</t>
  </si>
  <si>
    <t>DOLLAR FUNDS</t>
  </si>
  <si>
    <t>REAL ESTATE INVESTMENT TRUST</t>
  </si>
  <si>
    <t>SHARI'AH COMPLAINT FUNDS</t>
  </si>
  <si>
    <t>UNIT HOLDERS</t>
  </si>
  <si>
    <t>Cowry Equity Fund</t>
  </si>
  <si>
    <t>CardinalStone Equity Fund</t>
  </si>
  <si>
    <t>Page Money Market Fund</t>
  </si>
  <si>
    <t>Page Asset Management Limited</t>
  </si>
  <si>
    <t>RMBN Money Market Fund</t>
  </si>
  <si>
    <t>RMB Nigeria Asset Management Ltd.</t>
  </si>
  <si>
    <t>RT Briscoe Savings &amp; Investment Fund</t>
  </si>
  <si>
    <t>Comercio Partners Money Market Fund</t>
  </si>
  <si>
    <t>Comercio Partners Asset Management Limited</t>
  </si>
  <si>
    <t>BALANCED</t>
  </si>
  <si>
    <t>Lotus Waqf (Endowment) Fund</t>
  </si>
  <si>
    <t>Marble Halal Commodities Fund</t>
  </si>
  <si>
    <t xml:space="preserve">Marble Capital Limited </t>
  </si>
  <si>
    <t>Marble Halal Fixed Income Fund</t>
  </si>
  <si>
    <t>FSDH Halal Fund</t>
  </si>
  <si>
    <t>Alpha Morgan Balanced Fund</t>
  </si>
  <si>
    <t>Alpha Morgan Capital Managers Limited</t>
  </si>
  <si>
    <t>Cowry Balanced Fund</t>
  </si>
  <si>
    <t>The Nigeria Football Fund</t>
  </si>
  <si>
    <t>GTI Asset Management &amp; Trust Limited</t>
  </si>
  <si>
    <t>GTI Balanced Fund</t>
  </si>
  <si>
    <t>Housing Solution Fund</t>
  </si>
  <si>
    <t>FUNDCO Capital Managers Limited</t>
  </si>
  <si>
    <t>Coral Money Market Fund</t>
  </si>
  <si>
    <t>AIICO Eurobond Fund</t>
  </si>
  <si>
    <t>RMBN Dollar Fixed Income Fund</t>
  </si>
  <si>
    <t>Lead Dollar Fixed Income Fund</t>
  </si>
  <si>
    <t>Lead Asset Management Limited</t>
  </si>
  <si>
    <t>Meristem Dollar Fund</t>
  </si>
  <si>
    <t>CardinalStone Dollar Fund</t>
  </si>
  <si>
    <t>Comercio Partners Dollar Fund</t>
  </si>
  <si>
    <t>Cowry Eurobond Fund</t>
  </si>
  <si>
    <t>EDC Dollar Fund</t>
  </si>
  <si>
    <t>Cowry Fixed Income Fund</t>
  </si>
  <si>
    <t>Guaranty Trust Fixed Income Fund</t>
  </si>
  <si>
    <t>Utica Custodian Assured Fixed Income Fund</t>
  </si>
  <si>
    <t>Utica Capital Limited</t>
  </si>
  <si>
    <t>Meristem Fixed Income Fund</t>
  </si>
  <si>
    <t>Comercio Partners Fixed Income Fund</t>
  </si>
  <si>
    <t>Norrenberger Turbo Fixed Income Fund</t>
  </si>
  <si>
    <t>Norrenberger Investment &amp; Capital Mgt. Ltd.</t>
  </si>
  <si>
    <t>GTI  Money Market Fund</t>
  </si>
  <si>
    <t>Growth and Development Asset Management Limited</t>
  </si>
  <si>
    <t>Halo Equity Fund</t>
  </si>
  <si>
    <t>Zrosk Magna Equity Fund</t>
  </si>
  <si>
    <t>Zrosk Investment Management Limited</t>
  </si>
  <si>
    <t>Hillcrest Balanced Fund</t>
  </si>
  <si>
    <t>Hillcrest Capital Management Limited</t>
  </si>
  <si>
    <t>Coronation Dollar Fund</t>
  </si>
  <si>
    <t>Coronation Premium Fixed Income Fund</t>
  </si>
  <si>
    <t>Emerging Africa Halal Fund</t>
  </si>
  <si>
    <t>Chapel Hill Denham Money Market Fund</t>
  </si>
  <si>
    <t>Norrenberger Investment and Capital Mgt Limited</t>
  </si>
  <si>
    <t>United Capital Stable Fixed Income Fund</t>
  </si>
  <si>
    <t>Radix Horizon Fund</t>
  </si>
  <si>
    <t>Radix Capital Partners Limited</t>
  </si>
  <si>
    <t>CardinalStone Money Market Fund</t>
  </si>
  <si>
    <t>FSL Money Market Fund</t>
  </si>
  <si>
    <t>FSL  Asset Management Limited</t>
  </si>
  <si>
    <t>Guaranty Trust Investment Fund 724</t>
  </si>
  <si>
    <t>Guaranty Trust Dollar Fund</t>
  </si>
  <si>
    <t>AVA GAM Money Market Fund</t>
  </si>
  <si>
    <t>ARM Short-Term Eurobond Fund</t>
  </si>
  <si>
    <t>ARM Sharia Compliant Fixed Income Fund</t>
  </si>
  <si>
    <t>FSL Eurobond Fund</t>
  </si>
  <si>
    <t>FSL Asset Management Limited</t>
  </si>
  <si>
    <t>Halo Nigeria Capital Management Limited</t>
  </si>
  <si>
    <t>Mango Naira Money Maket Fund</t>
  </si>
  <si>
    <t>Mango Asset Management Limited</t>
  </si>
  <si>
    <t>CardinalStone Balanced Fund</t>
  </si>
  <si>
    <t>One17 Halal Fund</t>
  </si>
  <si>
    <t>One17 Capital Limited</t>
  </si>
  <si>
    <t>ARM Halal Balanced Fund</t>
  </si>
  <si>
    <t>MOFI Real Estate Investment Fund</t>
  </si>
  <si>
    <t>SPECIALISED FUNDS</t>
  </si>
  <si>
    <t>ARM Specialized Dollar Fund</t>
  </si>
  <si>
    <t>Clean Energy Fund</t>
  </si>
  <si>
    <t>Fundco Capital Managers Limited</t>
  </si>
  <si>
    <t>FCMB-TLG Private Debt Fund</t>
  </si>
  <si>
    <t>FCMB Asset Management Limited</t>
  </si>
  <si>
    <t>United Capital Children Investment Fund</t>
  </si>
  <si>
    <t>Zedcrest Dollar Fund</t>
  </si>
  <si>
    <t>Zedcrest Investment Managers Limited</t>
  </si>
  <si>
    <t>Zedcrest Fixed Income Fund</t>
  </si>
  <si>
    <t>Zedcrest Money Market Fund</t>
  </si>
  <si>
    <t>Mutual Fund Total</t>
  </si>
  <si>
    <t>Parthian Money Market Fund</t>
  </si>
  <si>
    <t>Parthian Capital Ltd.</t>
  </si>
  <si>
    <t>STL Money Market Fund</t>
  </si>
  <si>
    <t>STL Asset Mgt. Limited</t>
  </si>
  <si>
    <t>STL Dollar Fund</t>
  </si>
  <si>
    <t>STL Balanced Fund</t>
  </si>
  <si>
    <t>Parthian Dollar Fixed Income Fund</t>
  </si>
  <si>
    <t>Afrinvest Halal Fund</t>
  </si>
  <si>
    <t>Afrinvest Asset Mgt Ltd.</t>
  </si>
  <si>
    <t>DLM Money Market Fund</t>
  </si>
  <si>
    <t>Samtl Fund Managers Limited</t>
  </si>
  <si>
    <t>CFG AM Fixed Income Naira Fund</t>
  </si>
  <si>
    <t>CFG Assset Management Limited</t>
  </si>
  <si>
    <t>Trustbanc Fixed Income Fund</t>
  </si>
  <si>
    <t>Trustbanc Aset Management Limited</t>
  </si>
  <si>
    <t>CFG AM Fixed Income Dollar Fund</t>
  </si>
  <si>
    <t>Greenwich Fixed Income Dollar Fund</t>
  </si>
  <si>
    <t>Vetiva USD Fixed Income Fund</t>
  </si>
  <si>
    <t>D'Namaz Halal Fixed Income Fund</t>
  </si>
  <si>
    <t>D'Namaz Capital Limited</t>
  </si>
  <si>
    <t xml:space="preserve"> </t>
  </si>
  <si>
    <t>Samtl Mixed Income Fund</t>
  </si>
  <si>
    <t>Zedcrest Equity Fund</t>
  </si>
  <si>
    <t>Fundvine Money Market Fund</t>
  </si>
  <si>
    <t>Fundvine Berkshire Asset Management Limited</t>
  </si>
  <si>
    <t>Apel Wealth Money Market Fund</t>
  </si>
  <si>
    <t>Apel Wealth Management Limited</t>
  </si>
  <si>
    <t>Alpha10 Money Market Fund</t>
  </si>
  <si>
    <t>Alpha10 Fund Management Limited</t>
  </si>
  <si>
    <t>SCM Capital Money Market Fund</t>
  </si>
  <si>
    <t>First Ally Money Market Fund</t>
  </si>
  <si>
    <t>United Capital Nigerian Eurobond Fund</t>
  </si>
  <si>
    <t>Alpha10 Dollar Fund</t>
  </si>
  <si>
    <t>United Capital Wealth For Women Fund</t>
  </si>
  <si>
    <t>CFG Ethical Fund</t>
  </si>
  <si>
    <t>CFG Asset Management Limited</t>
  </si>
  <si>
    <t>FCMBAM Equity Fund</t>
  </si>
  <si>
    <t>First Asset Nigeria Smart Beta Equity Fund</t>
  </si>
  <si>
    <t>First Asset Money Market Fund</t>
  </si>
  <si>
    <t>FCMBAM Money Market Fund</t>
  </si>
  <si>
    <t>First Asset Dollar Fund</t>
  </si>
  <si>
    <t>First Asset Specialized Dollar Fund</t>
  </si>
  <si>
    <t>FCMBAM USD Bond Fund</t>
  </si>
  <si>
    <t>First Asset Halal Fund</t>
  </si>
  <si>
    <t>First Asset Blended Dollar Fund</t>
  </si>
  <si>
    <t>Myrtle Nest(MyNest Money Market Fund)</t>
  </si>
  <si>
    <t>Myrtle Dollar Shield Fund</t>
  </si>
  <si>
    <t>Myrtle asset Management Limited</t>
  </si>
  <si>
    <t>Myrtle Balanced Plus Fund</t>
  </si>
  <si>
    <t>Myrtle Asset Management and Trust Limited</t>
  </si>
  <si>
    <t>ValuAlliance Specialized Dollar Fund</t>
  </si>
  <si>
    <t>Chapel Hill Denham Nigeria Bond Fund</t>
  </si>
  <si>
    <t>FCMBAM Debt Fund</t>
  </si>
  <si>
    <t>First Asset Management Limited</t>
  </si>
  <si>
    <t>First Asset Bond Fund</t>
  </si>
  <si>
    <t>Zenith Money Market Fund</t>
  </si>
  <si>
    <t>AVA GAM Fixed Income Naira Fund</t>
  </si>
  <si>
    <t>MONTHLY UPDATE ON REGISTERED MUTUAL FUNDS AS AT 31ST JULY, 2026</t>
  </si>
  <si>
    <t>NET ASSET VALUE (N) PREVIOUS - JUNE</t>
  </si>
  <si>
    <r>
      <t>US$/NG</t>
    </r>
    <r>
      <rPr>
        <strike/>
        <sz val="8"/>
        <color theme="0"/>
        <rFont val="Times New Roman"/>
        <family val="1"/>
      </rPr>
      <t>N</t>
    </r>
    <r>
      <rPr>
        <sz val="8"/>
        <color theme="0"/>
        <rFont val="Times New Roman"/>
        <family val="1"/>
      </rPr>
      <t xml:space="preserve"> NFEM as at 31st July, 2026 = N1368.2232</t>
    </r>
  </si>
  <si>
    <t>Radix Money Market Fund</t>
  </si>
  <si>
    <t>First Asset Balanced Fund</t>
  </si>
  <si>
    <t>July 2026</t>
  </si>
  <si>
    <t>Jul 2026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</si>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</sst>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0;[Red]0"/>
    <numFmt numFmtId="166" formatCode="mmm\-yyyy"/>
    <numFmt numFmtId="167" formatCode="dd/mm/yy;@"/>
    <numFmt numFmtId="168" formatCode="[$-409]d\-mmm\-yy;@"/>
    <numFmt numFmtId="169" formatCode="&quot;Yes&quot;;&quot;Yes&quot;;&quot;No&quot;"/>
    <numFmt numFmtId="170" formatCode="0.00_)"/>
    <numFmt numFmtId="171" formatCode="_(* #,##0_);_(* \(#,##0\);_(* &quot;-&quot;??_);_(@_)"/>
    <numFmt numFmtId="172" formatCode="&quot; &quot;* #,##0.00&quot; &quot;;&quot;-&quot;* #,##0.00&quot; &quot;;&quot; &quot;* &quot;-&quot;??&quot; &quot;"/>
    <numFmt numFmtId="173" formatCode="&quot; &quot;* #,##0&quot; &quot;;&quot;-&quot;* #,##0&quot; &quot;;&quot; &quot;* &quot;-&quot;??&quot; &quot;"/>
    <numFmt numFmtId="174" formatCode="_-* #,##0_-;\-* #,##0_-;_-* &quot;-&quot;??_-;_-@_-"/>
    <numFmt numFmtId="175" formatCode="&quot; &quot;* #,##0.00&quot; &quot;;&quot; &quot;* \(#,##0.00\);&quot; &quot;* &quot;-&quot;??&quot; &quot;"/>
  </numFmts>
  <fonts count="4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family val="2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sz val="8"/>
      <name val="Century Gothic"/>
      <family val="2"/>
    </font>
    <font>
      <b/>
      <sz val="8"/>
      <name val="Century Gothic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b/>
      <sz val="28"/>
      <color theme="0"/>
      <name val="Segoe UI Black"/>
      <family val="2"/>
    </font>
    <font>
      <sz val="10"/>
      <color theme="0"/>
      <name val="Arial Narrow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b/>
      <sz val="12"/>
      <name val="Arial Narrow"/>
      <family val="2"/>
    </font>
    <font>
      <sz val="10"/>
      <name val="Century Gothic"/>
      <family val="2"/>
    </font>
    <font>
      <sz val="8"/>
      <color rgb="FF424242"/>
      <name val="Arial"/>
      <family val="2"/>
    </font>
    <font>
      <sz val="10"/>
      <name val="Arial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strike/>
      <sz val="8"/>
      <color theme="0"/>
      <name val="Times New Roman"/>
      <family val="1"/>
    </font>
    <font>
      <sz val="8.4"/>
      <color rgb="FF000000"/>
      <name val="Calibri"/>
      <family val="2"/>
      <scheme val="minor"/>
    </font>
    <font>
      <b/>
      <sz val="10"/>
      <color theme="0"/>
      <name val="Arial Narrow"/>
      <family val="2"/>
    </font>
    <font>
      <sz val="8"/>
      <color theme="0"/>
      <name val="Arial Narrow"/>
      <family val="2"/>
    </font>
    <font>
      <sz val="8"/>
      <color theme="1"/>
      <name val="Century Gothic"/>
      <family val="2"/>
    </font>
    <font>
      <sz val="8"/>
      <name val="Arial Narrow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7985778374584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465">
    <xf numFmtId="0" fontId="0" fillId="0" borderId="0"/>
    <xf numFmtId="164" fontId="10" fillId="0" borderId="0" applyFont="0" applyFill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5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27" borderId="0" applyNumberFormat="0" applyBorder="0" applyAlignment="0" applyProtection="0"/>
    <xf numFmtId="17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49" fontId="6" fillId="0" borderId="0"/>
    <xf numFmtId="49" fontId="6" fillId="0" borderId="0"/>
    <xf numFmtId="49" fontId="6" fillId="0" borderId="0"/>
    <xf numFmtId="49" fontId="6" fillId="0" borderId="0"/>
    <xf numFmtId="0" fontId="6" fillId="0" borderId="0"/>
    <xf numFmtId="37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9" fontId="27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 applyAlignment="1">
      <alignment wrapText="1"/>
    </xf>
    <xf numFmtId="0" fontId="4" fillId="0" borderId="0" xfId="0" applyFont="1"/>
    <xf numFmtId="0" fontId="5" fillId="3" borderId="0" xfId="0" applyFont="1" applyFill="1"/>
    <xf numFmtId="0" fontId="5" fillId="0" borderId="0" xfId="0" applyFont="1"/>
    <xf numFmtId="0" fontId="9" fillId="0" borderId="0" xfId="0" applyFont="1"/>
    <xf numFmtId="0" fontId="5" fillId="2" borderId="0" xfId="0" applyFont="1" applyFill="1"/>
    <xf numFmtId="164" fontId="5" fillId="2" borderId="0" xfId="1" applyFont="1" applyFill="1" applyBorder="1" applyAlignment="1"/>
    <xf numFmtId="172" fontId="8" fillId="2" borderId="0" xfId="0" applyNumberFormat="1" applyFont="1" applyFill="1"/>
    <xf numFmtId="175" fontId="8" fillId="2" borderId="0" xfId="0" applyNumberFormat="1" applyFont="1" applyFill="1"/>
    <xf numFmtId="164" fontId="18" fillId="2" borderId="2" xfId="1" applyFont="1" applyFill="1" applyBorder="1"/>
    <xf numFmtId="172" fontId="18" fillId="2" borderId="2" xfId="0" applyNumberFormat="1" applyFont="1" applyFill="1" applyBorder="1" applyAlignment="1">
      <alignment horizontal="right"/>
    </xf>
    <xf numFmtId="164" fontId="18" fillId="2" borderId="2" xfId="1" applyFont="1" applyFill="1" applyBorder="1" applyAlignment="1"/>
    <xf numFmtId="10" fontId="18" fillId="2" borderId="2" xfId="0" applyNumberFormat="1" applyFont="1" applyFill="1" applyBorder="1" applyAlignment="1">
      <alignment horizontal="center"/>
    </xf>
    <xf numFmtId="0" fontId="20" fillId="2" borderId="0" xfId="0" applyFont="1" applyFill="1"/>
    <xf numFmtId="0" fontId="21" fillId="0" borderId="0" xfId="0" applyFont="1"/>
    <xf numFmtId="164" fontId="18" fillId="2" borderId="2" xfId="1" applyFont="1" applyFill="1" applyBorder="1" applyAlignment="1">
      <alignment horizontal="right"/>
    </xf>
    <xf numFmtId="164" fontId="18" fillId="0" borderId="2" xfId="1" applyFont="1" applyBorder="1"/>
    <xf numFmtId="164" fontId="18" fillId="0" borderId="2" xfId="1" applyFont="1" applyFill="1" applyBorder="1"/>
    <xf numFmtId="49" fontId="18" fillId="2" borderId="2" xfId="0" applyNumberFormat="1" applyFont="1" applyFill="1" applyBorder="1" applyAlignment="1">
      <alignment wrapText="1"/>
    </xf>
    <xf numFmtId="10" fontId="19" fillId="6" borderId="2" xfId="0" applyNumberFormat="1" applyFont="1" applyFill="1" applyBorder="1" applyAlignment="1">
      <alignment horizontal="center" vertical="center"/>
    </xf>
    <xf numFmtId="10" fontId="18" fillId="6" borderId="2" xfId="0" applyNumberFormat="1" applyFont="1" applyFill="1" applyBorder="1" applyAlignment="1">
      <alignment horizontal="center" vertical="center"/>
    </xf>
    <xf numFmtId="172" fontId="18" fillId="6" borderId="2" xfId="0" applyNumberFormat="1" applyFont="1" applyFill="1" applyBorder="1" applyAlignment="1">
      <alignment horizontal="right" vertical="center"/>
    </xf>
    <xf numFmtId="172" fontId="18" fillId="2" borderId="2" xfId="0" applyNumberFormat="1" applyFont="1" applyFill="1" applyBorder="1"/>
    <xf numFmtId="172" fontId="18" fillId="6" borderId="2" xfId="0" applyNumberFormat="1" applyFont="1" applyFill="1" applyBorder="1" applyAlignment="1">
      <alignment horizontal="center" vertical="center"/>
    </xf>
    <xf numFmtId="164" fontId="18" fillId="2" borderId="2" xfId="1" applyFont="1" applyFill="1" applyBorder="1" applyAlignment="1">
      <alignment wrapText="1"/>
    </xf>
    <xf numFmtId="172" fontId="19" fillId="2" borderId="2" xfId="0" applyNumberFormat="1" applyFont="1" applyFill="1" applyBorder="1"/>
    <xf numFmtId="164" fontId="18" fillId="2" borderId="2" xfId="1" applyFont="1" applyFill="1" applyBorder="1" applyAlignment="1">
      <alignment horizontal="right" vertical="top" wrapText="1"/>
    </xf>
    <xf numFmtId="164" fontId="18" fillId="2" borderId="2" xfId="1" applyFont="1" applyFill="1" applyBorder="1" applyAlignment="1">
      <alignment horizontal="center" vertical="top" wrapText="1"/>
    </xf>
    <xf numFmtId="164" fontId="18" fillId="2" borderId="2" xfId="1" applyFont="1" applyFill="1" applyBorder="1" applyAlignment="1">
      <alignment horizontal="left"/>
    </xf>
    <xf numFmtId="49" fontId="7" fillId="5" borderId="2" xfId="0" applyNumberFormat="1" applyFont="1" applyFill="1" applyBorder="1" applyAlignment="1">
      <alignment horizontal="center" vertical="top" wrapText="1"/>
    </xf>
    <xf numFmtId="171" fontId="18" fillId="0" borderId="2" xfId="0" applyNumberFormat="1" applyFont="1" applyBorder="1"/>
    <xf numFmtId="174" fontId="18" fillId="0" borderId="2" xfId="0" applyNumberFormat="1" applyFont="1" applyBorder="1"/>
    <xf numFmtId="164" fontId="7" fillId="5" borderId="2" xfId="1" applyFont="1" applyFill="1" applyBorder="1" applyAlignment="1">
      <alignment horizontal="center" vertical="top" wrapText="1"/>
    </xf>
    <xf numFmtId="10" fontId="19" fillId="2" borderId="2" xfId="0" applyNumberFormat="1" applyFont="1" applyFill="1" applyBorder="1" applyAlignment="1">
      <alignment horizontal="center"/>
    </xf>
    <xf numFmtId="172" fontId="19" fillId="6" borderId="2" xfId="0" applyNumberFormat="1" applyFont="1" applyFill="1" applyBorder="1" applyAlignment="1">
      <alignment horizontal="right" vertical="center"/>
    </xf>
    <xf numFmtId="164" fontId="19" fillId="2" borderId="2" xfId="1" applyFont="1" applyFill="1" applyBorder="1"/>
    <xf numFmtId="172" fontId="19" fillId="6" borderId="2" xfId="0" applyNumberFormat="1" applyFont="1" applyFill="1" applyBorder="1" applyAlignment="1">
      <alignment horizontal="center" vertical="center"/>
    </xf>
    <xf numFmtId="164" fontId="19" fillId="2" borderId="2" xfId="1" applyFont="1" applyFill="1" applyBorder="1" applyAlignment="1"/>
    <xf numFmtId="164" fontId="19" fillId="2" borderId="2" xfId="1" applyFont="1" applyFill="1" applyBorder="1" applyAlignment="1">
      <alignment wrapText="1"/>
    </xf>
    <xf numFmtId="10" fontId="19" fillId="6" borderId="2" xfId="0" applyNumberFormat="1" applyFont="1" applyFill="1" applyBorder="1" applyAlignment="1">
      <alignment horizontal="right" vertical="center"/>
    </xf>
    <xf numFmtId="173" fontId="18" fillId="2" borderId="2" xfId="0" applyNumberFormat="1" applyFont="1" applyFill="1" applyBorder="1"/>
    <xf numFmtId="164" fontId="18" fillId="0" borderId="2" xfId="1" applyFont="1" applyBorder="1" applyAlignment="1"/>
    <xf numFmtId="164" fontId="18" fillId="7" borderId="2" xfId="1" applyFont="1" applyFill="1" applyBorder="1"/>
    <xf numFmtId="164" fontId="18" fillId="0" borderId="2" xfId="1" applyFont="1" applyFill="1" applyBorder="1" applyAlignment="1">
      <alignment horizontal="right"/>
    </xf>
    <xf numFmtId="4" fontId="23" fillId="2" borderId="0" xfId="0" applyNumberFormat="1" applyFont="1" applyFill="1"/>
    <xf numFmtId="4" fontId="23" fillId="2" borderId="0" xfId="0" applyNumberFormat="1" applyFont="1" applyFill="1" applyAlignment="1">
      <alignment horizontal="right"/>
    </xf>
    <xf numFmtId="0" fontId="22" fillId="0" borderId="0" xfId="0" applyFont="1" applyAlignment="1">
      <alignment horizontal="right"/>
    </xf>
    <xf numFmtId="164" fontId="23" fillId="2" borderId="0" xfId="1" applyFont="1" applyFill="1" applyBorder="1" applyAlignment="1">
      <alignment horizontal="right" vertical="top" wrapText="1"/>
    </xf>
    <xf numFmtId="164" fontId="19" fillId="2" borderId="2" xfId="1" applyFont="1" applyFill="1" applyBorder="1" applyAlignment="1">
      <alignment horizontal="left"/>
    </xf>
    <xf numFmtId="164" fontId="18" fillId="0" borderId="2" xfId="1" applyFont="1" applyFill="1" applyBorder="1" applyAlignment="1" applyProtection="1"/>
    <xf numFmtId="0" fontId="26" fillId="2" borderId="0" xfId="0" applyFont="1" applyFill="1"/>
    <xf numFmtId="164" fontId="18" fillId="2" borderId="2" xfId="1" applyFont="1" applyFill="1" applyBorder="1" applyAlignment="1">
      <alignment horizontal="center" wrapText="1"/>
    </xf>
    <xf numFmtId="10" fontId="18" fillId="2" borderId="2" xfId="464" applyNumberFormat="1" applyFont="1" applyFill="1" applyBorder="1" applyAlignment="1">
      <alignment horizontal="center" wrapText="1"/>
    </xf>
    <xf numFmtId="0" fontId="25" fillId="2" borderId="0" xfId="0" applyFont="1" applyFill="1" applyAlignment="1">
      <alignment horizontal="left"/>
    </xf>
    <xf numFmtId="10" fontId="19" fillId="2" borderId="2" xfId="0" applyNumberFormat="1" applyFont="1" applyFill="1" applyBorder="1"/>
    <xf numFmtId="10" fontId="19" fillId="2" borderId="2" xfId="0" applyNumberFormat="1" applyFont="1" applyFill="1" applyBorder="1" applyAlignment="1">
      <alignment horizontal="right" vertical="center"/>
    </xf>
    <xf numFmtId="172" fontId="19" fillId="2" borderId="2" xfId="0" applyNumberFormat="1" applyFont="1" applyFill="1" applyBorder="1" applyAlignment="1">
      <alignment horizontal="right" vertical="center"/>
    </xf>
    <xf numFmtId="164" fontId="18" fillId="2" borderId="6" xfId="1" applyFont="1" applyFill="1" applyBorder="1" applyAlignment="1">
      <alignment horizontal="right"/>
    </xf>
    <xf numFmtId="49" fontId="19" fillId="2" borderId="2" xfId="0" applyNumberFormat="1" applyFont="1" applyFill="1" applyBorder="1" applyAlignment="1">
      <alignment horizontal="right"/>
    </xf>
    <xf numFmtId="173" fontId="18" fillId="2" borderId="2" xfId="0" applyNumberFormat="1" applyFont="1" applyFill="1" applyBorder="1" applyAlignment="1">
      <alignment horizontal="center" wrapText="1"/>
    </xf>
    <xf numFmtId="0" fontId="29" fillId="0" borderId="0" xfId="0" applyFont="1" applyAlignment="1">
      <alignment horizontal="right"/>
    </xf>
    <xf numFmtId="0" fontId="30" fillId="29" borderId="0" xfId="0" applyFont="1" applyFill="1"/>
    <xf numFmtId="164" fontId="7" fillId="29" borderId="0" xfId="1" applyFont="1" applyFill="1"/>
    <xf numFmtId="164" fontId="30" fillId="29" borderId="0" xfId="1" applyFont="1" applyFill="1"/>
    <xf numFmtId="164" fontId="28" fillId="5" borderId="2" xfId="1" applyFont="1" applyFill="1" applyBorder="1"/>
    <xf numFmtId="10" fontId="28" fillId="5" borderId="2" xfId="0" applyNumberFormat="1" applyFont="1" applyFill="1" applyBorder="1"/>
    <xf numFmtId="10" fontId="28" fillId="5" borderId="2" xfId="0" applyNumberFormat="1" applyFont="1" applyFill="1" applyBorder="1" applyAlignment="1">
      <alignment horizontal="right" vertical="center"/>
    </xf>
    <xf numFmtId="172" fontId="28" fillId="5" borderId="2" xfId="0" applyNumberFormat="1" applyFont="1" applyFill="1" applyBorder="1" applyAlignment="1">
      <alignment horizontal="right" vertical="center"/>
    </xf>
    <xf numFmtId="164" fontId="18" fillId="2" borderId="2" xfId="1" applyFont="1" applyFill="1" applyBorder="1" applyAlignment="1">
      <alignment horizontal="right" wrapText="1"/>
    </xf>
    <xf numFmtId="164" fontId="28" fillId="2" borderId="2" xfId="1" applyFont="1" applyFill="1" applyBorder="1"/>
    <xf numFmtId="0" fontId="31" fillId="0" borderId="0" xfId="0" applyFont="1"/>
    <xf numFmtId="4" fontId="18" fillId="2" borderId="2" xfId="0" applyNumberFormat="1" applyFont="1" applyFill="1" applyBorder="1" applyAlignment="1">
      <alignment wrapText="1"/>
    </xf>
    <xf numFmtId="0" fontId="18" fillId="2" borderId="2" xfId="0" applyFont="1" applyFill="1" applyBorder="1" applyAlignment="1">
      <alignment wrapText="1"/>
    </xf>
    <xf numFmtId="164" fontId="18" fillId="2" borderId="0" xfId="1" applyFont="1" applyFill="1" applyBorder="1" applyAlignment="1">
      <alignment wrapText="1"/>
    </xf>
    <xf numFmtId="2" fontId="18" fillId="2" borderId="2" xfId="0" applyNumberFormat="1" applyFont="1" applyFill="1" applyBorder="1"/>
    <xf numFmtId="2" fontId="18" fillId="2" borderId="2" xfId="0" applyNumberFormat="1" applyFont="1" applyFill="1" applyBorder="1" applyAlignment="1">
      <alignment wrapText="1"/>
    </xf>
    <xf numFmtId="49" fontId="18" fillId="2" borderId="2" xfId="0" applyNumberFormat="1" applyFont="1" applyFill="1" applyBorder="1"/>
    <xf numFmtId="2" fontId="18" fillId="2" borderId="2" xfId="463" applyNumberFormat="1" applyFont="1" applyFill="1" applyBorder="1" applyAlignment="1">
      <alignment wrapText="1"/>
    </xf>
    <xf numFmtId="164" fontId="18" fillId="2" borderId="8" xfId="1" applyFont="1" applyFill="1" applyBorder="1" applyAlignment="1">
      <alignment wrapText="1"/>
    </xf>
    <xf numFmtId="164" fontId="18" fillId="2" borderId="2" xfId="1" applyFont="1" applyFill="1" applyBorder="1" applyAlignment="1">
      <alignment horizontal="left" vertical="top" wrapText="1"/>
    </xf>
    <xf numFmtId="49" fontId="18" fillId="2" borderId="2" xfId="0" applyNumberFormat="1" applyFont="1" applyFill="1" applyBorder="1" applyAlignment="1">
      <alignment vertical="center" wrapText="1"/>
    </xf>
    <xf numFmtId="0" fontId="32" fillId="0" borderId="0" xfId="0" applyFont="1"/>
    <xf numFmtId="164" fontId="19" fillId="2" borderId="2" xfId="1" applyFont="1" applyFill="1" applyBorder="1" applyAlignment="1">
      <alignment horizontal="right"/>
    </xf>
    <xf numFmtId="0" fontId="34" fillId="0" borderId="0" xfId="0" applyFont="1"/>
    <xf numFmtId="0" fontId="35" fillId="0" borderId="1" xfId="0" applyFont="1" applyBorder="1" applyAlignment="1">
      <alignment horizontal="right"/>
    </xf>
    <xf numFmtId="0" fontId="33" fillId="0" borderId="0" xfId="0" applyFont="1" applyAlignment="1">
      <alignment horizontal="right"/>
    </xf>
    <xf numFmtId="0" fontId="36" fillId="0" borderId="1" xfId="0" applyFont="1" applyBorder="1" applyAlignment="1">
      <alignment horizontal="right"/>
    </xf>
    <xf numFmtId="171" fontId="34" fillId="0" borderId="0" xfId="200" applyNumberFormat="1" applyFont="1"/>
    <xf numFmtId="0" fontId="36" fillId="0" borderId="0" xfId="0" applyFont="1" applyAlignment="1">
      <alignment horizontal="right"/>
    </xf>
    <xf numFmtId="174" fontId="34" fillId="0" borderId="0" xfId="1" applyNumberFormat="1" applyFont="1"/>
    <xf numFmtId="0" fontId="37" fillId="9" borderId="0" xfId="0" applyFont="1" applyFill="1" applyAlignment="1">
      <alignment horizontal="right" vertical="center"/>
    </xf>
    <xf numFmtId="0" fontId="38" fillId="9" borderId="0" xfId="0" applyFont="1" applyFill="1" applyAlignment="1">
      <alignment horizontal="left"/>
    </xf>
    <xf numFmtId="4" fontId="9" fillId="0" borderId="0" xfId="0" applyNumberFormat="1" applyFont="1"/>
    <xf numFmtId="164" fontId="9" fillId="0" borderId="0" xfId="1" applyFont="1"/>
    <xf numFmtId="0" fontId="40" fillId="0" borderId="0" xfId="0" applyFont="1"/>
    <xf numFmtId="0" fontId="18" fillId="2" borderId="9" xfId="0" applyFont="1" applyFill="1" applyBorder="1" applyAlignment="1">
      <alignment wrapText="1"/>
    </xf>
    <xf numFmtId="0" fontId="41" fillId="2" borderId="0" xfId="0" applyFont="1" applyFill="1" applyAlignment="1">
      <alignment horizontal="right"/>
    </xf>
    <xf numFmtId="16" fontId="41" fillId="2" borderId="0" xfId="0" quotePrefix="1" applyNumberFormat="1" applyFont="1" applyFill="1" applyAlignment="1">
      <alignment horizontal="right" wrapText="1"/>
    </xf>
    <xf numFmtId="0" fontId="41" fillId="2" borderId="0" xfId="0" applyFont="1" applyFill="1" applyAlignment="1">
      <alignment horizontal="right" wrapText="1"/>
    </xf>
    <xf numFmtId="2" fontId="25" fillId="0" borderId="0" xfId="0" applyNumberFormat="1" applyFont="1"/>
    <xf numFmtId="0" fontId="41" fillId="0" borderId="0" xfId="0" applyFont="1" applyAlignment="1">
      <alignment horizontal="right"/>
    </xf>
    <xf numFmtId="0" fontId="25" fillId="0" borderId="0" xfId="0" applyFont="1"/>
    <xf numFmtId="16" fontId="41" fillId="2" borderId="0" xfId="0" applyNumberFormat="1" applyFont="1" applyFill="1"/>
    <xf numFmtId="0" fontId="41" fillId="0" borderId="2" xfId="0" applyFont="1" applyBorder="1" applyAlignment="1">
      <alignment horizontal="right"/>
    </xf>
    <xf numFmtId="16" fontId="41" fillId="2" borderId="2" xfId="0" quotePrefix="1" applyNumberFormat="1" applyFont="1" applyFill="1" applyBorder="1" applyAlignment="1">
      <alignment horizontal="right"/>
    </xf>
    <xf numFmtId="164" fontId="25" fillId="2" borderId="2" xfId="1" applyFont="1" applyFill="1" applyBorder="1" applyAlignment="1">
      <alignment horizontal="right" vertical="top" wrapText="1"/>
    </xf>
    <xf numFmtId="164" fontId="25" fillId="2" borderId="2" xfId="1" applyFont="1" applyFill="1" applyBorder="1"/>
    <xf numFmtId="4" fontId="25" fillId="2" borderId="2" xfId="0" applyNumberFormat="1" applyFont="1" applyFill="1" applyBorder="1"/>
    <xf numFmtId="4" fontId="25" fillId="2" borderId="2" xfId="0" applyNumberFormat="1" applyFont="1" applyFill="1" applyBorder="1" applyAlignment="1">
      <alignment horizontal="right"/>
    </xf>
    <xf numFmtId="164" fontId="42" fillId="2" borderId="0" xfId="1" applyFont="1" applyFill="1" applyBorder="1"/>
    <xf numFmtId="43" fontId="34" fillId="0" borderId="0" xfId="200" applyFont="1" applyBorder="1"/>
    <xf numFmtId="173" fontId="1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174" fontId="18" fillId="2" borderId="2" xfId="1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right" wrapText="1"/>
    </xf>
    <xf numFmtId="173" fontId="18" fillId="2" borderId="2" xfId="0" applyNumberFormat="1" applyFont="1" applyFill="1" applyBorder="1" applyAlignment="1">
      <alignment horizontal="center" wrapText="1"/>
    </xf>
    <xf numFmtId="174" fontId="43" fillId="2" borderId="2" xfId="1" applyNumberFormat="1" applyFont="1" applyFill="1" applyBorder="1" applyAlignment="1">
      <alignment horizontal="right"/>
    </xf>
    <xf numFmtId="164" fontId="43" fillId="2" borderId="2" xfId="1" applyFont="1" applyFill="1" applyBorder="1" applyAlignment="1">
      <alignment wrapText="1"/>
    </xf>
    <xf numFmtId="173" fontId="18" fillId="2" borderId="2" xfId="0" applyNumberFormat="1" applyFont="1" applyFill="1" applyBorder="1" applyAlignment="1">
      <alignment horizontal="right" wrapText="1"/>
    </xf>
    <xf numFmtId="173" fontId="43" fillId="2" borderId="2" xfId="0" applyNumberFormat="1" applyFont="1" applyFill="1" applyBorder="1" applyAlignment="1">
      <alignment horizontal="center" wrapText="1"/>
    </xf>
    <xf numFmtId="49" fontId="43" fillId="2" borderId="2" xfId="0" applyNumberFormat="1" applyFont="1" applyFill="1" applyBorder="1" applyAlignment="1">
      <alignment wrapText="1"/>
    </xf>
    <xf numFmtId="174" fontId="43" fillId="2" borderId="2" xfId="1" applyNumberFormat="1" applyFont="1" applyFill="1" applyBorder="1" applyAlignment="1">
      <alignment horizontal="center" wrapText="1"/>
    </xf>
    <xf numFmtId="49" fontId="43" fillId="2" borderId="2" xfId="0" applyNumberFormat="1" applyFont="1" applyFill="1" applyBorder="1" applyAlignment="1">
      <alignment vertical="center" wrapText="1"/>
    </xf>
    <xf numFmtId="4" fontId="43" fillId="2" borderId="2" xfId="0" applyNumberFormat="1" applyFont="1" applyFill="1" applyBorder="1" applyAlignment="1">
      <alignment wrapText="1"/>
    </xf>
    <xf numFmtId="173" fontId="18" fillId="2" borderId="2" xfId="0" applyNumberFormat="1" applyFont="1" applyFill="1" applyBorder="1" applyAlignment="1">
      <alignment horizontal="center" wrapText="1"/>
    </xf>
    <xf numFmtId="174" fontId="18" fillId="2" borderId="2" xfId="1" applyNumberFormat="1" applyFont="1" applyFill="1" applyBorder="1" applyAlignment="1">
      <alignment horizontal="right"/>
    </xf>
    <xf numFmtId="49" fontId="18" fillId="2" borderId="2" xfId="0" applyNumberFormat="1" applyFont="1" applyFill="1" applyBorder="1" applyAlignment="1">
      <alignment vertical="top" wrapText="1"/>
    </xf>
    <xf numFmtId="164" fontId="18" fillId="2" borderId="2" xfId="1" applyFont="1" applyFill="1" applyBorder="1" applyAlignment="1">
      <alignment vertical="top" wrapText="1"/>
    </xf>
    <xf numFmtId="174" fontId="18" fillId="2" borderId="4" xfId="1" applyNumberFormat="1" applyFont="1" applyFill="1" applyBorder="1" applyAlignment="1">
      <alignment horizontal="right" wrapText="1"/>
    </xf>
    <xf numFmtId="4" fontId="18" fillId="2" borderId="9" xfId="0" applyNumberFormat="1" applyFont="1" applyFill="1" applyBorder="1" applyAlignment="1">
      <alignment wrapText="1"/>
    </xf>
    <xf numFmtId="173" fontId="18" fillId="2" borderId="2" xfId="0" applyNumberFormat="1" applyFont="1" applyFill="1" applyBorder="1" applyAlignment="1">
      <alignment horizontal="center" wrapText="1"/>
    </xf>
    <xf numFmtId="49" fontId="43" fillId="2" borderId="2" xfId="0" applyNumberFormat="1" applyFont="1" applyFill="1" applyBorder="1"/>
    <xf numFmtId="0" fontId="43" fillId="2" borderId="2" xfId="0" applyFont="1" applyFill="1" applyBorder="1" applyAlignment="1">
      <alignment horizontal="right" wrapText="1"/>
    </xf>
    <xf numFmtId="2" fontId="43" fillId="2" borderId="2" xfId="0" applyNumberFormat="1" applyFont="1" applyFill="1" applyBorder="1"/>
    <xf numFmtId="173" fontId="1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174" fontId="18" fillId="2" borderId="2" xfId="1" applyNumberFormat="1" applyFont="1" applyFill="1" applyBorder="1" applyAlignment="1">
      <alignment horizontal="right" wrapText="1"/>
    </xf>
    <xf numFmtId="164" fontId="18" fillId="2" borderId="8" xfId="1" applyFont="1" applyFill="1" applyBorder="1"/>
    <xf numFmtId="164" fontId="43" fillId="2" borderId="2" xfId="1" applyFont="1" applyFill="1" applyBorder="1" applyAlignment="1">
      <alignment horizontal="left" vertical="top" wrapText="1"/>
    </xf>
    <xf numFmtId="174" fontId="43" fillId="2" borderId="2" xfId="1" applyNumberFormat="1" applyFont="1" applyFill="1" applyBorder="1" applyAlignment="1">
      <alignment horizontal="right" vertical="center" wrapText="1"/>
    </xf>
    <xf numFmtId="164" fontId="43" fillId="2" borderId="2" xfId="1" applyFont="1" applyFill="1" applyBorder="1"/>
    <xf numFmtId="2" fontId="43" fillId="2" borderId="2" xfId="0" applyNumberFormat="1" applyFont="1" applyFill="1" applyBorder="1" applyAlignment="1">
      <alignment wrapText="1"/>
    </xf>
    <xf numFmtId="0" fontId="44" fillId="2" borderId="10" xfId="0" applyFont="1" applyFill="1" applyBorder="1" applyAlignment="1">
      <alignment wrapText="1"/>
    </xf>
    <xf numFmtId="173" fontId="18" fillId="2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vertical="top" wrapText="1"/>
    </xf>
    <xf numFmtId="164" fontId="19" fillId="2" borderId="2" xfId="1" applyFont="1" applyFill="1" applyBorder="1" applyAlignment="1">
      <alignment horizontal="right"/>
    </xf>
    <xf numFmtId="49" fontId="28" fillId="5" borderId="2" xfId="0" applyNumberFormat="1" applyFont="1" applyFill="1" applyBorder="1" applyAlignment="1">
      <alignment horizontal="right"/>
    </xf>
    <xf numFmtId="173" fontId="18" fillId="2" borderId="2" xfId="0" applyNumberFormat="1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wrapText="1"/>
    </xf>
    <xf numFmtId="2" fontId="28" fillId="2" borderId="2" xfId="0" applyNumberFormat="1" applyFont="1" applyFill="1" applyBorder="1" applyAlignment="1">
      <alignment horizontal="center" wrapText="1"/>
    </xf>
    <xf numFmtId="0" fontId="28" fillId="2" borderId="7" xfId="0" applyFont="1" applyFill="1" applyBorder="1" applyAlignment="1">
      <alignment horizontal="center" wrapText="1"/>
    </xf>
    <xf numFmtId="173" fontId="19" fillId="2" borderId="2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6" xfId="0" applyNumberFormat="1" applyFont="1" applyFill="1" applyBorder="1" applyAlignment="1">
      <alignment horizontal="center" vertical="top" wrapText="1"/>
    </xf>
    <xf numFmtId="172" fontId="28" fillId="2" borderId="4" xfId="0" applyNumberFormat="1" applyFont="1" applyFill="1" applyBorder="1" applyAlignment="1">
      <alignment horizontal="center" wrapText="1"/>
    </xf>
    <xf numFmtId="172" fontId="28" fillId="2" borderId="5" xfId="0" applyNumberFormat="1" applyFont="1" applyFill="1" applyBorder="1" applyAlignment="1">
      <alignment horizontal="center" wrapText="1"/>
    </xf>
    <xf numFmtId="172" fontId="28" fillId="2" borderId="6" xfId="0" applyNumberFormat="1" applyFont="1" applyFill="1" applyBorder="1" applyAlignment="1">
      <alignment horizontal="center" wrapText="1"/>
    </xf>
    <xf numFmtId="164" fontId="7" fillId="29" borderId="2" xfId="1" applyFont="1" applyFill="1" applyBorder="1" applyAlignment="1">
      <alignment horizontal="right"/>
    </xf>
    <xf numFmtId="49" fontId="7" fillId="2" borderId="2" xfId="0" applyNumberFormat="1" applyFont="1" applyFill="1" applyBorder="1" applyAlignment="1">
      <alignment horizontal="center"/>
    </xf>
    <xf numFmtId="49" fontId="24" fillId="4" borderId="2" xfId="0" applyNumberFormat="1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/>
    </xf>
    <xf numFmtId="173" fontId="19" fillId="2" borderId="2" xfId="0" applyNumberFormat="1" applyFont="1" applyFill="1" applyBorder="1" applyAlignment="1">
      <alignment horizontal="center"/>
    </xf>
    <xf numFmtId="49" fontId="19" fillId="2" borderId="2" xfId="0" applyNumberFormat="1" applyFont="1" applyFill="1" applyBorder="1" applyAlignment="1">
      <alignment horizontal="center" wrapText="1"/>
    </xf>
    <xf numFmtId="172" fontId="28" fillId="2" borderId="2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164" fontId="18" fillId="2" borderId="2" xfId="1" applyNumberFormat="1" applyFont="1" applyFill="1" applyBorder="1" applyAlignment="1">
      <alignment horizontal="left"/>
    </xf>
    <xf numFmtId="164" fontId="18" fillId="0" borderId="2" xfId="1" applyNumberFormat="1" applyFont="1" applyBorder="1"/>
    <xf numFmtId="164" fontId="18" fillId="7" borderId="2" xfId="1" applyNumberFormat="1" applyFont="1" applyFill="1" applyBorder="1"/>
    <xf numFmtId="164" fontId="18" fillId="2" borderId="2" xfId="1" applyNumberFormat="1" applyFont="1" applyFill="1" applyBorder="1"/>
    <xf numFmtId="164" fontId="18" fillId="2" borderId="2" xfId="1" applyNumberFormat="1" applyFont="1" applyFill="1" applyBorder="1" applyAlignment="1">
      <alignment horizontal="center" vertical="top" wrapText="1"/>
    </xf>
    <xf numFmtId="164" fontId="18" fillId="0" borderId="2" xfId="1" applyNumberFormat="1" applyFont="1" applyFill="1" applyBorder="1" applyAlignment="1" applyProtection="1"/>
    <xf numFmtId="164" fontId="18" fillId="2" borderId="2" xfId="1" applyNumberFormat="1" applyFont="1" applyFill="1" applyBorder="1" applyAlignment="1">
      <alignment horizontal="center" wrapText="1"/>
    </xf>
    <xf numFmtId="164" fontId="18" fillId="0" borderId="2" xfId="1" applyNumberFormat="1" applyFont="1" applyFill="1" applyBorder="1"/>
    <xf numFmtId="43" fontId="4" fillId="0" borderId="0" xfId="200" applyFont="1" applyBorder="1"/>
    <xf numFmtId="4" fontId="44" fillId="2" borderId="0" xfId="0" applyNumberFormat="1" applyFont="1" applyFill="1"/>
    <xf numFmtId="4" fontId="44" fillId="2" borderId="0" xfId="0" applyNumberFormat="1" applyFont="1" applyFill="1" applyAlignment="1">
      <alignment horizontal="right"/>
    </xf>
    <xf numFmtId="172" fontId="18" fillId="2" borderId="0" xfId="0" applyNumberFormat="1" applyFont="1" applyFill="1"/>
    <xf numFmtId="0" fontId="23" fillId="0" borderId="0" xfId="0" applyFont="1" applyAlignment="1">
      <alignment horizontal="right"/>
    </xf>
    <xf numFmtId="164" fontId="25" fillId="0" borderId="0" xfId="1" applyFont="1" applyBorder="1"/>
    <xf numFmtId="4" fontId="25" fillId="2" borderId="0" xfId="0" applyNumberFormat="1" applyFont="1" applyFill="1"/>
    <xf numFmtId="4" fontId="18" fillId="2" borderId="10" xfId="0" applyNumberFormat="1" applyFont="1" applyFill="1" applyBorder="1" applyAlignment="1">
      <alignment wrapText="1"/>
    </xf>
    <xf numFmtId="173" fontId="43" fillId="2" borderId="2" xfId="0" applyNumberFormat="1" applyFont="1" applyFill="1" applyBorder="1" applyAlignment="1">
      <alignment horizontal="right" wrapText="1"/>
    </xf>
  </cellXfs>
  <cellStyles count="465">
    <cellStyle name="20% - Accent1 2" xfId="2"/>
    <cellStyle name="20% - Accent1 2 2" xfId="3"/>
    <cellStyle name="20% - Accent1 2 3" xfId="4"/>
    <cellStyle name="20% - Accent1 3" xfId="5"/>
    <cellStyle name="20% - Accent1 3 2" xfId="6"/>
    <cellStyle name="20% - Accent1 3 3" xfId="7"/>
    <cellStyle name="20% - Accent1 4" xfId="8"/>
    <cellStyle name="20% - Accent1 4 2" xfId="9"/>
    <cellStyle name="20% - Accent1 5" xfId="10"/>
    <cellStyle name="20% - Accent1 6" xfId="11"/>
    <cellStyle name="20% - Accent2 2" xfId="12"/>
    <cellStyle name="20% - Accent2 2 2" xfId="13"/>
    <cellStyle name="20% - Accent2 2 3" xfId="14"/>
    <cellStyle name="20% - Accent2 3" xfId="15"/>
    <cellStyle name="20% - Accent2 3 2" xfId="16"/>
    <cellStyle name="20% - Accent2 3 3" xfId="17"/>
    <cellStyle name="20% - Accent2 4" xfId="18"/>
    <cellStyle name="20% - Accent2 4 2" xfId="19"/>
    <cellStyle name="20% - Accent2 5" xfId="20"/>
    <cellStyle name="20% - Accent2 6" xfId="21"/>
    <cellStyle name="20% - Accent3 2" xfId="22"/>
    <cellStyle name="20% - Accent3 2 2" xfId="23"/>
    <cellStyle name="20% - Accent3 2 3" xfId="24"/>
    <cellStyle name="20% - Accent3 3" xfId="25"/>
    <cellStyle name="20% - Accent3 3 2" xfId="26"/>
    <cellStyle name="20% - Accent3 3 3" xfId="27"/>
    <cellStyle name="20% - Accent3 4" xfId="28"/>
    <cellStyle name="20% - Accent3 4 2" xfId="29"/>
    <cellStyle name="20% - Accent3 5" xfId="30"/>
    <cellStyle name="20% - Accent3 6" xfId="31"/>
    <cellStyle name="20% - Accent4 2" xfId="32"/>
    <cellStyle name="20% - Accent4 2 2" xfId="33"/>
    <cellStyle name="20% - Accent4 2 3" xfId="34"/>
    <cellStyle name="20% - Accent4 3" xfId="35"/>
    <cellStyle name="20% - Accent4 3 2" xfId="36"/>
    <cellStyle name="20% - Accent4 3 3" xfId="37"/>
    <cellStyle name="20% - Accent4 4" xfId="38"/>
    <cellStyle name="20% - Accent4 4 2" xfId="39"/>
    <cellStyle name="20% - Accent4 5" xfId="40"/>
    <cellStyle name="20% - Accent4 6" xfId="41"/>
    <cellStyle name="20% - Accent5 2" xfId="42"/>
    <cellStyle name="20% - Accent5 2 2" xfId="43"/>
    <cellStyle name="20% - Accent5 2 3" xfId="44"/>
    <cellStyle name="20% - Accent5 3" xfId="45"/>
    <cellStyle name="20% - Accent5 3 2" xfId="46"/>
    <cellStyle name="20% - Accent5 3 3" xfId="47"/>
    <cellStyle name="20% - Accent5 4" xfId="48"/>
    <cellStyle name="20% - Accent5 4 2" xfId="49"/>
    <cellStyle name="20% - Accent5 5" xfId="50"/>
    <cellStyle name="20% - Accent5 6" xfId="51"/>
    <cellStyle name="20% - Accent6 2" xfId="52"/>
    <cellStyle name="20% - Accent6 2 2" xfId="53"/>
    <cellStyle name="20% - Accent6 2 3" xfId="54"/>
    <cellStyle name="20% - Accent6 3" xfId="55"/>
    <cellStyle name="20% - Accent6 3 2" xfId="56"/>
    <cellStyle name="20% - Accent6 3 3" xfId="57"/>
    <cellStyle name="20% - Accent6 4" xfId="58"/>
    <cellStyle name="20% - Accent6 4 2" xfId="59"/>
    <cellStyle name="20% - Accent6 5" xfId="60"/>
    <cellStyle name="20% - Accent6 6" xfId="61"/>
    <cellStyle name="40% - Accent1 2" xfId="62"/>
    <cellStyle name="40% - Accent1 2 2" xfId="63"/>
    <cellStyle name="40% - Accent1 2 3" xfId="64"/>
    <cellStyle name="40% - Accent1 3" xfId="65"/>
    <cellStyle name="40% - Accent1 3 2" xfId="66"/>
    <cellStyle name="40% - Accent1 3 3" xfId="67"/>
    <cellStyle name="40% - Accent1 4" xfId="68"/>
    <cellStyle name="40% - Accent1 4 2" xfId="69"/>
    <cellStyle name="40% - Accent1 5" xfId="70"/>
    <cellStyle name="40% - Accent1 6" xfId="71"/>
    <cellStyle name="40% - Accent2 2" xfId="72"/>
    <cellStyle name="40% - Accent2 2 2" xfId="73"/>
    <cellStyle name="40% - Accent2 2 3" xfId="74"/>
    <cellStyle name="40% - Accent2 3" xfId="75"/>
    <cellStyle name="40% - Accent2 3 2" xfId="76"/>
    <cellStyle name="40% - Accent2 3 3" xfId="77"/>
    <cellStyle name="40% - Accent2 4" xfId="78"/>
    <cellStyle name="40% - Accent2 4 2" xfId="79"/>
    <cellStyle name="40% - Accent2 5" xfId="80"/>
    <cellStyle name="40% - Accent2 6" xfId="81"/>
    <cellStyle name="40% - Accent3 2" xfId="82"/>
    <cellStyle name="40% - Accent3 2 2" xfId="83"/>
    <cellStyle name="40% - Accent3 2 3" xfId="84"/>
    <cellStyle name="40% - Accent3 3" xfId="85"/>
    <cellStyle name="40% - Accent3 3 2" xfId="86"/>
    <cellStyle name="40% - Accent3 3 3" xfId="87"/>
    <cellStyle name="40% - Accent3 4" xfId="88"/>
    <cellStyle name="40% - Accent3 4 2" xfId="89"/>
    <cellStyle name="40% - Accent3 5" xfId="90"/>
    <cellStyle name="40% - Accent3 6" xfId="91"/>
    <cellStyle name="40% - Accent4 2" xfId="92"/>
    <cellStyle name="40% - Accent4 2 2" xfId="93"/>
    <cellStyle name="40% - Accent4 2 3" xfId="94"/>
    <cellStyle name="40% - Accent4 3" xfId="95"/>
    <cellStyle name="40% - Accent4 3 2" xfId="96"/>
    <cellStyle name="40% - Accent4 3 3" xfId="97"/>
    <cellStyle name="40% - Accent4 4" xfId="98"/>
    <cellStyle name="40% - Accent4 4 2" xfId="99"/>
    <cellStyle name="40% - Accent4 5" xfId="100"/>
    <cellStyle name="40% - Accent4 6" xfId="101"/>
    <cellStyle name="40% - Accent5 2" xfId="102"/>
    <cellStyle name="40% - Accent5 2 2" xfId="103"/>
    <cellStyle name="40% - Accent5 2 3" xfId="104"/>
    <cellStyle name="40% - Accent5 3" xfId="105"/>
    <cellStyle name="40% - Accent5 3 2" xfId="106"/>
    <cellStyle name="40% - Accent5 3 3" xfId="107"/>
    <cellStyle name="40% - Accent5 4" xfId="108"/>
    <cellStyle name="40% - Accent5 4 2" xfId="109"/>
    <cellStyle name="40% - Accent5 5" xfId="110"/>
    <cellStyle name="40% - Accent5 6" xfId="111"/>
    <cellStyle name="40% - Accent6 2" xfId="112"/>
    <cellStyle name="40% - Accent6 2 2" xfId="113"/>
    <cellStyle name="40% - Accent6 2 3" xfId="114"/>
    <cellStyle name="40% - Accent6 3" xfId="115"/>
    <cellStyle name="40% - Accent6 3 2" xfId="116"/>
    <cellStyle name="40% - Accent6 3 3" xfId="117"/>
    <cellStyle name="40% - Accent6 4" xfId="118"/>
    <cellStyle name="40% - Accent6 4 2" xfId="119"/>
    <cellStyle name="40% - Accent6 5" xfId="120"/>
    <cellStyle name="40% - Accent6 6" xfId="121"/>
    <cellStyle name="60% - Accent1 2" xfId="122"/>
    <cellStyle name="60% - Accent1 2 2" xfId="123"/>
    <cellStyle name="60% - Accent1 2 3" xfId="124"/>
    <cellStyle name="60% - Accent1 3" xfId="125"/>
    <cellStyle name="60% - Accent1 3 2" xfId="126"/>
    <cellStyle name="60% - Accent1 3 3" xfId="127"/>
    <cellStyle name="60% - Accent1 4" xfId="128"/>
    <cellStyle name="60% - Accent1 4 2" xfId="129"/>
    <cellStyle name="60% - Accent1 5" xfId="130"/>
    <cellStyle name="60% - Accent1 6" xfId="131"/>
    <cellStyle name="60% - Accent2 2" xfId="132"/>
    <cellStyle name="60% - Accent2 2 2" xfId="133"/>
    <cellStyle name="60% - Accent2 2 3" xfId="134"/>
    <cellStyle name="60% - Accent2 3" xfId="135"/>
    <cellStyle name="60% - Accent2 3 2" xfId="136"/>
    <cellStyle name="60% - Accent2 3 3" xfId="137"/>
    <cellStyle name="60% - Accent2 4" xfId="138"/>
    <cellStyle name="60% - Accent2 4 2" xfId="139"/>
    <cellStyle name="60% - Accent2 5" xfId="140"/>
    <cellStyle name="60% - Accent2 6" xfId="141"/>
    <cellStyle name="60% - Accent3 2" xfId="142"/>
    <cellStyle name="60% - Accent3 2 2" xfId="143"/>
    <cellStyle name="60% - Accent3 2 3" xfId="144"/>
    <cellStyle name="60% - Accent3 3" xfId="145"/>
    <cellStyle name="60% - Accent3 3 2" xfId="146"/>
    <cellStyle name="60% - Accent3 3 3" xfId="147"/>
    <cellStyle name="60% - Accent3 4" xfId="148"/>
    <cellStyle name="60% - Accent3 4 2" xfId="149"/>
    <cellStyle name="60% - Accent3 5" xfId="150"/>
    <cellStyle name="60% - Accent3 6" xfId="151"/>
    <cellStyle name="60% - Accent4 2" xfId="152"/>
    <cellStyle name="60% - Accent4 2 2" xfId="153"/>
    <cellStyle name="60% - Accent4 2 3" xfId="154"/>
    <cellStyle name="60% - Accent4 3" xfId="155"/>
    <cellStyle name="60% - Accent4 3 2" xfId="156"/>
    <cellStyle name="60% - Accent4 3 3" xfId="157"/>
    <cellStyle name="60% - Accent4 4" xfId="158"/>
    <cellStyle name="60% - Accent4 4 2" xfId="159"/>
    <cellStyle name="60% - Accent4 5" xfId="160"/>
    <cellStyle name="60% - Accent4 6" xfId="161"/>
    <cellStyle name="60% - Accent5 2" xfId="162"/>
    <cellStyle name="60% - Accent5 2 2" xfId="163"/>
    <cellStyle name="60% - Accent5 2 3" xfId="164"/>
    <cellStyle name="60% - Accent5 3" xfId="165"/>
    <cellStyle name="60% - Accent5 3 2" xfId="166"/>
    <cellStyle name="60% - Accent5 3 3" xfId="167"/>
    <cellStyle name="60% - Accent5 4" xfId="168"/>
    <cellStyle name="60% - Accent5 4 2" xfId="169"/>
    <cellStyle name="60% - Accent5 5" xfId="170"/>
    <cellStyle name="60% - Accent5 6" xfId="171"/>
    <cellStyle name="60% - Accent6 2" xfId="172"/>
    <cellStyle name="60% - Accent6 2 2" xfId="173"/>
    <cellStyle name="60% - Accent6 2 3" xfId="174"/>
    <cellStyle name="60% - Accent6 3" xfId="175"/>
    <cellStyle name="60% - Accent6 3 2" xfId="176"/>
    <cellStyle name="60% - Accent6 3 3" xfId="177"/>
    <cellStyle name="60% - Accent6 4" xfId="178"/>
    <cellStyle name="60% - Accent6 4 2" xfId="179"/>
    <cellStyle name="60% - Accent6 5" xfId="180"/>
    <cellStyle name="60% - Accent6 6" xfId="181"/>
    <cellStyle name="Comma" xfId="1" builtinId="3"/>
    <cellStyle name="Comma 10" xfId="182"/>
    <cellStyle name="Comma 10 13" xfId="183"/>
    <cellStyle name="Comma 11" xfId="184"/>
    <cellStyle name="Comma 12" xfId="185"/>
    <cellStyle name="Comma 12 2" xfId="186"/>
    <cellStyle name="Comma 12 3" xfId="187"/>
    <cellStyle name="Comma 13" xfId="188"/>
    <cellStyle name="Comma 13 2" xfId="189"/>
    <cellStyle name="Comma 13 3" xfId="190"/>
    <cellStyle name="Comma 14" xfId="191"/>
    <cellStyle name="Comma 15" xfId="192"/>
    <cellStyle name="Comma 15 2" xfId="193"/>
    <cellStyle name="Comma 15 3" xfId="194"/>
    <cellStyle name="Comma 16" xfId="195"/>
    <cellStyle name="Comma 16 2" xfId="196"/>
    <cellStyle name="Comma 16 3" xfId="197"/>
    <cellStyle name="Comma 17" xfId="198"/>
    <cellStyle name="Comma 18" xfId="199"/>
    <cellStyle name="Comma 2" xfId="200"/>
    <cellStyle name="Comma 2 10" xfId="201"/>
    <cellStyle name="Comma 2 10 2" xfId="202"/>
    <cellStyle name="Comma 2 11" xfId="203"/>
    <cellStyle name="Comma 2 11 2" xfId="204"/>
    <cellStyle name="Comma 2 12" xfId="205"/>
    <cellStyle name="Comma 2 13" xfId="206"/>
    <cellStyle name="Comma 2 2" xfId="207"/>
    <cellStyle name="Comma 2 2 2" xfId="208"/>
    <cellStyle name="Comma 2 2 2 2" xfId="209"/>
    <cellStyle name="Comma 2 2 2 2 2" xfId="210"/>
    <cellStyle name="Comma 2 2 2 2 3" xfId="211"/>
    <cellStyle name="Comma 2 2 2 3" xfId="212"/>
    <cellStyle name="Comma 2 3" xfId="213"/>
    <cellStyle name="Comma 2 3 2" xfId="214"/>
    <cellStyle name="Comma 2 4" xfId="215"/>
    <cellStyle name="Comma 2 4 2" xfId="216"/>
    <cellStyle name="Comma 2 5" xfId="217"/>
    <cellStyle name="Comma 2 5 2" xfId="218"/>
    <cellStyle name="Comma 2 6" xfId="219"/>
    <cellStyle name="Comma 2 6 2" xfId="220"/>
    <cellStyle name="Comma 2 7" xfId="221"/>
    <cellStyle name="Comma 2 7 2" xfId="222"/>
    <cellStyle name="Comma 2 8" xfId="223"/>
    <cellStyle name="Comma 2 8 2" xfId="224"/>
    <cellStyle name="Comma 2 9" xfId="225"/>
    <cellStyle name="Comma 2 9 2" xfId="226"/>
    <cellStyle name="Comma 3" xfId="227"/>
    <cellStyle name="Comma 3 2" xfId="228"/>
    <cellStyle name="Comma 3 2 2" xfId="229"/>
    <cellStyle name="Comma 3 3" xfId="230"/>
    <cellStyle name="Comma 3 4" xfId="231"/>
    <cellStyle name="Comma 3 4 3" xfId="232"/>
    <cellStyle name="Comma 3 4 4" xfId="233"/>
    <cellStyle name="Comma 4" xfId="234"/>
    <cellStyle name="Comma 4 2" xfId="235"/>
    <cellStyle name="Comma 4 3" xfId="236"/>
    <cellStyle name="Comma 5" xfId="237"/>
    <cellStyle name="Comma 6" xfId="238"/>
    <cellStyle name="Comma 7" xfId="239"/>
    <cellStyle name="Comma 8" xfId="240"/>
    <cellStyle name="Comma 8 2" xfId="241"/>
    <cellStyle name="Comma 9" xfId="242"/>
    <cellStyle name="Neutral 2" xfId="243"/>
    <cellStyle name="Normal" xfId="0" builtinId="0"/>
    <cellStyle name="Normal - Style1" xfId="244"/>
    <cellStyle name="Normal 10" xfId="245"/>
    <cellStyle name="Normal 10 2" xfId="246"/>
    <cellStyle name="Normal 10 3" xfId="247"/>
    <cellStyle name="Normal 11" xfId="248"/>
    <cellStyle name="Normal 11 2" xfId="249"/>
    <cellStyle name="Normal 11 3" xfId="250"/>
    <cellStyle name="Normal 12" xfId="251"/>
    <cellStyle name="Normal 12 2" xfId="252"/>
    <cellStyle name="Normal 12 2 2" xfId="253"/>
    <cellStyle name="Normal 12 2 3" xfId="254"/>
    <cellStyle name="Normal 12 3" xfId="255"/>
    <cellStyle name="Normal 12 4" xfId="256"/>
    <cellStyle name="Normal 13" xfId="257"/>
    <cellStyle name="Normal 13 2" xfId="258"/>
    <cellStyle name="Normal 13 3" xfId="259"/>
    <cellStyle name="Normal 14" xfId="260"/>
    <cellStyle name="Normal 14 2" xfId="261"/>
    <cellStyle name="Normal 15" xfId="262"/>
    <cellStyle name="Normal 15 2" xfId="263"/>
    <cellStyle name="Normal 15 3" xfId="264"/>
    <cellStyle name="Normal 16" xfId="265"/>
    <cellStyle name="Normal 16 2" xfId="266"/>
    <cellStyle name="Normal 16 3" xfId="267"/>
    <cellStyle name="Normal 17" xfId="268"/>
    <cellStyle name="Normal 17 2" xfId="269"/>
    <cellStyle name="Normal 17 3" xfId="270"/>
    <cellStyle name="Normal 18" xfId="271"/>
    <cellStyle name="Normal 18 2" xfId="272"/>
    <cellStyle name="Normal 18 3" xfId="273"/>
    <cellStyle name="Normal 19" xfId="274"/>
    <cellStyle name="Normal 19 2" xfId="275"/>
    <cellStyle name="Normal 19 3" xfId="276"/>
    <cellStyle name="Normal 2" xfId="277"/>
    <cellStyle name="Normal 2 2" xfId="278"/>
    <cellStyle name="Normal 2 2 2" xfId="279"/>
    <cellStyle name="Normal 2 3" xfId="280"/>
    <cellStyle name="Normal 2 4" xfId="281"/>
    <cellStyle name="Normal 2 5" xfId="282"/>
    <cellStyle name="Normal 2 6" xfId="283"/>
    <cellStyle name="Normal 20" xfId="284"/>
    <cellStyle name="Normal 20 2" xfId="285"/>
    <cellStyle name="Normal 20 3" xfId="286"/>
    <cellStyle name="Normal 21" xfId="287"/>
    <cellStyle name="Normal 21 2" xfId="288"/>
    <cellStyle name="Normal 21 3" xfId="289"/>
    <cellStyle name="Normal 22" xfId="290"/>
    <cellStyle name="Normal 22 2" xfId="291"/>
    <cellStyle name="Normal 22 3" xfId="292"/>
    <cellStyle name="Normal 23" xfId="293"/>
    <cellStyle name="Normal 23 2" xfId="294"/>
    <cellStyle name="Normal 23 3" xfId="295"/>
    <cellStyle name="Normal 24" xfId="296"/>
    <cellStyle name="Normal 24 2" xfId="297"/>
    <cellStyle name="Normal 24 3" xfId="298"/>
    <cellStyle name="Normal 25" xfId="299"/>
    <cellStyle name="Normal 25 2" xfId="300"/>
    <cellStyle name="Normal 25 3" xfId="301"/>
    <cellStyle name="Normal 26" xfId="302"/>
    <cellStyle name="Normal 26 2" xfId="303"/>
    <cellStyle name="Normal 26 3" xfId="304"/>
    <cellStyle name="Normal 27" xfId="305"/>
    <cellStyle name="Normal 27 2" xfId="306"/>
    <cellStyle name="Normal 27 2 2" xfId="307"/>
    <cellStyle name="Normal 27 3" xfId="308"/>
    <cellStyle name="Normal 28" xfId="309"/>
    <cellStyle name="Normal 28 2" xfId="310"/>
    <cellStyle name="Normal 29" xfId="311"/>
    <cellStyle name="Normal 29 2" xfId="312"/>
    <cellStyle name="Normal 3" xfId="313"/>
    <cellStyle name="Normal 3 2" xfId="314"/>
    <cellStyle name="Normal 3 2 2" xfId="315"/>
    <cellStyle name="Normal 3 2 3" xfId="316"/>
    <cellStyle name="Normal 3 3" xfId="317"/>
    <cellStyle name="Normal 3 4" xfId="318"/>
    <cellStyle name="Normal 30" xfId="319"/>
    <cellStyle name="Normal 30 2" xfId="320"/>
    <cellStyle name="Normal 31" xfId="321"/>
    <cellStyle name="Normal 31 2" xfId="322"/>
    <cellStyle name="Normal 32" xfId="323"/>
    <cellStyle name="Normal 32 2" xfId="324"/>
    <cellStyle name="Normal 33" xfId="325"/>
    <cellStyle name="Normal 33 2" xfId="326"/>
    <cellStyle name="Normal 34" xfId="327"/>
    <cellStyle name="Normal 34 2" xfId="328"/>
    <cellStyle name="Normal 35" xfId="329"/>
    <cellStyle name="Normal 35 2" xfId="330"/>
    <cellStyle name="Normal 36" xfId="331"/>
    <cellStyle name="Normal 36 2" xfId="332"/>
    <cellStyle name="Normal 37" xfId="333"/>
    <cellStyle name="Normal 37 2" xfId="334"/>
    <cellStyle name="Normal 38" xfId="335"/>
    <cellStyle name="Normal 38 2" xfId="336"/>
    <cellStyle name="Normal 39" xfId="337"/>
    <cellStyle name="Normal 39 2" xfId="338"/>
    <cellStyle name="Normal 4" xfId="339"/>
    <cellStyle name="Normal 4 2" xfId="340"/>
    <cellStyle name="Normal 40" xfId="341"/>
    <cellStyle name="Normal 40 2" xfId="342"/>
    <cellStyle name="Normal 41" xfId="343"/>
    <cellStyle name="Normal 41 2" xfId="344"/>
    <cellStyle name="Normal 42" xfId="345"/>
    <cellStyle name="Normal 42 2" xfId="346"/>
    <cellStyle name="Normal 43" xfId="347"/>
    <cellStyle name="Normal 43 2" xfId="348"/>
    <cellStyle name="Normal 44" xfId="349"/>
    <cellStyle name="Normal 44 2" xfId="350"/>
    <cellStyle name="Normal 45" xfId="351"/>
    <cellStyle name="Normal 45 2" xfId="352"/>
    <cellStyle name="Normal 46" xfId="353"/>
    <cellStyle name="Normal 46 2" xfId="354"/>
    <cellStyle name="Normal 47" xfId="355"/>
    <cellStyle name="Normal 47 2" xfId="356"/>
    <cellStyle name="Normal 48" xfId="357"/>
    <cellStyle name="Normal 48 2" xfId="358"/>
    <cellStyle name="Normal 49" xfId="359"/>
    <cellStyle name="Normal 49 2" xfId="360"/>
    <cellStyle name="Normal 5" xfId="361"/>
    <cellStyle name="Normal 50" xfId="362"/>
    <cellStyle name="Normal 50 2" xfId="363"/>
    <cellStyle name="Normal 51" xfId="364"/>
    <cellStyle name="Normal 51 2" xfId="365"/>
    <cellStyle name="Normal 52" xfId="366"/>
    <cellStyle name="Normal 52 2" xfId="367"/>
    <cellStyle name="Normal 53" xfId="368"/>
    <cellStyle name="Normal 53 2" xfId="369"/>
    <cellStyle name="Normal 54" xfId="370"/>
    <cellStyle name="Normal 54 2" xfId="371"/>
    <cellStyle name="Normal 55" xfId="372"/>
    <cellStyle name="Normal 55 2" xfId="373"/>
    <cellStyle name="Normal 56" xfId="374"/>
    <cellStyle name="Normal 56 2" xfId="375"/>
    <cellStyle name="Normal 57" xfId="376"/>
    <cellStyle name="Normal 57 2" xfId="377"/>
    <cellStyle name="Normal 58" xfId="378"/>
    <cellStyle name="Normal 58 2" xfId="379"/>
    <cellStyle name="Normal 59" xfId="380"/>
    <cellStyle name="Normal 59 2" xfId="381"/>
    <cellStyle name="Normal 6" xfId="382"/>
    <cellStyle name="Normal 6 2" xfId="383"/>
    <cellStyle name="Normal 6 3" xfId="384"/>
    <cellStyle name="Normal 60" xfId="385"/>
    <cellStyle name="Normal 60 2" xfId="386"/>
    <cellStyle name="Normal 61" xfId="387"/>
    <cellStyle name="Normal 61 2" xfId="388"/>
    <cellStyle name="Normal 62" xfId="389"/>
    <cellStyle name="Normal 62 2" xfId="390"/>
    <cellStyle name="Normal 63" xfId="391"/>
    <cellStyle name="Normal 63 2" xfId="392"/>
    <cellStyle name="Normal 64" xfId="393"/>
    <cellStyle name="Normal 64 2" xfId="394"/>
    <cellStyle name="Normal 65" xfId="395"/>
    <cellStyle name="Normal 65 2" xfId="396"/>
    <cellStyle name="Normal 66" xfId="397"/>
    <cellStyle name="Normal 66 2" xfId="398"/>
    <cellStyle name="Normal 67" xfId="399"/>
    <cellStyle name="Normal 67 2" xfId="400"/>
    <cellStyle name="Normal 68" xfId="401"/>
    <cellStyle name="Normal 68 2" xfId="402"/>
    <cellStyle name="Normal 69" xfId="403"/>
    <cellStyle name="Normal 69 2" xfId="404"/>
    <cellStyle name="Normal 7" xfId="405"/>
    <cellStyle name="Normal 7 2" xfId="406"/>
    <cellStyle name="Normal 7 3" xfId="407"/>
    <cellStyle name="Normal 70" xfId="408"/>
    <cellStyle name="Normal 71" xfId="409"/>
    <cellStyle name="Normal 72" xfId="410"/>
    <cellStyle name="Normal 73" xfId="411"/>
    <cellStyle name="Normal 74" xfId="412"/>
    <cellStyle name="Normal 75" xfId="463"/>
    <cellStyle name="Normal 8" xfId="413"/>
    <cellStyle name="Normal 8 2" xfId="414"/>
    <cellStyle name="Normal 8 3" xfId="415"/>
    <cellStyle name="Normal 9" xfId="416"/>
    <cellStyle name="Normal 9 2" xfId="417"/>
    <cellStyle name="Normal 9 3" xfId="418"/>
    <cellStyle name="Note 10" xfId="419"/>
    <cellStyle name="Note 10 2" xfId="420"/>
    <cellStyle name="Note 10 3" xfId="421"/>
    <cellStyle name="Note 11" xfId="422"/>
    <cellStyle name="Note 11 2" xfId="423"/>
    <cellStyle name="Note 11 3" xfId="424"/>
    <cellStyle name="Note 12" xfId="425"/>
    <cellStyle name="Note 12 2" xfId="426"/>
    <cellStyle name="Note 12 3" xfId="427"/>
    <cellStyle name="Note 13" xfId="428"/>
    <cellStyle name="Note 13 2" xfId="429"/>
    <cellStyle name="Note 14" xfId="430"/>
    <cellStyle name="Note 14 2" xfId="431"/>
    <cellStyle name="Note 2" xfId="432"/>
    <cellStyle name="Note 2 2" xfId="433"/>
    <cellStyle name="Note 2 3" xfId="434"/>
    <cellStyle name="Note 3" xfId="435"/>
    <cellStyle name="Note 3 2" xfId="436"/>
    <cellStyle name="Note 3 3" xfId="437"/>
    <cellStyle name="Note 4" xfId="438"/>
    <cellStyle name="Note 4 2" xfId="439"/>
    <cellStyle name="Note 4 3" xfId="440"/>
    <cellStyle name="Note 5" xfId="441"/>
    <cellStyle name="Note 5 2" xfId="442"/>
    <cellStyle name="Note 5 3" xfId="443"/>
    <cellStyle name="Note 6" xfId="444"/>
    <cellStyle name="Note 6 2" xfId="445"/>
    <cellStyle name="Note 6 3" xfId="446"/>
    <cellStyle name="Note 7" xfId="447"/>
    <cellStyle name="Note 7 2" xfId="448"/>
    <cellStyle name="Note 7 3" xfId="449"/>
    <cellStyle name="Note 8" xfId="450"/>
    <cellStyle name="Note 8 2" xfId="451"/>
    <cellStyle name="Note 8 3" xfId="452"/>
    <cellStyle name="Note 9" xfId="453"/>
    <cellStyle name="Note 9 2" xfId="454"/>
    <cellStyle name="Note 9 3" xfId="455"/>
    <cellStyle name="Percent" xfId="464" builtinId="5"/>
    <cellStyle name="Percent 2" xfId="456"/>
    <cellStyle name="Percent 2 2" xfId="457"/>
    <cellStyle name="Percent 2 2 2" xfId="458"/>
    <cellStyle name="Percent 3" xfId="459"/>
    <cellStyle name="Percent 4" xfId="460"/>
    <cellStyle name="Title 2" xfId="461"/>
    <cellStyle name="Title 3" xfId="462"/>
  </cellStyles>
  <dxfs count="0"/>
  <tableStyles count="0" defaultTableStyle="TableStyleMedium2" defaultPivotStyle="PivotStyleLight16"/>
  <colors>
    <mruColors>
      <color rgb="FF66CCFF"/>
      <color rgb="FF0C6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2400" b="1" i="0" baseline="0">
                <a:solidFill>
                  <a:sysClr val="windowText" lastClr="000000"/>
                </a:solidFill>
                <a:effectLst>
                  <a:outerShdw blurRad="50800" dist="38100" dir="5400000" algn="t" rotWithShape="0">
                    <a:srgbClr val="000000">
                      <a:alpha val="40000"/>
                    </a:srgbClr>
                  </a:outerShdw>
                </a:effectLst>
              </a:rPr>
              <a:t>NAV BY CLASS OF FUNDS (N'Bn)</a:t>
            </a:r>
            <a:endParaRPr lang="en-US" sz="2400">
              <a:solidFill>
                <a:sysClr val="windowText" lastClr="000000"/>
              </a:solidFill>
              <a:effectLst/>
            </a:endParaRPr>
          </a:p>
        </c:rich>
      </c:tx>
      <c:layout/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'NAV Comparison'!$B$4</c:f>
              <c:strCache>
                <c:ptCount val="1"/>
                <c:pt idx="0">
                  <c:v>Jun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5.8788947677836569E-3"/>
                  <c:y val="-8.270406328658755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7DDE-48FC-9188-E27543CBF4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Comparison'!$B$5:$B$13</c:f>
              <c:numCache>
                <c:formatCode>0.00</c:formatCode>
                <c:ptCount val="9"/>
                <c:pt idx="0">
                  <c:v>262.04603652085001</c:v>
                </c:pt>
                <c:pt idx="1">
                  <c:v>5836.1190802569317</c:v>
                </c:pt>
                <c:pt idx="2">
                  <c:v>233.72032571471999</c:v>
                </c:pt>
                <c:pt idx="3">
                  <c:v>1841.4176133460965</c:v>
                </c:pt>
                <c:pt idx="4">
                  <c:v>527.75099154406996</c:v>
                </c:pt>
                <c:pt idx="5">
                  <c:v>157.21304944591</c:v>
                </c:pt>
                <c:pt idx="6">
                  <c:v>21.33055565894</c:v>
                </c:pt>
                <c:pt idx="7">
                  <c:v>143.95374458200001</c:v>
                </c:pt>
                <c:pt idx="8">
                  <c:v>31.096845296421385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DE-48FC-9188-E27543CBF4B4}"/>
            </c:ext>
          </c:extLst>
        </c:ser>
        <c:ser>
          <c:idx val="1"/>
          <c:order val="1"/>
          <c:tx>
            <c:strRef>
              <c:f>'NAV Comparison'!$C$4</c:f>
              <c:strCache>
                <c:ptCount val="1"/>
                <c:pt idx="0">
                  <c:v>Jul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1"/>
              <c:layout>
                <c:manualLayout>
                  <c:x val="8.8183421516754845E-3"/>
                  <c:y val="-2.157497303128374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7DDE-48FC-9188-E27543CBF4B4}"/>
                </c:ext>
              </c:extLst>
            </c:dLbl>
            <c:dLbl>
              <c:idx val="2"/>
              <c:layout>
                <c:manualLayout>
                  <c:x val="5.8788947677836031E-3"/>
                  <c:y val="-6.47249190938512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DDE-48FC-9188-E27543CBF4B4}"/>
                </c:ext>
              </c:extLst>
            </c:dLbl>
            <c:dLbl>
              <c:idx val="3"/>
              <c:layout>
                <c:manualLayout>
                  <c:x val="4.4091710758377423E-3"/>
                  <c:y val="-3.23624595469256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DDE-48FC-9188-E27543CBF4B4}"/>
                </c:ext>
              </c:extLst>
            </c:dLbl>
            <c:dLbl>
              <c:idx val="4"/>
              <c:layout>
                <c:manualLayout>
                  <c:x val="4.4091710758377423E-3"/>
                  <c:y val="-4.67457749011145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7DDE-48FC-9188-E27543CBF4B4}"/>
                </c:ext>
              </c:extLst>
            </c:dLbl>
            <c:dLbl>
              <c:idx val="5"/>
              <c:layout>
                <c:manualLayout>
                  <c:x val="1.4697236919459142E-3"/>
                  <c:y val="-5.3937432578209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DDE-48FC-9188-E27543CBF4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Comparison'!$C$5:$C$13</c:f>
              <c:numCache>
                <c:formatCode>0.00</c:formatCode>
                <c:ptCount val="9"/>
                <c:pt idx="0">
                  <c:v>241.38586553741001</c:v>
                </c:pt>
                <c:pt idx="1">
                  <c:v>6263.1142898272392</c:v>
                </c:pt>
                <c:pt idx="2">
                  <c:v>232.74981180539999</c:v>
                </c:pt>
                <c:pt idx="3">
                  <c:v>1819.3970402694449</c:v>
                </c:pt>
                <c:pt idx="4">
                  <c:v>519.10571993953999</c:v>
                </c:pt>
                <c:pt idx="5">
                  <c:v>155.82341934322869</c:v>
                </c:pt>
                <c:pt idx="6">
                  <c:v>19.720978131890003</c:v>
                </c:pt>
                <c:pt idx="7">
                  <c:v>145.25147190111574</c:v>
                </c:pt>
                <c:pt idx="8">
                  <c:v>52.84809592555218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DE-48FC-9188-E27543CBF4B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810899152"/>
        <c:axId val="1810916208"/>
      </c:barChart>
      <c:catAx>
        <c:axId val="181089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0916208"/>
        <c:crosses val="autoZero"/>
        <c:auto val="1"/>
        <c:lblAlgn val="ctr"/>
        <c:lblOffset val="100"/>
        <c:noMultiLvlLbl val="0"/>
      </c:catAx>
      <c:valAx>
        <c:axId val="181091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0899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</c:rich>
      </c:tx>
      <c:layout>
        <c:manualLayout>
          <c:xMode val="edge"/>
          <c:yMode val="edge"/>
          <c:x val="0.231843809708693"/>
          <c:y val="9.3377148481089307E-3"/>
        </c:manualLayout>
      </c:layout>
      <c:overlay val="0"/>
      <c:spPr>
        <a:solidFill>
          <a:schemeClr val="dk1"/>
        </a:solidFill>
        <a:ln w="12700" cap="flat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depthPercent val="100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430612036398778"/>
          <c:y val="0.16516634114243717"/>
          <c:w val="0.84316500743410205"/>
          <c:h val="0.81423920364184199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July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C18-4D5B-93F2-F392B61358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C18-4D5B-93F2-F392B61358BF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C18-4D5B-93F2-F392B61358BF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C18-4D5B-93F2-F392B61358BF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C18-4D5B-93F2-F392B61358BF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9C18-4D5B-93F2-F392B61358BF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9C18-4D5B-93F2-F392B61358BF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9C18-4D5B-93F2-F392B61358BF}"/>
              </c:ext>
            </c:extLst>
          </c:dPt>
          <c:dLbls>
            <c:dLbl>
              <c:idx val="0"/>
              <c:layout>
                <c:manualLayout>
                  <c:x val="-4.31242058258033E-2"/>
                  <c:y val="0.1159985586080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C18-4D5B-93F2-F392B61358BF}"/>
                </c:ext>
              </c:extLst>
            </c:dLbl>
            <c:dLbl>
              <c:idx val="1"/>
              <c:layout>
                <c:manualLayout>
                  <c:x val="-8.3929154372232501E-2"/>
                  <c:y val="5.52374088609937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C18-4D5B-93F2-F392B61358BF}"/>
                </c:ext>
              </c:extLst>
            </c:dLbl>
            <c:dLbl>
              <c:idx val="2"/>
              <c:layout>
                <c:manualLayout>
                  <c:x val="-6.3908902826365604E-2"/>
                  <c:y val="-8.285611329149060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C18-4D5B-93F2-F392B61358BF}"/>
                </c:ext>
              </c:extLst>
            </c:dLbl>
            <c:dLbl>
              <c:idx val="3"/>
              <c:layout>
                <c:manualLayout>
                  <c:x val="-2.6526955148730099E-2"/>
                  <c:y val="-6.35230201901428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C18-4D5B-93F2-F392B61358BF}"/>
                </c:ext>
              </c:extLst>
            </c:dLbl>
            <c:dLbl>
              <c:idx val="4"/>
              <c:layout>
                <c:manualLayout>
                  <c:x val="-2.2105334402515699E-2"/>
                  <c:y val="-0.10218920639283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C18-4D5B-93F2-F392B61358BF}"/>
                </c:ext>
              </c:extLst>
            </c:dLbl>
            <c:dLbl>
              <c:idx val="5"/>
              <c:layout>
                <c:manualLayout>
                  <c:x val="2.964929024123427E-2"/>
                  <c:y val="-0.1520708413635106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C18-4D5B-93F2-F392B61358BF}"/>
                </c:ext>
              </c:extLst>
            </c:dLbl>
            <c:dLbl>
              <c:idx val="6"/>
              <c:layout>
                <c:manualLayout>
                  <c:x val="0.1591371302216133"/>
                  <c:y val="4.05882891525260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C18-4D5B-93F2-F392B61358BF}"/>
                </c:ext>
              </c:extLst>
            </c:dLbl>
            <c:dLbl>
              <c:idx val="7"/>
              <c:layout>
                <c:manualLayout>
                  <c:x val="0.11216943084253583"/>
                  <c:y val="0.119724120513617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C18-4D5B-93F2-F392B61358BF}"/>
                </c:ext>
              </c:extLst>
            </c:dLbl>
            <c:dLbl>
              <c:idx val="8"/>
              <c:layout>
                <c:manualLayout>
                  <c:x val="-0.27590312917245502"/>
                  <c:y val="-0.2512933874582475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612-485C-B4A4-AAD79CF83ADE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EQUITY BASED FUNDS</c:v>
                </c:pt>
                <c:pt idx="4">
                  <c:v>BALANCED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_-* #,##0.00_-;\-* #,##0.00_-;_-* "-"??_-;_-@_-</c:formatCode>
                <c:ptCount val="9"/>
                <c:pt idx="0">
                  <c:v>19720978131.890003</c:v>
                </c:pt>
                <c:pt idx="1">
                  <c:v>52848095925.552177</c:v>
                </c:pt>
                <c:pt idx="2">
                  <c:v>145251471901.11572</c:v>
                </c:pt>
                <c:pt idx="3" formatCode="#,##0.00">
                  <c:v>241385865537.41</c:v>
                </c:pt>
                <c:pt idx="4" formatCode="#,##0.00">
                  <c:v>155823419343.2287</c:v>
                </c:pt>
                <c:pt idx="5" formatCode="#,##0.00">
                  <c:v>232749811805.39999</c:v>
                </c:pt>
                <c:pt idx="6" formatCode="#,##0.00">
                  <c:v>519105719939.53998</c:v>
                </c:pt>
                <c:pt idx="7" formatCode="#,##0.00">
                  <c:v>1819397040269.4448</c:v>
                </c:pt>
                <c:pt idx="8" formatCode="#,##0.00">
                  <c:v>6263114289827.2393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C18-4D5B-93F2-F392B61358BF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UNITHOLDERS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Unitholders!$B$5</c:f>
              <c:strCache>
                <c:ptCount val="1"/>
                <c:pt idx="0">
                  <c:v>UNIT HOLDERS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Unitholders!$A$6:$A$14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Unitholders!$B$6:$B$14</c:f>
              <c:numCache>
                <c:formatCode>_(* #,##0_);_(* \(#,##0\);_(* "-"??_);_(@_)</c:formatCode>
                <c:ptCount val="9"/>
                <c:pt idx="0">
                  <c:v>108429</c:v>
                </c:pt>
                <c:pt idx="1">
                  <c:v>816437</c:v>
                </c:pt>
                <c:pt idx="2">
                  <c:v>67113</c:v>
                </c:pt>
                <c:pt idx="3">
                  <c:v>30493</c:v>
                </c:pt>
                <c:pt idx="4">
                  <c:v>231862</c:v>
                </c:pt>
                <c:pt idx="5">
                  <c:v>102060</c:v>
                </c:pt>
                <c:pt idx="6">
                  <c:v>19255</c:v>
                </c:pt>
                <c:pt idx="7">
                  <c:v>59593</c:v>
                </c:pt>
                <c:pt idx="8" formatCode="_-* #,##0_-;\-* #,##0_-;_-* &quot;-&quot;??_-;_-@_-">
                  <c:v>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9-4D7C-AC55-08D88FE24A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328697840"/>
        <c:axId val="251602304"/>
      </c:barChart>
      <c:catAx>
        <c:axId val="328697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CLASSES OF FUNDS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44441097145799"/>
              <c:y val="0.936238322854479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900" b="0" i="0" u="none" strike="noStrike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602304"/>
        <c:crosses val="autoZero"/>
        <c:auto val="1"/>
        <c:lblAlgn val="ctr"/>
        <c:lblOffset val="100"/>
        <c:noMultiLvlLbl val="0"/>
      </c:catAx>
      <c:valAx>
        <c:axId val="2516023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crossAx val="32869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>
                <a:lumMod val="75000"/>
                <a:alpha val="36000"/>
              </a:schemeClr>
            </a:gs>
            <a:gs pos="100000">
              <a:schemeClr val="dk1">
                <a:lumMod val="95000"/>
                <a:lumOff val="5000"/>
                <a:alpha val="42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0">
              <a:schemeClr val="lt1">
                <a:lumMod val="75000"/>
                <a:alpha val="36000"/>
                <a:lumOff val="10000"/>
              </a:schemeClr>
            </a:gs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460375</xdr:colOff>
      <xdr:row>374</xdr:row>
      <xdr:rowOff>119380</xdr:rowOff>
    </xdr:from>
    <xdr:to>
      <xdr:col>8</xdr:col>
      <xdr:colOff>844550</xdr:colOff>
      <xdr:row>374</xdr:row>
      <xdr:rowOff>119380</xdr:rowOff>
    </xdr:to>
    <xdr:cxnSp macro="">
      <xdr:nvCxnSpPr>
        <xdr:cNvPr id="2" name="AutoShape 245">
          <a:extLst>
            <a:ext uri="{FF2B5EF4-FFF2-40B4-BE49-F238E27FC236}">
              <a16:creationId xmlns:a16="http://schemas.microsoft.com/office/drawing/2014/main" id="{6EF4DFCE-FAE0-490A-AAFF-15AAE371A63A}"/>
            </a:ext>
          </a:extLst>
        </xdr:cNvPr>
        <xdr:cNvCxnSpPr>
          <a:cxnSpLocks noChangeShapeType="1"/>
        </xdr:cNvCxnSpPr>
      </xdr:nvCxnSpPr>
      <xdr:spPr bwMode="auto">
        <a:xfrm>
          <a:off x="12696825" y="61619130"/>
          <a:ext cx="17811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612775</xdr:colOff>
      <xdr:row>375</xdr:row>
      <xdr:rowOff>106680</xdr:rowOff>
    </xdr:from>
    <xdr:to>
      <xdr:col>8</xdr:col>
      <xdr:colOff>996950</xdr:colOff>
      <xdr:row>375</xdr:row>
      <xdr:rowOff>106680</xdr:rowOff>
    </xdr:to>
    <xdr:cxnSp macro="">
      <xdr:nvCxnSpPr>
        <xdr:cNvPr id="3" name="AutoShape 245">
          <a:extLst>
            <a:ext uri="{FF2B5EF4-FFF2-40B4-BE49-F238E27FC236}">
              <a16:creationId xmlns:a16="http://schemas.microsoft.com/office/drawing/2014/main" id="{7D875D1D-75B0-4797-82F6-996284F3263B}"/>
            </a:ext>
          </a:extLst>
        </xdr:cNvPr>
        <xdr:cNvCxnSpPr>
          <a:cxnSpLocks noChangeShapeType="1"/>
        </xdr:cNvCxnSpPr>
      </xdr:nvCxnSpPr>
      <xdr:spPr bwMode="auto">
        <a:xfrm>
          <a:off x="12849225" y="61771530"/>
          <a:ext cx="17811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609600</xdr:colOff>
      <xdr:row>25</xdr:row>
      <xdr:rowOff>7620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30</xdr:row>
      <xdr:rowOff>171451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7620</xdr:colOff>
      <xdr:row>21</xdr:row>
      <xdr:rowOff>99060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Update%20on%20Registered%20Mutual%20Funds%20as%20at%20Jun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e"/>
      <sheetName val="NAV Comparison"/>
      <sheetName val="Market Share"/>
      <sheetName val="Unitholders"/>
    </sheetNames>
    <sheetDataSet>
      <sheetData sheetId="0">
        <row r="25">
          <cell r="I25">
            <v>262046036520.85001</v>
          </cell>
        </row>
        <row r="75">
          <cell r="I75">
            <v>5836119080256.9316</v>
          </cell>
        </row>
        <row r="116">
          <cell r="I116">
            <v>233720325714.72</v>
          </cell>
        </row>
        <row r="160">
          <cell r="I160">
            <v>1841417613346.0964</v>
          </cell>
        </row>
        <row r="169">
          <cell r="I169">
            <v>527750991544.07001</v>
          </cell>
        </row>
        <row r="202">
          <cell r="I202">
            <v>157213049445.91</v>
          </cell>
        </row>
        <row r="208">
          <cell r="I208">
            <v>21330555658.939999</v>
          </cell>
        </row>
        <row r="236">
          <cell r="I236">
            <v>143953744582</v>
          </cell>
        </row>
        <row r="246">
          <cell r="I246">
            <v>31096845296.421387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255"/>
  <sheetViews>
    <sheetView tabSelected="1" view="pageBreakPreview" zoomScaleNormal="70" zoomScaleSheetLayoutView="100" workbookViewId="0">
      <pane ySplit="2" topLeftCell="A3" activePane="bottomLeft" state="frozen"/>
      <selection pane="bottomLeft" activeCell="A3" sqref="A3:V3"/>
    </sheetView>
  </sheetViews>
  <sheetFormatPr defaultColWidth="9" defaultRowHeight="13.8"/>
  <cols>
    <col min="1" max="1" width="6.6640625" style="5" customWidth="1"/>
    <col min="2" max="2" width="44.6640625" style="5" customWidth="1"/>
    <col min="3" max="3" width="43.6640625" style="15" customWidth="1"/>
    <col min="4" max="4" width="21.5546875" style="4" customWidth="1"/>
    <col min="5" max="6" width="19.33203125" style="4" customWidth="1"/>
    <col min="7" max="7" width="19.6640625" style="4" customWidth="1"/>
    <col min="8" max="8" width="20" style="4" customWidth="1"/>
    <col min="9" max="9" width="22" style="4" customWidth="1"/>
    <col min="10" max="10" width="9" style="4"/>
    <col min="11" max="11" width="24.5546875" style="4" customWidth="1"/>
    <col min="12" max="12" width="9" style="4"/>
    <col min="13" max="13" width="11.5546875" style="4" customWidth="1"/>
    <col min="14" max="14" width="12.33203125" style="4" customWidth="1"/>
    <col min="15" max="15" width="12.5546875" style="4" customWidth="1"/>
    <col min="16" max="17" width="12.33203125" style="4" customWidth="1"/>
    <col min="18" max="18" width="14.44140625" style="4" customWidth="1"/>
    <col min="19" max="19" width="13.33203125" style="4" customWidth="1"/>
    <col min="20" max="20" width="16.44140625" style="4" customWidth="1"/>
    <col min="21" max="22" width="20.33203125" style="4" customWidth="1"/>
    <col min="23" max="16384" width="9" style="4"/>
  </cols>
  <sheetData>
    <row r="1" spans="1:23" ht="40.200000000000003" customHeight="1">
      <c r="A1" s="162" t="s">
        <v>328</v>
      </c>
      <c r="B1" s="162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5"/>
    </row>
    <row r="2" spans="1:23" ht="48" customHeight="1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3" t="s">
        <v>7</v>
      </c>
      <c r="I2" s="30" t="s">
        <v>329</v>
      </c>
      <c r="J2" s="30" t="s">
        <v>8</v>
      </c>
      <c r="K2" s="30" t="s">
        <v>9</v>
      </c>
      <c r="L2" s="30" t="s">
        <v>8</v>
      </c>
      <c r="M2" s="30" t="s">
        <v>10</v>
      </c>
      <c r="N2" s="30" t="s">
        <v>11</v>
      </c>
      <c r="O2" s="30" t="s">
        <v>12</v>
      </c>
      <c r="P2" s="30" t="s">
        <v>13</v>
      </c>
      <c r="Q2" s="30" t="s">
        <v>14</v>
      </c>
      <c r="R2" s="30" t="s">
        <v>15</v>
      </c>
      <c r="S2" s="30" t="s">
        <v>16</v>
      </c>
      <c r="T2" s="30" t="s">
        <v>17</v>
      </c>
      <c r="U2" s="30" t="s">
        <v>18</v>
      </c>
      <c r="V2" s="30" t="s">
        <v>19</v>
      </c>
    </row>
    <row r="3" spans="1:23" ht="6" customHeight="1">
      <c r="A3" s="146" t="s">
        <v>291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</row>
    <row r="4" spans="1:23" ht="16.5" customHeight="1">
      <c r="A4" s="146" t="s">
        <v>20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</row>
    <row r="5" spans="1:23" ht="15" customHeight="1">
      <c r="A5" s="121">
        <v>1</v>
      </c>
      <c r="B5" s="122" t="s">
        <v>21</v>
      </c>
      <c r="C5" s="19" t="s">
        <v>22</v>
      </c>
      <c r="D5" s="10">
        <v>12672157230.52</v>
      </c>
      <c r="E5" s="10">
        <v>78930286.989999995</v>
      </c>
      <c r="F5" s="10">
        <v>3915179062.75</v>
      </c>
      <c r="G5" s="10">
        <v>20490479.77</v>
      </c>
      <c r="H5" s="12">
        <f>(E5+F5)-G5</f>
        <v>3973618869.9699998</v>
      </c>
      <c r="I5" s="168">
        <v>11713062986.549999</v>
      </c>
      <c r="J5" s="13">
        <f t="shared" ref="J5:J24" si="0">(I5/$I$25)</f>
        <v>5.1223171699821504E-2</v>
      </c>
      <c r="K5" s="29">
        <v>12686025247.110001</v>
      </c>
      <c r="L5" s="13">
        <f t="shared" ref="L5" si="1">(K5/$K$25)</f>
        <v>5.2554963062424707E-2</v>
      </c>
      <c r="M5" s="13">
        <f t="shared" ref="M5:M25" si="2">((K5-I5)/I5)</f>
        <v>8.3066424356912014E-2</v>
      </c>
      <c r="N5" s="20">
        <f t="shared" ref="N5" si="3">(G5/K5)</f>
        <v>1.6152009294375265E-3</v>
      </c>
      <c r="O5" s="21">
        <f t="shared" ref="O5" si="4">H5/K5</f>
        <v>0.31322804365971357</v>
      </c>
      <c r="P5" s="22">
        <f t="shared" ref="P5" si="5">K5/V5</f>
        <v>892.34373225924344</v>
      </c>
      <c r="Q5" s="22">
        <f t="shared" ref="Q5" si="6">H5/V5</f>
        <v>279.50708152757005</v>
      </c>
      <c r="R5" s="10">
        <v>892.34</v>
      </c>
      <c r="S5" s="10">
        <v>903.82</v>
      </c>
      <c r="T5" s="10">
        <v>1712</v>
      </c>
      <c r="U5" s="10">
        <v>14008423.15</v>
      </c>
      <c r="V5" s="10">
        <v>14216523.060000001</v>
      </c>
    </row>
    <row r="6" spans="1:23">
      <c r="A6" s="121">
        <v>2</v>
      </c>
      <c r="B6" s="122" t="s">
        <v>23</v>
      </c>
      <c r="C6" s="19" t="s">
        <v>24</v>
      </c>
      <c r="D6" s="10">
        <v>2281352461.5</v>
      </c>
      <c r="E6" s="10">
        <v>2504260.04</v>
      </c>
      <c r="F6" s="10">
        <v>824596001.79999995</v>
      </c>
      <c r="G6" s="10">
        <v>1211089.68</v>
      </c>
      <c r="H6" s="12">
        <f t="shared" ref="H6:H24" si="7">(E6+F6)-G6</f>
        <v>825889172.15999997</v>
      </c>
      <c r="I6" s="168">
        <v>2039086122.9000001</v>
      </c>
      <c r="J6" s="13">
        <f t="shared" si="0"/>
        <v>8.9172626070539562E-3</v>
      </c>
      <c r="K6" s="29">
        <v>2312259288.5999999</v>
      </c>
      <c r="L6" s="13">
        <f t="shared" ref="L6:L24" si="8">(K6/$K$25)</f>
        <v>9.5790997681330509E-3</v>
      </c>
      <c r="M6" s="13">
        <f t="shared" ref="M6:M24" si="9">((K6-I6)/I6)</f>
        <v>0.13396842959800606</v>
      </c>
      <c r="N6" s="20">
        <f t="shared" ref="N6:N24" si="10">(G6/K6)</f>
        <v>5.2376897607070557E-4</v>
      </c>
      <c r="O6" s="21">
        <f t="shared" ref="O6:O24" si="11">H6/K6</f>
        <v>0.35717844284671457</v>
      </c>
      <c r="P6" s="22">
        <f t="shared" ref="P6:P24" si="12">K6/V6</f>
        <v>600.38930168698982</v>
      </c>
      <c r="Q6" s="22">
        <f t="shared" ref="Q6:Q24" si="13">H6/V6</f>
        <v>214.4461158783854</v>
      </c>
      <c r="R6" s="10">
        <v>603.21</v>
      </c>
      <c r="S6" s="10">
        <v>611.91</v>
      </c>
      <c r="T6" s="10">
        <v>692</v>
      </c>
      <c r="U6" s="10">
        <v>3617020.58</v>
      </c>
      <c r="V6" s="10">
        <v>3851266.64</v>
      </c>
    </row>
    <row r="7" spans="1:23">
      <c r="A7" s="136">
        <v>3</v>
      </c>
      <c r="B7" s="19" t="s">
        <v>25</v>
      </c>
      <c r="C7" s="77" t="s">
        <v>26</v>
      </c>
      <c r="D7" s="10">
        <v>16732431062</v>
      </c>
      <c r="E7" s="10">
        <v>128972112</v>
      </c>
      <c r="F7" s="10">
        <v>548025307</v>
      </c>
      <c r="G7" s="10">
        <v>36954522</v>
      </c>
      <c r="H7" s="12">
        <f t="shared" si="7"/>
        <v>640042897</v>
      </c>
      <c r="I7" s="168">
        <v>18200475206</v>
      </c>
      <c r="J7" s="13">
        <f t="shared" si="0"/>
        <v>7.9593703847218922E-2</v>
      </c>
      <c r="K7" s="29">
        <v>18511889397</v>
      </c>
      <c r="L7" s="13">
        <f t="shared" si="8"/>
        <v>7.6690030527620204E-2</v>
      </c>
      <c r="M7" s="13">
        <f t="shared" si="9"/>
        <v>1.7110223083479637E-2</v>
      </c>
      <c r="N7" s="20">
        <f t="shared" si="10"/>
        <v>1.9962587938748585E-3</v>
      </c>
      <c r="O7" s="21">
        <f t="shared" si="11"/>
        <v>3.4574693229515736E-2</v>
      </c>
      <c r="P7" s="22">
        <f t="shared" si="12"/>
        <v>72.329365694359012</v>
      </c>
      <c r="Q7" s="22">
        <f t="shared" si="13"/>
        <v>2.5007656303679218</v>
      </c>
      <c r="R7" s="10">
        <v>71.967799999999997</v>
      </c>
      <c r="S7" s="10">
        <v>74.137600000000006</v>
      </c>
      <c r="T7" s="10">
        <v>12462</v>
      </c>
      <c r="U7" s="10">
        <v>261601138</v>
      </c>
      <c r="V7" s="10">
        <v>255938777</v>
      </c>
    </row>
    <row r="8" spans="1:23" ht="14.4" customHeight="1">
      <c r="A8" s="121">
        <v>4</v>
      </c>
      <c r="B8" s="124" t="s">
        <v>27</v>
      </c>
      <c r="C8" s="81" t="s">
        <v>28</v>
      </c>
      <c r="D8" s="10">
        <v>2509060422.6500001</v>
      </c>
      <c r="E8" s="10">
        <v>19981406.120000001</v>
      </c>
      <c r="F8" s="10">
        <v>0</v>
      </c>
      <c r="G8" s="10">
        <v>4690336.8499999996</v>
      </c>
      <c r="H8" s="12">
        <f t="shared" si="7"/>
        <v>15291069.270000001</v>
      </c>
      <c r="I8" s="29">
        <v>3061318005.1100001</v>
      </c>
      <c r="J8" s="13">
        <f t="shared" si="0"/>
        <v>1.3387652570772353E-2</v>
      </c>
      <c r="K8" s="29">
        <v>3594339924.96</v>
      </c>
      <c r="L8" s="13">
        <f t="shared" si="8"/>
        <v>1.4890432449131736E-2</v>
      </c>
      <c r="M8" s="13">
        <f t="shared" si="9"/>
        <v>0.17411517488881303</v>
      </c>
      <c r="N8" s="20">
        <f t="shared" si="10"/>
        <v>1.3049230033667994E-3</v>
      </c>
      <c r="O8" s="21">
        <f t="shared" si="11"/>
        <v>4.2542078905267065E-3</v>
      </c>
      <c r="P8" s="22">
        <f t="shared" si="12"/>
        <v>351.34852346511593</v>
      </c>
      <c r="Q8" s="22">
        <f t="shared" si="13"/>
        <v>1.4947096608502037</v>
      </c>
      <c r="R8" s="10">
        <v>349.59179999999998</v>
      </c>
      <c r="S8" s="10">
        <v>353.1053</v>
      </c>
      <c r="T8" s="10">
        <v>2599</v>
      </c>
      <c r="U8" s="10">
        <v>8627303.0899999999</v>
      </c>
      <c r="V8" s="10">
        <v>10230126.74</v>
      </c>
    </row>
    <row r="9" spans="1:23">
      <c r="A9" s="137">
        <v>5</v>
      </c>
      <c r="B9" s="19" t="s">
        <v>186</v>
      </c>
      <c r="C9" s="77" t="s">
        <v>94</v>
      </c>
      <c r="D9" s="10">
        <v>12549414188.629999</v>
      </c>
      <c r="E9" s="10">
        <v>201206858.94999999</v>
      </c>
      <c r="F9" s="10">
        <v>636961354.19000006</v>
      </c>
      <c r="G9" s="10">
        <v>13230345.890000001</v>
      </c>
      <c r="H9" s="12">
        <f t="shared" si="7"/>
        <v>824937867.25000012</v>
      </c>
      <c r="I9" s="168">
        <v>12025212063.57</v>
      </c>
      <c r="J9" s="13">
        <f t="shared" si="0"/>
        <v>5.2588251507425771E-2</v>
      </c>
      <c r="K9" s="29">
        <v>12763786469.120001</v>
      </c>
      <c r="L9" s="13">
        <f t="shared" si="8"/>
        <v>5.2877107947904546E-2</v>
      </c>
      <c r="M9" s="13">
        <f t="shared" si="9"/>
        <v>6.1418825850688238E-2</v>
      </c>
      <c r="N9" s="20">
        <f t="shared" si="10"/>
        <v>1.0365533708988918E-3</v>
      </c>
      <c r="O9" s="21">
        <f t="shared" si="11"/>
        <v>6.4631124098308068E-2</v>
      </c>
      <c r="P9" s="22">
        <f t="shared" si="12"/>
        <v>2.871630084567764</v>
      </c>
      <c r="Q9" s="22">
        <f t="shared" si="13"/>
        <v>0.18559668036013402</v>
      </c>
      <c r="R9" s="10">
        <v>2.8424999999999998</v>
      </c>
      <c r="S9" s="10">
        <v>2.8824999999999998</v>
      </c>
      <c r="T9" s="10">
        <v>2827</v>
      </c>
      <c r="U9" s="10">
        <v>4320643245.5699997</v>
      </c>
      <c r="V9" s="10">
        <v>4444787835.9099998</v>
      </c>
    </row>
    <row r="10" spans="1:23">
      <c r="A10" s="121">
        <v>6</v>
      </c>
      <c r="B10" s="125" t="s">
        <v>185</v>
      </c>
      <c r="C10" s="73" t="s">
        <v>45</v>
      </c>
      <c r="D10" s="10">
        <v>702155974.07000005</v>
      </c>
      <c r="E10" s="10">
        <v>8833804.5500000007</v>
      </c>
      <c r="F10" s="17">
        <v>189518017.23000002</v>
      </c>
      <c r="G10" s="10">
        <v>1005556.04</v>
      </c>
      <c r="H10" s="12">
        <f t="shared" si="7"/>
        <v>197346265.74000004</v>
      </c>
      <c r="I10" s="17">
        <v>675903709.08000004</v>
      </c>
      <c r="J10" s="13">
        <f t="shared" si="0"/>
        <v>2.9558392866585867E-3</v>
      </c>
      <c r="K10" s="17">
        <v>746264900.51000011</v>
      </c>
      <c r="L10" s="13">
        <f t="shared" si="8"/>
        <v>3.0915849146699267E-3</v>
      </c>
      <c r="M10" s="13">
        <f t="shared" si="9"/>
        <v>0.10409943085794209</v>
      </c>
      <c r="N10" s="20">
        <f t="shared" si="10"/>
        <v>1.3474518757518937E-3</v>
      </c>
      <c r="O10" s="21">
        <f t="shared" si="11"/>
        <v>0.26444532712865482</v>
      </c>
      <c r="P10" s="22">
        <f t="shared" si="12"/>
        <v>334.44302585620738</v>
      </c>
      <c r="Q10" s="22">
        <f t="shared" si="13"/>
        <v>88.441895378441941</v>
      </c>
      <c r="R10" s="10">
        <v>334.44</v>
      </c>
      <c r="S10" s="10">
        <v>337.7</v>
      </c>
      <c r="T10" s="10">
        <v>208</v>
      </c>
      <c r="U10" s="10">
        <v>1817337</v>
      </c>
      <c r="V10" s="10">
        <v>2231366.31</v>
      </c>
    </row>
    <row r="11" spans="1:23">
      <c r="A11" s="126">
        <v>7</v>
      </c>
      <c r="B11" s="19" t="s">
        <v>307</v>
      </c>
      <c r="C11" s="77" t="s">
        <v>35</v>
      </c>
      <c r="D11" s="10">
        <v>4272391124.54</v>
      </c>
      <c r="E11" s="10">
        <v>12042927.99</v>
      </c>
      <c r="F11" s="10">
        <v>0</v>
      </c>
      <c r="G11" s="10">
        <v>7319248.8399999999</v>
      </c>
      <c r="H11" s="12">
        <f>(E11+F11)-G11</f>
        <v>4723679.1500000004</v>
      </c>
      <c r="I11" s="168">
        <v>3986915393.1700001</v>
      </c>
      <c r="J11" s="13">
        <f t="shared" si="0"/>
        <v>1.7435443826394087E-2</v>
      </c>
      <c r="K11" s="29">
        <v>4253936501</v>
      </c>
      <c r="L11" s="13">
        <f t="shared" si="8"/>
        <v>1.7622972627370861E-2</v>
      </c>
      <c r="M11" s="13">
        <f t="shared" si="9"/>
        <v>6.6974360250391773E-2</v>
      </c>
      <c r="N11" s="20">
        <f t="shared" si="10"/>
        <v>1.7205825329737333E-3</v>
      </c>
      <c r="O11" s="21">
        <f t="shared" si="11"/>
        <v>1.1104254021867921E-3</v>
      </c>
      <c r="P11" s="22">
        <f t="shared" si="12"/>
        <v>8.2634113814404735</v>
      </c>
      <c r="Q11" s="22">
        <f t="shared" si="13"/>
        <v>9.1759019066709521E-3</v>
      </c>
      <c r="R11" s="10">
        <v>8.15</v>
      </c>
      <c r="S11" s="10">
        <v>8.32</v>
      </c>
      <c r="T11" s="10">
        <v>3891</v>
      </c>
      <c r="U11" s="10">
        <v>514821528</v>
      </c>
      <c r="V11" s="10">
        <v>514791809.89999998</v>
      </c>
    </row>
    <row r="12" spans="1:23">
      <c r="A12" s="121">
        <v>8</v>
      </c>
      <c r="B12" s="122" t="s">
        <v>308</v>
      </c>
      <c r="C12" s="12" t="s">
        <v>324</v>
      </c>
      <c r="D12" s="10">
        <v>6852862520.0600004</v>
      </c>
      <c r="E12" s="10">
        <v>18676671.140000001</v>
      </c>
      <c r="F12" s="10">
        <v>287585019.52999997</v>
      </c>
      <c r="G12" s="10">
        <v>11718181.779999999</v>
      </c>
      <c r="H12" s="12">
        <f t="shared" si="7"/>
        <v>294543508.88999999</v>
      </c>
      <c r="I12" s="168">
        <v>6789262548.25</v>
      </c>
      <c r="J12" s="13">
        <f t="shared" si="0"/>
        <v>2.9690573816901326E-2</v>
      </c>
      <c r="K12" s="29">
        <v>6777441339.1800003</v>
      </c>
      <c r="L12" s="13">
        <f t="shared" si="8"/>
        <v>2.807720876320172E-2</v>
      </c>
      <c r="M12" s="13">
        <f t="shared" si="9"/>
        <v>-1.7411624585127775E-3</v>
      </c>
      <c r="N12" s="20">
        <f t="shared" si="10"/>
        <v>1.7289978907316927E-3</v>
      </c>
      <c r="O12" s="21">
        <f t="shared" si="11"/>
        <v>4.3459396275001429E-2</v>
      </c>
      <c r="P12" s="22">
        <f t="shared" si="12"/>
        <v>603.94527156256129</v>
      </c>
      <c r="Q12" s="22">
        <f t="shared" si="13"/>
        <v>26.247096885250702</v>
      </c>
      <c r="R12" s="10">
        <v>603.95000000000005</v>
      </c>
      <c r="S12" s="10">
        <v>612.87</v>
      </c>
      <c r="T12" s="10">
        <v>2974</v>
      </c>
      <c r="U12" s="10">
        <v>11140993.560000001</v>
      </c>
      <c r="V12" s="10">
        <v>11221946.189999999</v>
      </c>
    </row>
    <row r="13" spans="1:23">
      <c r="A13" s="136">
        <v>9</v>
      </c>
      <c r="B13" s="19" t="s">
        <v>29</v>
      </c>
      <c r="C13" s="77" t="s">
        <v>30</v>
      </c>
      <c r="D13" s="10">
        <v>637935798.20000005</v>
      </c>
      <c r="E13" s="10">
        <v>4875500.0199999996</v>
      </c>
      <c r="F13" s="10">
        <v>27738567.300000001</v>
      </c>
      <c r="G13" s="10">
        <v>1950140.79</v>
      </c>
      <c r="H13" s="12">
        <f t="shared" si="7"/>
        <v>30663926.530000001</v>
      </c>
      <c r="I13" s="168">
        <v>571423767.92999995</v>
      </c>
      <c r="J13" s="13">
        <f t="shared" si="0"/>
        <v>2.4989311345502002E-3</v>
      </c>
      <c r="K13" s="29">
        <v>610815759.86000001</v>
      </c>
      <c r="L13" s="13">
        <f t="shared" si="8"/>
        <v>2.5304537136012868E-3</v>
      </c>
      <c r="M13" s="13">
        <f t="shared" si="9"/>
        <v>6.8936565366713332E-2</v>
      </c>
      <c r="N13" s="20">
        <f t="shared" si="10"/>
        <v>3.1926825045361885E-3</v>
      </c>
      <c r="O13" s="21">
        <f t="shared" si="11"/>
        <v>5.0201596856355217E-2</v>
      </c>
      <c r="P13" s="22">
        <f t="shared" si="12"/>
        <v>304.36087850793274</v>
      </c>
      <c r="Q13" s="22">
        <f t="shared" si="13"/>
        <v>15.279402121701349</v>
      </c>
      <c r="R13" s="10">
        <v>304.36</v>
      </c>
      <c r="S13" s="10">
        <v>317.24</v>
      </c>
      <c r="T13" s="10">
        <v>2475</v>
      </c>
      <c r="U13" s="10">
        <v>2006880</v>
      </c>
      <c r="V13" s="10">
        <v>2006880</v>
      </c>
    </row>
    <row r="14" spans="1:23">
      <c r="A14" s="137">
        <v>10</v>
      </c>
      <c r="B14" s="19" t="s">
        <v>31</v>
      </c>
      <c r="C14" s="19" t="s">
        <v>32</v>
      </c>
      <c r="D14" s="10">
        <v>217280031.16999999</v>
      </c>
      <c r="E14" s="10">
        <v>1801047.47</v>
      </c>
      <c r="F14" s="10">
        <v>39813952.539999999</v>
      </c>
      <c r="G14" s="10">
        <v>4184209.85</v>
      </c>
      <c r="H14" s="12">
        <f t="shared" si="7"/>
        <v>37430790.159999996</v>
      </c>
      <c r="I14" s="168">
        <v>163901277.18000001</v>
      </c>
      <c r="J14" s="13">
        <f t="shared" si="0"/>
        <v>7.1676753317656539E-4</v>
      </c>
      <c r="K14" s="29">
        <v>225996995.87</v>
      </c>
      <c r="L14" s="13">
        <f t="shared" si="8"/>
        <v>9.3624784270964271E-4</v>
      </c>
      <c r="M14" s="13">
        <f t="shared" si="9"/>
        <v>0.37886049308697639</v>
      </c>
      <c r="N14" s="20">
        <f t="shared" si="10"/>
        <v>1.8514448981467341E-2</v>
      </c>
      <c r="O14" s="21">
        <f t="shared" si="11"/>
        <v>0.1656251669005869</v>
      </c>
      <c r="P14" s="22">
        <f t="shared" si="12"/>
        <v>572.08395658827476</v>
      </c>
      <c r="Q14" s="22">
        <f t="shared" si="13"/>
        <v>94.751500791081114</v>
      </c>
      <c r="R14" s="10">
        <v>562.95000000000005</v>
      </c>
      <c r="S14" s="10">
        <v>579.87</v>
      </c>
      <c r="T14" s="10">
        <v>74</v>
      </c>
      <c r="U14" s="10">
        <v>332307.31</v>
      </c>
      <c r="V14" s="10">
        <v>395041.66</v>
      </c>
      <c r="W14" s="6"/>
    </row>
    <row r="15" spans="1:23">
      <c r="A15" s="137">
        <v>11</v>
      </c>
      <c r="B15" s="77" t="s">
        <v>33</v>
      </c>
      <c r="C15" s="77" t="s">
        <v>34</v>
      </c>
      <c r="D15" s="10">
        <v>19925924745.009998</v>
      </c>
      <c r="E15" s="10">
        <v>38718079</v>
      </c>
      <c r="F15" s="10">
        <v>634846224.70000005</v>
      </c>
      <c r="G15" s="10">
        <v>35109436.75</v>
      </c>
      <c r="H15" s="12">
        <f t="shared" si="7"/>
        <v>638454866.95000005</v>
      </c>
      <c r="I15" s="168">
        <v>20296188148</v>
      </c>
      <c r="J15" s="13">
        <f t="shared" si="0"/>
        <v>8.8758604948226572E-2</v>
      </c>
      <c r="K15" s="29">
        <v>20087604754.279999</v>
      </c>
      <c r="L15" s="13">
        <f t="shared" si="8"/>
        <v>8.3217816874065556E-2</v>
      </c>
      <c r="M15" s="13">
        <f t="shared" si="9"/>
        <v>-1.0276973794242007E-2</v>
      </c>
      <c r="N15" s="20">
        <f t="shared" si="10"/>
        <v>1.7478159879922642E-3</v>
      </c>
      <c r="O15" s="21">
        <f t="shared" si="11"/>
        <v>3.1783523957178948E-2</v>
      </c>
      <c r="P15" s="22">
        <f t="shared" si="12"/>
        <v>5.5369853713738992</v>
      </c>
      <c r="Q15" s="22">
        <f t="shared" si="13"/>
        <v>0.1759849072016117</v>
      </c>
      <c r="R15" s="10">
        <v>5.51</v>
      </c>
      <c r="S15" s="10">
        <v>5.59</v>
      </c>
      <c r="T15" s="10">
        <v>15309</v>
      </c>
      <c r="U15" s="10">
        <v>3761140675.1700001</v>
      </c>
      <c r="V15" s="10">
        <v>3627895579.8099999</v>
      </c>
    </row>
    <row r="16" spans="1:23">
      <c r="A16" s="132">
        <v>12</v>
      </c>
      <c r="B16" s="72" t="s">
        <v>228</v>
      </c>
      <c r="C16" s="73" t="s">
        <v>251</v>
      </c>
      <c r="D16" s="17">
        <v>423860082.70999998</v>
      </c>
      <c r="E16" s="10">
        <v>6613415.3300000001</v>
      </c>
      <c r="F16" s="10">
        <v>0</v>
      </c>
      <c r="G16" s="10">
        <v>2328854.08</v>
      </c>
      <c r="H16" s="12">
        <f t="shared" si="7"/>
        <v>4284561.25</v>
      </c>
      <c r="I16" s="169">
        <v>479470255.5</v>
      </c>
      <c r="J16" s="13">
        <f t="shared" si="0"/>
        <v>2.0968031377134907E-3</v>
      </c>
      <c r="K16" s="17">
        <v>573627350.89999998</v>
      </c>
      <c r="L16" s="13">
        <f t="shared" si="8"/>
        <v>2.376391631808695E-3</v>
      </c>
      <c r="M16" s="13">
        <f t="shared" si="9"/>
        <v>0.19637734420420158</v>
      </c>
      <c r="N16" s="20">
        <f t="shared" si="10"/>
        <v>4.0598728012988129E-3</v>
      </c>
      <c r="O16" s="21">
        <f t="shared" si="11"/>
        <v>7.4692415612290499E-3</v>
      </c>
      <c r="P16" s="22">
        <f t="shared" si="12"/>
        <v>46.195064410292467</v>
      </c>
      <c r="Q16" s="22">
        <f t="shared" si="13"/>
        <v>0.34504209501700944</v>
      </c>
      <c r="R16" s="10">
        <v>46.195064000000002</v>
      </c>
      <c r="S16" s="10">
        <v>46.659863999999999</v>
      </c>
      <c r="T16" s="10">
        <v>172</v>
      </c>
      <c r="U16" s="17">
        <v>10930719</v>
      </c>
      <c r="V16" s="17">
        <v>12417503</v>
      </c>
    </row>
    <row r="17" spans="1:23">
      <c r="A17" s="112">
        <v>13</v>
      </c>
      <c r="B17" s="19" t="s">
        <v>36</v>
      </c>
      <c r="C17" s="19" t="s">
        <v>37</v>
      </c>
      <c r="D17" s="10">
        <v>9524836440.4699993</v>
      </c>
      <c r="E17" s="10">
        <v>15472677.01</v>
      </c>
      <c r="F17" s="10">
        <v>528533085.81999999</v>
      </c>
      <c r="G17" s="10">
        <v>13113795.060000001</v>
      </c>
      <c r="H17" s="12">
        <f t="shared" si="7"/>
        <v>530891967.77000004</v>
      </c>
      <c r="I17" s="168">
        <v>9541141743.9400005</v>
      </c>
      <c r="J17" s="13">
        <f t="shared" si="0"/>
        <v>4.1724999030857628E-2</v>
      </c>
      <c r="K17" s="29">
        <v>10402617728.440001</v>
      </c>
      <c r="L17" s="13">
        <f t="shared" si="8"/>
        <v>4.3095388809448756E-2</v>
      </c>
      <c r="M17" s="13">
        <f t="shared" si="9"/>
        <v>9.0290659925177333E-2</v>
      </c>
      <c r="N17" s="20">
        <f t="shared" si="10"/>
        <v>1.2606245276271027E-3</v>
      </c>
      <c r="O17" s="21">
        <f t="shared" si="11"/>
        <v>5.1034458982240592E-2</v>
      </c>
      <c r="P17" s="22">
        <f t="shared" si="12"/>
        <v>48.543038840148085</v>
      </c>
      <c r="Q17" s="22">
        <f t="shared" si="13"/>
        <v>2.4773677245608496</v>
      </c>
      <c r="R17" s="10">
        <v>46.22</v>
      </c>
      <c r="S17" s="10">
        <v>46.58</v>
      </c>
      <c r="T17" s="10">
        <v>2406</v>
      </c>
      <c r="U17" s="10">
        <v>215516818.40000001</v>
      </c>
      <c r="V17" s="10">
        <v>214296796.75999999</v>
      </c>
    </row>
    <row r="18" spans="1:23">
      <c r="A18" s="132">
        <v>14</v>
      </c>
      <c r="B18" s="81" t="s">
        <v>38</v>
      </c>
      <c r="C18" s="81" t="s">
        <v>39</v>
      </c>
      <c r="D18" s="10">
        <v>402255066.48000002</v>
      </c>
      <c r="E18" s="10">
        <v>3204638.21</v>
      </c>
      <c r="F18" s="10">
        <v>153482327.31999999</v>
      </c>
      <c r="G18" s="10">
        <v>562333.12</v>
      </c>
      <c r="H18" s="12">
        <f>(E18+F18)-G18</f>
        <v>156124632.41</v>
      </c>
      <c r="I18" s="168">
        <v>405582366.99000001</v>
      </c>
      <c r="J18" s="13">
        <f t="shared" si="0"/>
        <v>1.7736791176317223E-3</v>
      </c>
      <c r="K18" s="29">
        <v>402144214.66000003</v>
      </c>
      <c r="L18" s="13">
        <f t="shared" si="8"/>
        <v>1.6659807887453779E-3</v>
      </c>
      <c r="M18" s="13">
        <f t="shared" si="9"/>
        <v>-8.4770754594584094E-3</v>
      </c>
      <c r="N18" s="20">
        <f t="shared" si="10"/>
        <v>1.3983369634583318E-3</v>
      </c>
      <c r="O18" s="21">
        <f t="shared" si="11"/>
        <v>0.3882304574293039</v>
      </c>
      <c r="P18" s="22">
        <f t="shared" si="12"/>
        <v>3.0651616892698099</v>
      </c>
      <c r="Q18" s="22">
        <f t="shared" si="13"/>
        <v>1.1899891247199963</v>
      </c>
      <c r="R18" s="10">
        <v>2.87</v>
      </c>
      <c r="S18" s="10">
        <v>2.91</v>
      </c>
      <c r="T18" s="10">
        <v>47</v>
      </c>
      <c r="U18" s="10">
        <v>116840801.09999999</v>
      </c>
      <c r="V18" s="10">
        <v>131198369.09999999</v>
      </c>
    </row>
    <row r="19" spans="1:23">
      <c r="A19" s="132">
        <v>15</v>
      </c>
      <c r="B19" s="19" t="s">
        <v>40</v>
      </c>
      <c r="C19" s="19" t="s">
        <v>41</v>
      </c>
      <c r="D19" s="10">
        <v>22869252900.630001</v>
      </c>
      <c r="E19" s="10">
        <v>139119218.03</v>
      </c>
      <c r="F19" s="10">
        <v>1435579509.49</v>
      </c>
      <c r="G19" s="10">
        <v>38197252.700000003</v>
      </c>
      <c r="H19" s="12">
        <f t="shared" si="7"/>
        <v>1536501474.8199999</v>
      </c>
      <c r="I19" s="168">
        <v>20982432201.330002</v>
      </c>
      <c r="J19" s="13">
        <f t="shared" si="0"/>
        <v>9.1759664279339917E-2</v>
      </c>
      <c r="K19" s="29">
        <v>22829064014.299999</v>
      </c>
      <c r="L19" s="13">
        <f t="shared" si="8"/>
        <v>9.4574982522172363E-2</v>
      </c>
      <c r="M19" s="13">
        <f t="shared" si="9"/>
        <v>8.8008472766705564E-2</v>
      </c>
      <c r="N19" s="20">
        <f t="shared" si="10"/>
        <v>1.6731852289727453E-3</v>
      </c>
      <c r="O19" s="21">
        <f t="shared" si="11"/>
        <v>6.7304619841511856E-2</v>
      </c>
      <c r="P19" s="22">
        <f t="shared" si="12"/>
        <v>70.91500569893617</v>
      </c>
      <c r="Q19" s="22">
        <f t="shared" si="13"/>
        <v>4.7729074996255454</v>
      </c>
      <c r="R19" s="10">
        <v>70.915000000000006</v>
      </c>
      <c r="S19" s="10">
        <v>71.0398</v>
      </c>
      <c r="T19" s="10">
        <v>17983</v>
      </c>
      <c r="U19" s="10">
        <v>317350780</v>
      </c>
      <c r="V19" s="10">
        <v>321921486</v>
      </c>
    </row>
    <row r="20" spans="1:23">
      <c r="A20" s="113">
        <v>16</v>
      </c>
      <c r="B20" s="77" t="s">
        <v>42</v>
      </c>
      <c r="C20" s="19" t="s">
        <v>43</v>
      </c>
      <c r="D20" s="10">
        <v>4529246526.04</v>
      </c>
      <c r="E20" s="10">
        <v>40133672.119999997</v>
      </c>
      <c r="F20" s="10">
        <v>191661494.97</v>
      </c>
      <c r="G20" s="10">
        <v>12556315.33</v>
      </c>
      <c r="H20" s="12">
        <f>(E20+F20)-G20</f>
        <v>219238851.75999999</v>
      </c>
      <c r="I20" s="168">
        <v>4255664744.8600001</v>
      </c>
      <c r="J20" s="13">
        <f t="shared" si="0"/>
        <v>1.8610729420063324E-2</v>
      </c>
      <c r="K20" s="29">
        <v>4534256264.96</v>
      </c>
      <c r="L20" s="13">
        <f t="shared" si="8"/>
        <v>1.8784265826274241E-2</v>
      </c>
      <c r="M20" s="13">
        <f t="shared" si="9"/>
        <v>6.5463690587112919E-2</v>
      </c>
      <c r="N20" s="20">
        <f t="shared" si="10"/>
        <v>2.769211662568165E-3</v>
      </c>
      <c r="O20" s="21">
        <f t="shared" si="11"/>
        <v>4.835166760516877E-2</v>
      </c>
      <c r="P20" s="22">
        <f t="shared" si="12"/>
        <v>17573.264881415846</v>
      </c>
      <c r="Q20" s="22">
        <f t="shared" si="13"/>
        <v>849.69666228380459</v>
      </c>
      <c r="R20" s="10">
        <v>17418.87</v>
      </c>
      <c r="S20" s="10">
        <v>17679.080000000002</v>
      </c>
      <c r="T20" s="10">
        <v>79</v>
      </c>
      <c r="U20" s="10">
        <v>260843.34</v>
      </c>
      <c r="V20" s="10">
        <v>258020.14</v>
      </c>
    </row>
    <row r="21" spans="1:23">
      <c r="A21" s="113">
        <v>17</v>
      </c>
      <c r="B21" s="19" t="s">
        <v>44</v>
      </c>
      <c r="C21" s="19" t="s">
        <v>43</v>
      </c>
      <c r="D21" s="10">
        <v>66819529687.080002</v>
      </c>
      <c r="E21" s="10">
        <v>486121843.49000001</v>
      </c>
      <c r="F21" s="10">
        <v>2243227242.52</v>
      </c>
      <c r="G21" s="10">
        <v>237368912.91999999</v>
      </c>
      <c r="H21" s="12">
        <f t="shared" si="7"/>
        <v>2491980173.0900002</v>
      </c>
      <c r="I21" s="168">
        <v>66227834845.010002</v>
      </c>
      <c r="J21" s="13">
        <f t="shared" si="0"/>
        <v>0.28962533194509665</v>
      </c>
      <c r="K21" s="29">
        <v>69457051947.5</v>
      </c>
      <c r="L21" s="13">
        <f t="shared" si="8"/>
        <v>0.28774282948533098</v>
      </c>
      <c r="M21" s="13">
        <f t="shared" si="9"/>
        <v>4.8759212950977307E-2</v>
      </c>
      <c r="N21" s="20">
        <f t="shared" si="10"/>
        <v>3.417491907076884E-3</v>
      </c>
      <c r="O21" s="21">
        <f t="shared" si="11"/>
        <v>3.5878000911607873E-2</v>
      </c>
      <c r="P21" s="22">
        <f t="shared" si="12"/>
        <v>61934.197327535629</v>
      </c>
      <c r="Q21" s="22">
        <f t="shared" si="13"/>
        <v>2222.0751881770252</v>
      </c>
      <c r="R21" s="10">
        <v>61461.55</v>
      </c>
      <c r="S21" s="10">
        <v>62258.14</v>
      </c>
      <c r="T21" s="10">
        <v>34520</v>
      </c>
      <c r="U21" s="10">
        <v>1118006.8999999999</v>
      </c>
      <c r="V21" s="10">
        <v>1121465.28</v>
      </c>
    </row>
    <row r="22" spans="1:23">
      <c r="A22" s="117">
        <v>18</v>
      </c>
      <c r="B22" s="19" t="s">
        <v>46</v>
      </c>
      <c r="C22" s="19" t="s">
        <v>47</v>
      </c>
      <c r="D22" s="10">
        <v>15875550013.620001</v>
      </c>
      <c r="E22" s="10">
        <v>60730509.310000002</v>
      </c>
      <c r="F22" s="10">
        <v>5218108964.9799995</v>
      </c>
      <c r="G22" s="10">
        <v>27807230.739999998</v>
      </c>
      <c r="H22" s="12">
        <f t="shared" ref="H22" si="14">(E22+F22)-G22</f>
        <v>5251032243.5500002</v>
      </c>
      <c r="I22" s="29">
        <v>16886569563</v>
      </c>
      <c r="J22" s="13">
        <f t="shared" si="0"/>
        <v>7.3847776037726548E-2</v>
      </c>
      <c r="K22" s="29">
        <v>16573799668.209999</v>
      </c>
      <c r="L22" s="13">
        <f t="shared" si="8"/>
        <v>6.8661019696869496E-2</v>
      </c>
      <c r="M22" s="13">
        <f t="shared" si="9"/>
        <v>-1.8521813659259014E-2</v>
      </c>
      <c r="N22" s="20">
        <f t="shared" si="10"/>
        <v>1.6777824817888142E-3</v>
      </c>
      <c r="O22" s="21">
        <f t="shared" si="11"/>
        <v>0.3168273026505769</v>
      </c>
      <c r="P22" s="22">
        <f t="shared" si="12"/>
        <v>2.4386733543346244</v>
      </c>
      <c r="Q22" s="22">
        <f t="shared" si="13"/>
        <v>0.77263830089967356</v>
      </c>
      <c r="R22" s="10">
        <v>2.43867335433462</v>
      </c>
      <c r="S22" s="10">
        <v>2.4500000000000002</v>
      </c>
      <c r="T22" s="10">
        <v>5110</v>
      </c>
      <c r="U22" s="10">
        <v>6300899404.2700005</v>
      </c>
      <c r="V22" s="10">
        <v>6796236010.3500004</v>
      </c>
    </row>
    <row r="23" spans="1:23">
      <c r="A23" s="145">
        <v>19</v>
      </c>
      <c r="B23" s="72" t="s">
        <v>293</v>
      </c>
      <c r="C23" s="72" t="s">
        <v>267</v>
      </c>
      <c r="D23" s="10">
        <v>10294014978.700001</v>
      </c>
      <c r="E23" s="10">
        <v>0</v>
      </c>
      <c r="F23" s="10">
        <v>232427985.84999999</v>
      </c>
      <c r="G23" s="10">
        <v>17079319.75</v>
      </c>
      <c r="H23" s="12">
        <f t="shared" si="7"/>
        <v>215348666.09999999</v>
      </c>
      <c r="I23" s="29">
        <v>8316491893.6700001</v>
      </c>
      <c r="J23" s="13">
        <f t="shared" si="0"/>
        <v>3.6369401641466508E-2</v>
      </c>
      <c r="K23" s="29">
        <v>10181329588.950001</v>
      </c>
      <c r="L23" s="13">
        <f t="shared" si="8"/>
        <v>4.2178648556255659E-2</v>
      </c>
      <c r="M23" s="13">
        <f t="shared" si="9"/>
        <v>0.22423369362019097</v>
      </c>
      <c r="N23" s="20">
        <f t="shared" si="10"/>
        <v>1.6775136882452488E-3</v>
      </c>
      <c r="O23" s="21">
        <f t="shared" si="11"/>
        <v>2.1151330405188157E-2</v>
      </c>
      <c r="P23" s="22">
        <f t="shared" si="12"/>
        <v>1.9161749130956893</v>
      </c>
      <c r="Q23" s="22">
        <f t="shared" si="13"/>
        <v>4.0529648701019626E-2</v>
      </c>
      <c r="R23" s="10">
        <v>1.9161999999999999</v>
      </c>
      <c r="S23" s="10">
        <v>1.9429000000000001</v>
      </c>
      <c r="T23" s="10">
        <v>2702</v>
      </c>
      <c r="U23" s="10">
        <v>5336158407</v>
      </c>
      <c r="V23" s="10">
        <v>5313361280</v>
      </c>
    </row>
    <row r="24" spans="1:23">
      <c r="A24" s="132">
        <v>20</v>
      </c>
      <c r="B24" s="73" t="s">
        <v>229</v>
      </c>
      <c r="C24" s="73" t="s">
        <v>230</v>
      </c>
      <c r="D24" s="10">
        <v>24108066918.349998</v>
      </c>
      <c r="E24" s="10">
        <v>43813544</v>
      </c>
      <c r="F24" s="10">
        <v>1648818160.3499999</v>
      </c>
      <c r="G24" s="10">
        <v>48048444.840000004</v>
      </c>
      <c r="H24" s="12">
        <f t="shared" si="7"/>
        <v>1644583259.51</v>
      </c>
      <c r="I24" s="168">
        <v>22049336149</v>
      </c>
      <c r="J24" s="13">
        <f t="shared" si="0"/>
        <v>9.6425412611904335E-2</v>
      </c>
      <c r="K24" s="29">
        <v>23861614182</v>
      </c>
      <c r="L24" s="13">
        <f t="shared" si="8"/>
        <v>9.8852574192261164E-2</v>
      </c>
      <c r="M24" s="13">
        <f t="shared" si="9"/>
        <v>8.219195447669711E-2</v>
      </c>
      <c r="N24" s="20">
        <f t="shared" si="10"/>
        <v>2.013629273925874E-3</v>
      </c>
      <c r="O24" s="21">
        <f t="shared" si="11"/>
        <v>6.892171028188826E-2</v>
      </c>
      <c r="P24" s="22">
        <f t="shared" si="12"/>
        <v>354.32232083179866</v>
      </c>
      <c r="Q24" s="22">
        <f t="shared" si="13"/>
        <v>24.420500342775487</v>
      </c>
      <c r="R24" s="10">
        <v>350.83</v>
      </c>
      <c r="S24" s="10">
        <v>356.74</v>
      </c>
      <c r="T24" s="10">
        <v>187</v>
      </c>
      <c r="U24" s="10">
        <v>66748862</v>
      </c>
      <c r="V24" s="10">
        <v>67344372</v>
      </c>
    </row>
    <row r="25" spans="1:23">
      <c r="A25" s="147" t="s">
        <v>48</v>
      </c>
      <c r="B25" s="147"/>
      <c r="C25" s="147"/>
      <c r="D25" s="147"/>
      <c r="E25" s="147"/>
      <c r="F25" s="147"/>
      <c r="G25" s="147"/>
      <c r="H25" s="147"/>
      <c r="I25" s="49">
        <f>SUM(I5:I24)</f>
        <v>228667272991.04001</v>
      </c>
      <c r="J25" s="34">
        <f>(I25/$I$248)</f>
        <v>2.4874486275165961E-2</v>
      </c>
      <c r="K25" s="49">
        <f>SUM(K5:K24)</f>
        <v>241385865537.41</v>
      </c>
      <c r="L25" s="34">
        <f>(K25/$K$248)</f>
        <v>2.5545108686608451E-2</v>
      </c>
      <c r="M25" s="34">
        <f t="shared" si="2"/>
        <v>5.5620519631020195E-2</v>
      </c>
      <c r="N25" s="20"/>
      <c r="O25" s="20"/>
      <c r="P25" s="35"/>
      <c r="Q25" s="35"/>
      <c r="R25" s="36"/>
      <c r="S25" s="36"/>
      <c r="T25" s="36">
        <f>SUM(T5:T24)</f>
        <v>108429</v>
      </c>
      <c r="U25" s="36"/>
      <c r="V25" s="36"/>
    </row>
    <row r="26" spans="1:23" ht="6" customHeight="1">
      <c r="A26" s="164"/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5"/>
    </row>
    <row r="27" spans="1:23">
      <c r="A27" s="146" t="s">
        <v>49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</row>
    <row r="28" spans="1:23" ht="13.2" customHeight="1">
      <c r="A28" s="121">
        <v>21</v>
      </c>
      <c r="B28" s="122" t="s">
        <v>50</v>
      </c>
      <c r="C28" s="19" t="s">
        <v>22</v>
      </c>
      <c r="D28" s="10">
        <v>6853936708.8500004</v>
      </c>
      <c r="E28" s="10">
        <v>103027688.51000001</v>
      </c>
      <c r="F28" s="10">
        <v>0</v>
      </c>
      <c r="G28" s="10">
        <v>12625780.83</v>
      </c>
      <c r="H28" s="12">
        <f>(E28+F28)-G28</f>
        <v>90401907.680000007</v>
      </c>
      <c r="I28" s="170">
        <v>6560383146.75</v>
      </c>
      <c r="J28" s="13">
        <f>(I28/$I$76)</f>
        <v>1.0913693990481858E-3</v>
      </c>
      <c r="K28" s="43">
        <v>6650065709.4700003</v>
      </c>
      <c r="L28" s="13">
        <f>(K28/$K$76)</f>
        <v>1.0617825895770832E-3</v>
      </c>
      <c r="M28" s="13">
        <f t="shared" ref="M28:M76" si="15">((K28-I28)/I28)</f>
        <v>1.3670323929849862E-2</v>
      </c>
      <c r="N28" s="20">
        <f t="shared" ref="N28" si="16">(G28/K28)</f>
        <v>1.898594898396313E-3</v>
      </c>
      <c r="O28" s="21">
        <f t="shared" ref="O28" si="17">H28/K28</f>
        <v>1.3594137506229979E-2</v>
      </c>
      <c r="P28" s="24">
        <f t="shared" ref="P28" si="18">K28/V28</f>
        <v>100.23900827534929</v>
      </c>
      <c r="Q28" s="24">
        <f t="shared" ref="Q28" si="19">H28/V28</f>
        <v>1.3626628619832231</v>
      </c>
      <c r="R28" s="10">
        <v>100</v>
      </c>
      <c r="S28" s="10">
        <v>100</v>
      </c>
      <c r="T28" s="10">
        <v>936</v>
      </c>
      <c r="U28" s="18">
        <v>65451091</v>
      </c>
      <c r="V28" s="18">
        <v>66342094</v>
      </c>
    </row>
    <row r="29" spans="1:23" ht="15" customHeight="1">
      <c r="A29" s="113">
        <v>22</v>
      </c>
      <c r="B29" s="19" t="s">
        <v>51</v>
      </c>
      <c r="C29" s="19" t="s">
        <v>52</v>
      </c>
      <c r="D29" s="10">
        <v>46910527320.800003</v>
      </c>
      <c r="E29" s="10">
        <v>814009136.13</v>
      </c>
      <c r="F29" s="10">
        <v>0</v>
      </c>
      <c r="G29" s="10">
        <v>74188698.280000001</v>
      </c>
      <c r="H29" s="12">
        <f t="shared" ref="H29:H75" si="20">(E29+F29)-G29</f>
        <v>739820437.85000002</v>
      </c>
      <c r="I29" s="170">
        <v>42779092178.110001</v>
      </c>
      <c r="J29" s="13">
        <f t="shared" ref="J29:J75" si="21">(I29/$I$76)</f>
        <v>7.1166258247248697E-3</v>
      </c>
      <c r="K29" s="43">
        <v>47126224737.550003</v>
      </c>
      <c r="L29" s="13">
        <f t="shared" ref="L29:L75" si="22">(K29/$K$76)</f>
        <v>7.5244075960890578E-3</v>
      </c>
      <c r="M29" s="13">
        <f t="shared" ref="M29:M75" si="23">((K29-I29)/I29)</f>
        <v>0.1016181582662108</v>
      </c>
      <c r="N29" s="20">
        <f t="shared" ref="N29:N75" si="24">(G29/K29)</f>
        <v>1.5742550712085095E-3</v>
      </c>
      <c r="O29" s="21">
        <f t="shared" ref="O29:O75" si="25">H29/K29</f>
        <v>1.5698699439009249E-2</v>
      </c>
      <c r="P29" s="24">
        <f t="shared" ref="P29:P75" si="26">K29/V29</f>
        <v>101.4335377075321</v>
      </c>
      <c r="Q29" s="24">
        <f t="shared" ref="Q29:Q75" si="27">H29/V29</f>
        <v>1.5923746215059575</v>
      </c>
      <c r="R29" s="10">
        <v>100</v>
      </c>
      <c r="S29" s="10">
        <v>100</v>
      </c>
      <c r="T29" s="10">
        <v>5425</v>
      </c>
      <c r="U29" s="18">
        <v>410932288.44999999</v>
      </c>
      <c r="V29" s="18">
        <v>464602002.48000002</v>
      </c>
    </row>
    <row r="30" spans="1:23" ht="15" customHeight="1">
      <c r="A30" s="121">
        <v>23</v>
      </c>
      <c r="B30" s="19" t="s">
        <v>298</v>
      </c>
      <c r="C30" s="19" t="s">
        <v>299</v>
      </c>
      <c r="D30" s="10">
        <v>1384803976.71</v>
      </c>
      <c r="E30" s="10">
        <v>34749254.159999996</v>
      </c>
      <c r="F30" s="10">
        <v>0</v>
      </c>
      <c r="G30" s="10">
        <v>4119714.92</v>
      </c>
      <c r="H30" s="12">
        <f t="shared" si="20"/>
        <v>30629539.239999995</v>
      </c>
      <c r="I30" s="43">
        <v>2109991655.55</v>
      </c>
      <c r="J30" s="13">
        <f t="shared" si="21"/>
        <v>3.5101308469385399E-4</v>
      </c>
      <c r="K30" s="43">
        <v>2379079511.1999998</v>
      </c>
      <c r="L30" s="13">
        <f t="shared" si="22"/>
        <v>3.7985567580399752E-4</v>
      </c>
      <c r="M30" s="13">
        <f t="shared" si="23"/>
        <v>0.12753029375363012</v>
      </c>
      <c r="N30" s="20">
        <f t="shared" si="24"/>
        <v>1.7316423854711897E-3</v>
      </c>
      <c r="O30" s="21">
        <f t="shared" si="25"/>
        <v>1.287453365715825E-2</v>
      </c>
      <c r="P30" s="24">
        <f t="shared" si="26"/>
        <v>0.98431376088338773</v>
      </c>
      <c r="Q30" s="24">
        <f t="shared" si="27"/>
        <v>1.2672580643697192E-2</v>
      </c>
      <c r="R30" s="10">
        <v>1</v>
      </c>
      <c r="S30" s="10">
        <v>1</v>
      </c>
      <c r="T30" s="10">
        <v>284</v>
      </c>
      <c r="U30" s="18">
        <v>2113632495</v>
      </c>
      <c r="V30" s="18">
        <v>2416993042</v>
      </c>
    </row>
    <row r="31" spans="1:23">
      <c r="A31" s="145">
        <v>24</v>
      </c>
      <c r="B31" s="122" t="s">
        <v>53</v>
      </c>
      <c r="C31" s="19" t="s">
        <v>24</v>
      </c>
      <c r="D31" s="10">
        <v>3920794201.9299998</v>
      </c>
      <c r="E31" s="10">
        <v>57417103.619999997</v>
      </c>
      <c r="F31" s="10">
        <v>0</v>
      </c>
      <c r="G31" s="10">
        <v>5139943.6500000004</v>
      </c>
      <c r="H31" s="12">
        <f t="shared" si="20"/>
        <v>52277159.969999999</v>
      </c>
      <c r="I31" s="170">
        <v>4007341796.5900002</v>
      </c>
      <c r="J31" s="13">
        <f t="shared" si="21"/>
        <v>6.6665164373695511E-4</v>
      </c>
      <c r="K31" s="43">
        <v>3942857830</v>
      </c>
      <c r="L31" s="13">
        <f t="shared" si="22"/>
        <v>6.2953630534958024E-4</v>
      </c>
      <c r="M31" s="13">
        <f t="shared" si="23"/>
        <v>-1.609145659720666E-2</v>
      </c>
      <c r="N31" s="20">
        <f t="shared" si="24"/>
        <v>1.3036086695522573E-3</v>
      </c>
      <c r="O31" s="21">
        <f t="shared" si="25"/>
        <v>1.3258697681726961E-2</v>
      </c>
      <c r="P31" s="24">
        <f t="shared" si="26"/>
        <v>124.70199390816417</v>
      </c>
      <c r="Q31" s="24">
        <f t="shared" si="27"/>
        <v>1.6533860375369058</v>
      </c>
      <c r="R31" s="10">
        <v>100</v>
      </c>
      <c r="S31" s="10">
        <v>100</v>
      </c>
      <c r="T31" s="10">
        <v>2215</v>
      </c>
      <c r="U31" s="18">
        <v>31438325.489999998</v>
      </c>
      <c r="V31" s="18">
        <v>31618242.07</v>
      </c>
    </row>
    <row r="32" spans="1:23">
      <c r="A32" s="121">
        <v>25</v>
      </c>
      <c r="B32" s="122" t="s">
        <v>296</v>
      </c>
      <c r="C32" s="19" t="s">
        <v>297</v>
      </c>
      <c r="D32" s="10">
        <v>639683010.95000005</v>
      </c>
      <c r="E32" s="10">
        <v>37227464.149999999</v>
      </c>
      <c r="F32" s="10">
        <v>0</v>
      </c>
      <c r="G32" s="10">
        <v>2804228.31</v>
      </c>
      <c r="H32" s="12">
        <f t="shared" si="20"/>
        <v>34423235.839999996</v>
      </c>
      <c r="I32" s="170">
        <v>1394339224.3499999</v>
      </c>
      <c r="J32" s="13">
        <f t="shared" si="21"/>
        <v>2.3195888522182416E-4</v>
      </c>
      <c r="K32" s="43">
        <v>1590412880.6099999</v>
      </c>
      <c r="L32" s="13">
        <f t="shared" si="22"/>
        <v>2.5393323624849095E-4</v>
      </c>
      <c r="M32" s="13">
        <f t="shared" si="23"/>
        <v>0.14062120095015171</v>
      </c>
      <c r="N32" s="20">
        <f t="shared" si="24"/>
        <v>1.7632077457298029E-3</v>
      </c>
      <c r="O32" s="21">
        <f t="shared" si="25"/>
        <v>2.1644213436448671E-2</v>
      </c>
      <c r="P32" s="24">
        <f t="shared" si="26"/>
        <v>99.999999975478062</v>
      </c>
      <c r="Q32" s="24">
        <f t="shared" si="27"/>
        <v>2.1644213431141091</v>
      </c>
      <c r="R32" s="10">
        <v>1</v>
      </c>
      <c r="S32" s="10">
        <v>1</v>
      </c>
      <c r="T32" s="10">
        <v>192</v>
      </c>
      <c r="U32" s="18">
        <v>13943392.24</v>
      </c>
      <c r="V32" s="18">
        <v>15904128.810000001</v>
      </c>
    </row>
    <row r="33" spans="1:22">
      <c r="A33" s="145">
        <v>26</v>
      </c>
      <c r="B33" s="19" t="s">
        <v>54</v>
      </c>
      <c r="C33" s="77" t="s">
        <v>55</v>
      </c>
      <c r="D33" s="10">
        <v>174243307037</v>
      </c>
      <c r="E33" s="10">
        <v>6708892064</v>
      </c>
      <c r="F33" s="10">
        <v>0</v>
      </c>
      <c r="G33" s="10">
        <v>6708892064</v>
      </c>
      <c r="H33" s="12">
        <f t="shared" si="20"/>
        <v>0</v>
      </c>
      <c r="I33" s="170">
        <v>417819034405</v>
      </c>
      <c r="J33" s="13">
        <f t="shared" si="21"/>
        <v>6.9507359294308443E-2</v>
      </c>
      <c r="K33" s="43">
        <v>440926525045</v>
      </c>
      <c r="L33" s="13">
        <f t="shared" si="22"/>
        <v>7.0400523548032279E-2</v>
      </c>
      <c r="M33" s="13">
        <f t="shared" si="23"/>
        <v>5.5305021402163951E-2</v>
      </c>
      <c r="N33" s="20">
        <f t="shared" si="24"/>
        <v>1.5215442217533421E-2</v>
      </c>
      <c r="O33" s="21">
        <f t="shared" si="25"/>
        <v>0</v>
      </c>
      <c r="P33" s="24">
        <f t="shared" si="26"/>
        <v>1</v>
      </c>
      <c r="Q33" s="24">
        <f t="shared" si="27"/>
        <v>0</v>
      </c>
      <c r="R33" s="10">
        <v>1</v>
      </c>
      <c r="S33" s="10">
        <v>1</v>
      </c>
      <c r="T33" s="10">
        <v>88242</v>
      </c>
      <c r="U33" s="18">
        <v>417819034405</v>
      </c>
      <c r="V33" s="18">
        <v>440926525045</v>
      </c>
    </row>
    <row r="34" spans="1:22">
      <c r="A34" s="121">
        <v>27</v>
      </c>
      <c r="B34" s="19" t="s">
        <v>246</v>
      </c>
      <c r="C34" s="77" t="s">
        <v>92</v>
      </c>
      <c r="D34" s="10">
        <v>1284347289.1099999</v>
      </c>
      <c r="E34" s="10">
        <v>68389617.769999996</v>
      </c>
      <c r="F34" s="10">
        <v>0</v>
      </c>
      <c r="G34" s="10">
        <v>7512033.3899999997</v>
      </c>
      <c r="H34" s="12">
        <f t="shared" si="20"/>
        <v>60877584.379999995</v>
      </c>
      <c r="I34" s="170">
        <v>2129957913.8699999</v>
      </c>
      <c r="J34" s="13">
        <f t="shared" si="21"/>
        <v>3.543346229114403E-4</v>
      </c>
      <c r="K34" s="43">
        <v>2194512565.3400002</v>
      </c>
      <c r="L34" s="13">
        <f t="shared" si="22"/>
        <v>3.5038679860982281E-4</v>
      </c>
      <c r="M34" s="13">
        <f t="shared" si="23"/>
        <v>3.0307946955021526E-2</v>
      </c>
      <c r="N34" s="20">
        <f t="shared" si="24"/>
        <v>3.4230988277964797E-3</v>
      </c>
      <c r="O34" s="21">
        <f t="shared" si="25"/>
        <v>2.7740822878618655E-2</v>
      </c>
      <c r="P34" s="24">
        <f t="shared" si="26"/>
        <v>0.92219445023237745</v>
      </c>
      <c r="Q34" s="24">
        <f t="shared" si="27"/>
        <v>2.558243290354149E-2</v>
      </c>
      <c r="R34" s="10">
        <v>1</v>
      </c>
      <c r="S34" s="10">
        <v>1</v>
      </c>
      <c r="T34" s="10">
        <v>445</v>
      </c>
      <c r="U34" s="18">
        <v>2248445345</v>
      </c>
      <c r="V34" s="18">
        <v>2379663600</v>
      </c>
    </row>
    <row r="35" spans="1:22" ht="15" customHeight="1">
      <c r="A35" s="145">
        <v>28</v>
      </c>
      <c r="B35" s="122" t="s">
        <v>56</v>
      </c>
      <c r="C35" s="19" t="s">
        <v>28</v>
      </c>
      <c r="D35" s="10">
        <v>57506378469.870003</v>
      </c>
      <c r="E35" s="10">
        <v>2604917530.6500001</v>
      </c>
      <c r="F35" s="10">
        <v>0</v>
      </c>
      <c r="G35" s="10">
        <v>249004784.68000001</v>
      </c>
      <c r="H35" s="12">
        <f t="shared" si="20"/>
        <v>2355912745.9700003</v>
      </c>
      <c r="I35" s="170">
        <v>176183407003.82001</v>
      </c>
      <c r="J35" s="13">
        <f t="shared" si="21"/>
        <v>2.9309443476525705E-2</v>
      </c>
      <c r="K35" s="43">
        <v>180806673242.10001</v>
      </c>
      <c r="L35" s="13">
        <f t="shared" si="22"/>
        <v>2.8868493352543843E-2</v>
      </c>
      <c r="M35" s="13">
        <f t="shared" si="23"/>
        <v>2.624121259148858E-2</v>
      </c>
      <c r="N35" s="20">
        <f t="shared" si="24"/>
        <v>1.3771880219630101E-3</v>
      </c>
      <c r="O35" s="21">
        <f t="shared" si="25"/>
        <v>1.3030009920128528E-2</v>
      </c>
      <c r="P35" s="24">
        <f t="shared" si="26"/>
        <v>1.0127830484494262</v>
      </c>
      <c r="Q35" s="24">
        <f t="shared" si="27"/>
        <v>1.3196573168234034E-2</v>
      </c>
      <c r="R35" s="10">
        <v>1</v>
      </c>
      <c r="S35" s="10">
        <v>1</v>
      </c>
      <c r="T35" s="10">
        <v>42011</v>
      </c>
      <c r="U35" s="18">
        <v>169694845321.19</v>
      </c>
      <c r="V35" s="18">
        <v>178524584824.87</v>
      </c>
    </row>
    <row r="36" spans="1:22" ht="15" customHeight="1">
      <c r="A36" s="121">
        <v>29</v>
      </c>
      <c r="B36" s="19" t="s">
        <v>241</v>
      </c>
      <c r="C36" s="19" t="s">
        <v>94</v>
      </c>
      <c r="D36" s="10">
        <v>36812772408.660004</v>
      </c>
      <c r="E36" s="10">
        <v>598252299</v>
      </c>
      <c r="F36" s="10">
        <v>0</v>
      </c>
      <c r="G36" s="10">
        <v>44461273</v>
      </c>
      <c r="H36" s="12">
        <f t="shared" si="20"/>
        <v>553791026</v>
      </c>
      <c r="I36" s="43">
        <v>30575253626.360001</v>
      </c>
      <c r="J36" s="13">
        <f t="shared" si="21"/>
        <v>5.0864248976795296E-3</v>
      </c>
      <c r="K36" s="43">
        <v>37081762565.360001</v>
      </c>
      <c r="L36" s="13">
        <f t="shared" si="22"/>
        <v>5.9206587728391682E-3</v>
      </c>
      <c r="M36" s="13">
        <f t="shared" si="23"/>
        <v>0.21280310601873503</v>
      </c>
      <c r="N36" s="20">
        <f t="shared" si="24"/>
        <v>1.1990064636661468E-3</v>
      </c>
      <c r="O36" s="21">
        <f t="shared" si="25"/>
        <v>1.4934323173659629E-2</v>
      </c>
      <c r="P36" s="24">
        <f t="shared" si="26"/>
        <v>1</v>
      </c>
      <c r="Q36" s="24">
        <f t="shared" si="27"/>
        <v>1.4934323173659629E-2</v>
      </c>
      <c r="R36" s="10">
        <v>1</v>
      </c>
      <c r="S36" s="10">
        <v>1</v>
      </c>
      <c r="T36" s="10">
        <v>2417</v>
      </c>
      <c r="U36" s="18">
        <v>30575253626.360001</v>
      </c>
      <c r="V36" s="18">
        <v>37081762565.360001</v>
      </c>
    </row>
    <row r="37" spans="1:22">
      <c r="A37" s="145">
        <v>30</v>
      </c>
      <c r="B37" s="77" t="s">
        <v>236</v>
      </c>
      <c r="C37" s="77" t="s">
        <v>41</v>
      </c>
      <c r="D37" s="10">
        <v>44888466722.910004</v>
      </c>
      <c r="E37" s="10">
        <v>634449826.39999998</v>
      </c>
      <c r="F37" s="10">
        <v>0</v>
      </c>
      <c r="G37" s="10">
        <v>73885368.349999994</v>
      </c>
      <c r="H37" s="12">
        <f t="shared" si="20"/>
        <v>560564458.04999995</v>
      </c>
      <c r="I37" s="170">
        <v>42480904791.760002</v>
      </c>
      <c r="J37" s="13">
        <f t="shared" si="21"/>
        <v>7.0670200957049477E-3</v>
      </c>
      <c r="K37" s="43">
        <v>44270743927.779999</v>
      </c>
      <c r="L37" s="13">
        <f t="shared" si="22"/>
        <v>7.068487317832604E-3</v>
      </c>
      <c r="M37" s="13">
        <f t="shared" si="23"/>
        <v>4.213279224615693E-2</v>
      </c>
      <c r="N37" s="20">
        <f t="shared" si="24"/>
        <v>1.6689434555364846E-3</v>
      </c>
      <c r="O37" s="21">
        <f t="shared" si="25"/>
        <v>1.266218744741365E-2</v>
      </c>
      <c r="P37" s="24">
        <f t="shared" si="26"/>
        <v>100.00026101454675</v>
      </c>
      <c r="Q37" s="24">
        <f t="shared" si="27"/>
        <v>1.2662220497564824</v>
      </c>
      <c r="R37" s="10">
        <v>100</v>
      </c>
      <c r="S37" s="10">
        <v>100</v>
      </c>
      <c r="T37" s="10">
        <v>12118</v>
      </c>
      <c r="U37" s="18">
        <v>424807896.25999999</v>
      </c>
      <c r="V37" s="18">
        <v>442706283.75</v>
      </c>
    </row>
    <row r="38" spans="1:22">
      <c r="A38" s="121">
        <v>31</v>
      </c>
      <c r="B38" s="25" t="s">
        <v>192</v>
      </c>
      <c r="C38" s="25" t="s">
        <v>193</v>
      </c>
      <c r="D38" s="10">
        <v>3567854877.52</v>
      </c>
      <c r="E38" s="10">
        <v>130383627.05</v>
      </c>
      <c r="F38" s="10">
        <v>0</v>
      </c>
      <c r="G38" s="10">
        <v>4792632.54</v>
      </c>
      <c r="H38" s="12">
        <f t="shared" si="20"/>
        <v>125590994.50999999</v>
      </c>
      <c r="I38" s="170">
        <v>3244230836.8499999</v>
      </c>
      <c r="J38" s="13">
        <f t="shared" si="21"/>
        <v>5.3970235877772018E-4</v>
      </c>
      <c r="K38" s="43">
        <v>3470059349.5799999</v>
      </c>
      <c r="L38" s="13">
        <f t="shared" si="22"/>
        <v>5.5404694677473585E-4</v>
      </c>
      <c r="M38" s="13">
        <f t="shared" si="23"/>
        <v>6.960926151274402E-2</v>
      </c>
      <c r="N38" s="20">
        <f t="shared" si="24"/>
        <v>1.3811384927984239E-3</v>
      </c>
      <c r="O38" s="21">
        <f t="shared" si="25"/>
        <v>3.6192751148536102E-2</v>
      </c>
      <c r="P38" s="24">
        <f t="shared" si="26"/>
        <v>0.9996960591960653</v>
      </c>
      <c r="Q38" s="24">
        <f t="shared" si="27"/>
        <v>3.6181750694655408E-2</v>
      </c>
      <c r="R38" s="10">
        <v>1</v>
      </c>
      <c r="S38" s="10">
        <v>1</v>
      </c>
      <c r="T38" s="10">
        <v>858</v>
      </c>
      <c r="U38" s="18">
        <v>3248216875.6999998</v>
      </c>
      <c r="V38" s="18">
        <v>3471114362.8699999</v>
      </c>
    </row>
    <row r="39" spans="1:22">
      <c r="A39" s="145">
        <v>32</v>
      </c>
      <c r="B39" s="19" t="s">
        <v>208</v>
      </c>
      <c r="C39" s="19" t="s">
        <v>57</v>
      </c>
      <c r="D39" s="10">
        <v>108062900608.56</v>
      </c>
      <c r="E39" s="10">
        <v>1583504325.49</v>
      </c>
      <c r="F39" s="10">
        <v>0</v>
      </c>
      <c r="G39" s="10">
        <v>173921582.97</v>
      </c>
      <c r="H39" s="12">
        <f t="shared" si="20"/>
        <v>1409582742.52</v>
      </c>
      <c r="I39" s="170">
        <v>100660747862.10001</v>
      </c>
      <c r="J39" s="13">
        <f t="shared" si="21"/>
        <v>1.6745677416177208E-2</v>
      </c>
      <c r="K39" s="43">
        <v>106138007822.33</v>
      </c>
      <c r="L39" s="13">
        <f t="shared" si="22"/>
        <v>1.6946522594154623E-2</v>
      </c>
      <c r="M39" s="13">
        <f t="shared" si="23"/>
        <v>5.4413066429166185E-2</v>
      </c>
      <c r="N39" s="20">
        <f t="shared" si="24"/>
        <v>1.6386362108956906E-3</v>
      </c>
      <c r="O39" s="21">
        <f t="shared" si="25"/>
        <v>1.3280659505872532E-2</v>
      </c>
      <c r="P39" s="24">
        <f t="shared" si="26"/>
        <v>100.00000000031092</v>
      </c>
      <c r="Q39" s="24">
        <f t="shared" si="27"/>
        <v>1.3280659505913823</v>
      </c>
      <c r="R39" s="10">
        <v>100</v>
      </c>
      <c r="S39" s="10">
        <v>100</v>
      </c>
      <c r="T39" s="10">
        <v>6547</v>
      </c>
      <c r="U39" s="18">
        <v>1006607478.62</v>
      </c>
      <c r="V39" s="18">
        <v>1061380078.22</v>
      </c>
    </row>
    <row r="40" spans="1:22">
      <c r="A40" s="121">
        <v>33</v>
      </c>
      <c r="B40" s="19" t="s">
        <v>58</v>
      </c>
      <c r="C40" s="19" t="s">
        <v>59</v>
      </c>
      <c r="D40" s="10">
        <v>20259907192.860001</v>
      </c>
      <c r="E40" s="10">
        <v>674242135.21000004</v>
      </c>
      <c r="F40" s="10">
        <v>0</v>
      </c>
      <c r="G40" s="10">
        <v>62281302.159999996</v>
      </c>
      <c r="H40" s="12">
        <f t="shared" si="20"/>
        <v>611960833.05000007</v>
      </c>
      <c r="I40" s="170">
        <v>45437669800</v>
      </c>
      <c r="J40" s="13">
        <f t="shared" si="21"/>
        <v>7.5589003377557794E-3</v>
      </c>
      <c r="K40" s="43">
        <v>47056159900</v>
      </c>
      <c r="L40" s="13">
        <f t="shared" si="22"/>
        <v>7.5132206954023175E-3</v>
      </c>
      <c r="M40" s="13">
        <f t="shared" si="23"/>
        <v>3.5620006640393338E-2</v>
      </c>
      <c r="N40" s="20">
        <f t="shared" si="24"/>
        <v>1.3235525867889614E-3</v>
      </c>
      <c r="O40" s="21">
        <f t="shared" si="25"/>
        <v>1.3004903807503427E-2</v>
      </c>
      <c r="P40" s="24">
        <f t="shared" si="26"/>
        <v>100</v>
      </c>
      <c r="Q40" s="24">
        <f t="shared" si="27"/>
        <v>1.3004903807503427</v>
      </c>
      <c r="R40" s="10">
        <v>100</v>
      </c>
      <c r="S40" s="10">
        <v>100</v>
      </c>
      <c r="T40" s="10">
        <v>6118</v>
      </c>
      <c r="U40" s="18">
        <v>454376698</v>
      </c>
      <c r="V40" s="18">
        <v>470561599</v>
      </c>
    </row>
    <row r="41" spans="1:22">
      <c r="A41" s="145">
        <v>34</v>
      </c>
      <c r="B41" s="19" t="s">
        <v>60</v>
      </c>
      <c r="C41" s="19" t="s">
        <v>61</v>
      </c>
      <c r="D41" s="10">
        <v>98862426540.300003</v>
      </c>
      <c r="E41" s="10">
        <v>1452939599.8900001</v>
      </c>
      <c r="F41" s="10">
        <v>0</v>
      </c>
      <c r="G41" s="10">
        <v>169211091.78999999</v>
      </c>
      <c r="H41" s="12">
        <f t="shared" si="20"/>
        <v>1283728508.1000001</v>
      </c>
      <c r="I41" s="170">
        <v>98551160217.839996</v>
      </c>
      <c r="J41" s="13">
        <f t="shared" si="21"/>
        <v>1.6394731541819838E-2</v>
      </c>
      <c r="K41" s="43">
        <v>98551160217.839996</v>
      </c>
      <c r="L41" s="13">
        <f t="shared" si="22"/>
        <v>1.5735168744710617E-2</v>
      </c>
      <c r="M41" s="13">
        <f t="shared" si="23"/>
        <v>0</v>
      </c>
      <c r="N41" s="20">
        <f t="shared" si="24"/>
        <v>1.7169873131475213E-3</v>
      </c>
      <c r="O41" s="21">
        <f t="shared" si="25"/>
        <v>1.3026011112019523E-2</v>
      </c>
      <c r="P41" s="24">
        <f t="shared" si="26"/>
        <v>1</v>
      </c>
      <c r="Q41" s="24">
        <f t="shared" si="27"/>
        <v>1.3026011112019523E-2</v>
      </c>
      <c r="R41" s="10">
        <v>1</v>
      </c>
      <c r="S41" s="10">
        <v>1</v>
      </c>
      <c r="T41" s="10">
        <v>20347</v>
      </c>
      <c r="U41" s="18">
        <v>78162741612.029999</v>
      </c>
      <c r="V41" s="18">
        <v>98551160217.839996</v>
      </c>
    </row>
    <row r="42" spans="1:22">
      <c r="A42" s="121">
        <v>35</v>
      </c>
      <c r="B42" s="72" t="s">
        <v>280</v>
      </c>
      <c r="C42" s="73" t="s">
        <v>101</v>
      </c>
      <c r="D42" s="10">
        <v>2273419686.8200002</v>
      </c>
      <c r="E42" s="10">
        <v>35755887.869999997</v>
      </c>
      <c r="F42" s="10">
        <v>0</v>
      </c>
      <c r="G42" s="10">
        <v>3124470.66</v>
      </c>
      <c r="H42" s="12">
        <f t="shared" ref="H42" si="28">(E42+F42)-G42</f>
        <v>32631417.209999997</v>
      </c>
      <c r="I42" s="170">
        <v>1798511923.4000001</v>
      </c>
      <c r="J42" s="13">
        <f t="shared" si="21"/>
        <v>2.9919607332605904E-4</v>
      </c>
      <c r="K42" s="43">
        <v>2182990643.8000002</v>
      </c>
      <c r="L42" s="13">
        <f t="shared" si="22"/>
        <v>3.485471512703651E-4</v>
      </c>
      <c r="M42" s="13">
        <f t="shared" si="23"/>
        <v>0.21377601971810206</v>
      </c>
      <c r="N42" s="20">
        <f t="shared" si="24"/>
        <v>1.4312799135781618E-3</v>
      </c>
      <c r="O42" s="21">
        <f t="shared" si="25"/>
        <v>1.4948033470815737E-2</v>
      </c>
      <c r="P42" s="24">
        <f t="shared" si="26"/>
        <v>1000.0000017407312</v>
      </c>
      <c r="Q42" s="24">
        <f t="shared" si="27"/>
        <v>14.948033496836246</v>
      </c>
      <c r="R42" s="10">
        <v>1000</v>
      </c>
      <c r="S42" s="10">
        <v>1000</v>
      </c>
      <c r="T42" s="10">
        <v>317</v>
      </c>
      <c r="U42" s="18">
        <v>1798511.92</v>
      </c>
      <c r="V42" s="18">
        <v>2182990.64</v>
      </c>
    </row>
    <row r="43" spans="1:22">
      <c r="A43" s="145">
        <v>36</v>
      </c>
      <c r="B43" s="19" t="s">
        <v>62</v>
      </c>
      <c r="C43" s="19" t="s">
        <v>63</v>
      </c>
      <c r="D43" s="10">
        <v>27860573459.549999</v>
      </c>
      <c r="E43" s="10">
        <v>1313759100.4100001</v>
      </c>
      <c r="F43" s="10">
        <v>0</v>
      </c>
      <c r="G43" s="10">
        <v>147848966.75999999</v>
      </c>
      <c r="H43" s="12">
        <f t="shared" si="20"/>
        <v>1165910133.6500001</v>
      </c>
      <c r="I43" s="170">
        <v>96297436993.460007</v>
      </c>
      <c r="J43" s="13">
        <f t="shared" si="21"/>
        <v>1.6019807622592495E-2</v>
      </c>
      <c r="K43" s="43">
        <v>95822954076.399994</v>
      </c>
      <c r="L43" s="13">
        <f t="shared" si="22"/>
        <v>1.5299569773465391E-2</v>
      </c>
      <c r="M43" s="13">
        <f t="shared" si="23"/>
        <v>-4.9272642333381845E-3</v>
      </c>
      <c r="N43" s="20">
        <f t="shared" si="24"/>
        <v>1.5429389355093297E-3</v>
      </c>
      <c r="O43" s="21">
        <f t="shared" si="25"/>
        <v>1.2167336572825919E-2</v>
      </c>
      <c r="P43" s="24">
        <f t="shared" si="26"/>
        <v>104.87858357457674</v>
      </c>
      <c r="Q43" s="24">
        <f t="shared" si="27"/>
        <v>1.2760930256331271</v>
      </c>
      <c r="R43" s="10">
        <v>100</v>
      </c>
      <c r="S43" s="10">
        <v>100</v>
      </c>
      <c r="T43" s="10">
        <v>9010</v>
      </c>
      <c r="U43" s="18">
        <v>928756570</v>
      </c>
      <c r="V43" s="18">
        <v>913656066</v>
      </c>
    </row>
    <row r="44" spans="1:22">
      <c r="A44" s="121">
        <v>37</v>
      </c>
      <c r="B44" s="19" t="s">
        <v>64</v>
      </c>
      <c r="C44" s="19" t="s">
        <v>63</v>
      </c>
      <c r="D44" s="10">
        <v>2947939823.9299998</v>
      </c>
      <c r="E44" s="10">
        <v>140587150.11000001</v>
      </c>
      <c r="F44" s="10">
        <v>0</v>
      </c>
      <c r="G44" s="10">
        <v>12931282.449999999</v>
      </c>
      <c r="H44" s="12">
        <f t="shared" si="20"/>
        <v>127655867.66000001</v>
      </c>
      <c r="I44" s="170">
        <v>9551837150.0900002</v>
      </c>
      <c r="J44" s="13">
        <f t="shared" si="21"/>
        <v>1.5890204180321655E-3</v>
      </c>
      <c r="K44" s="43">
        <v>9623558469.2900009</v>
      </c>
      <c r="L44" s="13">
        <f t="shared" si="22"/>
        <v>1.5365452431422028E-3</v>
      </c>
      <c r="M44" s="13">
        <f t="shared" si="23"/>
        <v>7.5086413297283843E-3</v>
      </c>
      <c r="N44" s="20">
        <f t="shared" si="24"/>
        <v>1.3437111117748561E-3</v>
      </c>
      <c r="O44" s="21">
        <f t="shared" si="25"/>
        <v>1.3264933970876379E-2</v>
      </c>
      <c r="P44" s="24">
        <f t="shared" si="26"/>
        <v>996021.36920823855</v>
      </c>
      <c r="Q44" s="24">
        <f t="shared" si="27"/>
        <v>13212.157696129167</v>
      </c>
      <c r="R44" s="10">
        <v>1000000</v>
      </c>
      <c r="S44" s="10">
        <v>1000000</v>
      </c>
      <c r="T44" s="10">
        <v>56</v>
      </c>
      <c r="U44" s="18">
        <v>9144</v>
      </c>
      <c r="V44" s="18">
        <v>9662</v>
      </c>
    </row>
    <row r="45" spans="1:22">
      <c r="A45" s="145">
        <v>38</v>
      </c>
      <c r="B45" s="133" t="s">
        <v>65</v>
      </c>
      <c r="C45" s="77" t="s">
        <v>66</v>
      </c>
      <c r="D45" s="10">
        <v>9150319049.2600002</v>
      </c>
      <c r="E45" s="10">
        <v>156127683</v>
      </c>
      <c r="F45" s="10">
        <v>0</v>
      </c>
      <c r="G45" s="10">
        <v>15398666</v>
      </c>
      <c r="H45" s="12">
        <f t="shared" si="20"/>
        <v>140729017</v>
      </c>
      <c r="I45" s="170">
        <v>8534119144</v>
      </c>
      <c r="J45" s="13">
        <f t="shared" si="21"/>
        <v>1.4197153235184095E-3</v>
      </c>
      <c r="K45" s="43">
        <v>8627330801</v>
      </c>
      <c r="L45" s="13">
        <f t="shared" si="22"/>
        <v>1.377482575244204E-3</v>
      </c>
      <c r="M45" s="13">
        <f t="shared" si="23"/>
        <v>1.0922235256761491E-2</v>
      </c>
      <c r="N45" s="20">
        <f t="shared" si="24"/>
        <v>1.7848702403082922E-3</v>
      </c>
      <c r="O45" s="21">
        <f t="shared" si="25"/>
        <v>1.6311999649264407E-2</v>
      </c>
      <c r="P45" s="24">
        <f t="shared" si="26"/>
        <v>0.95298675787304188</v>
      </c>
      <c r="Q45" s="24">
        <f t="shared" si="27"/>
        <v>1.5545119660178682E-2</v>
      </c>
      <c r="R45" s="10">
        <v>1</v>
      </c>
      <c r="S45" s="10">
        <v>1</v>
      </c>
      <c r="T45" s="10">
        <v>1343</v>
      </c>
      <c r="U45" s="18">
        <v>8717983605</v>
      </c>
      <c r="V45" s="18">
        <v>9052938805</v>
      </c>
    </row>
    <row r="46" spans="1:22">
      <c r="A46" s="121">
        <v>39</v>
      </c>
      <c r="B46" s="19" t="s">
        <v>310</v>
      </c>
      <c r="C46" s="19" t="s">
        <v>264</v>
      </c>
      <c r="D46" s="10">
        <v>72038953469.639999</v>
      </c>
      <c r="E46" s="10">
        <v>1140700153.24</v>
      </c>
      <c r="F46" s="10">
        <v>0</v>
      </c>
      <c r="G46" s="10">
        <v>102782946.02</v>
      </c>
      <c r="H46" s="12">
        <f>(E46+F46)-G46</f>
        <v>1037917207.22</v>
      </c>
      <c r="I46" s="170">
        <v>66623872720.970001</v>
      </c>
      <c r="J46" s="13">
        <f t="shared" si="21"/>
        <v>1.1083385574784431E-2</v>
      </c>
      <c r="K46" s="43">
        <v>71822354223.289993</v>
      </c>
      <c r="L46" s="13">
        <f t="shared" si="22"/>
        <v>1.1467514546229227E-2</v>
      </c>
      <c r="M46" s="13">
        <f t="shared" si="23"/>
        <v>7.8027308981150831E-2</v>
      </c>
      <c r="N46" s="20">
        <f t="shared" si="24"/>
        <v>1.4310718039185402E-3</v>
      </c>
      <c r="O46" s="21">
        <f t="shared" si="25"/>
        <v>1.4451172179530593E-2</v>
      </c>
      <c r="P46" s="24">
        <f t="shared" si="26"/>
        <v>1.0032853098007664</v>
      </c>
      <c r="Q46" s="24">
        <f t="shared" si="27"/>
        <v>1.4498648757124567E-2</v>
      </c>
      <c r="R46" s="10">
        <v>1</v>
      </c>
      <c r="S46" s="10">
        <v>1</v>
      </c>
      <c r="T46" s="10">
        <v>4329</v>
      </c>
      <c r="U46" s="18">
        <v>66618514368</v>
      </c>
      <c r="V46" s="18">
        <v>71587168198</v>
      </c>
    </row>
    <row r="47" spans="1:22">
      <c r="A47" s="145">
        <v>40</v>
      </c>
      <c r="B47" s="19" t="s">
        <v>301</v>
      </c>
      <c r="C47" s="19" t="s">
        <v>67</v>
      </c>
      <c r="D47" s="10">
        <v>4579777054.7700005</v>
      </c>
      <c r="E47" s="10">
        <v>163449383.28999999</v>
      </c>
      <c r="F47" s="10">
        <v>0</v>
      </c>
      <c r="G47" s="10">
        <v>12502115.09</v>
      </c>
      <c r="H47" s="12">
        <f>(E47+F47)-G47</f>
        <v>150947268.19999999</v>
      </c>
      <c r="I47" s="170">
        <v>9009083830.1900005</v>
      </c>
      <c r="J47" s="13">
        <f t="shared" si="21"/>
        <v>1.4987292945839693E-3</v>
      </c>
      <c r="K47" s="43">
        <v>10168840056.940001</v>
      </c>
      <c r="L47" s="13">
        <f t="shared" si="22"/>
        <v>1.6236076153769974E-3</v>
      </c>
      <c r="M47" s="13">
        <f t="shared" si="23"/>
        <v>0.12873187203160266</v>
      </c>
      <c r="N47" s="20">
        <f t="shared" si="24"/>
        <v>1.2294534106146741E-3</v>
      </c>
      <c r="O47" s="21">
        <f t="shared" si="25"/>
        <v>1.4844098968493652E-2</v>
      </c>
      <c r="P47" s="24">
        <f t="shared" si="26"/>
        <v>1.069929950679978</v>
      </c>
      <c r="Q47" s="24">
        <f t="shared" si="27"/>
        <v>1.5882146077249124E-2</v>
      </c>
      <c r="R47" s="10">
        <v>1</v>
      </c>
      <c r="S47" s="10">
        <v>1</v>
      </c>
      <c r="T47" s="10">
        <v>25676</v>
      </c>
      <c r="U47" s="18">
        <v>8312289600.0699997</v>
      </c>
      <c r="V47" s="18">
        <v>9504211047.1599998</v>
      </c>
    </row>
    <row r="48" spans="1:22">
      <c r="A48" s="121">
        <v>41</v>
      </c>
      <c r="B48" s="122" t="s">
        <v>309</v>
      </c>
      <c r="C48" s="12" t="s">
        <v>324</v>
      </c>
      <c r="D48" s="10">
        <v>757381391784.21997</v>
      </c>
      <c r="E48" s="10">
        <v>11009569835.51</v>
      </c>
      <c r="F48" s="10">
        <v>0</v>
      </c>
      <c r="G48" s="10">
        <v>1220487064.99</v>
      </c>
      <c r="H48" s="12">
        <f t="shared" ref="H48" si="29">(E48+F48)-G48</f>
        <v>9789082770.5200005</v>
      </c>
      <c r="I48" s="170">
        <v>725110568751.98999</v>
      </c>
      <c r="J48" s="13">
        <f t="shared" si="21"/>
        <v>0.12062763225260514</v>
      </c>
      <c r="K48" s="43">
        <v>746647413451.26001</v>
      </c>
      <c r="L48" s="13">
        <f t="shared" si="22"/>
        <v>0.11921344221100832</v>
      </c>
      <c r="M48" s="13">
        <f t="shared" si="23"/>
        <v>2.9701462959418373E-2</v>
      </c>
      <c r="N48" s="20">
        <f t="shared" si="24"/>
        <v>1.6346230402761203E-3</v>
      </c>
      <c r="O48" s="21">
        <f t="shared" si="25"/>
        <v>1.3110716777644093E-2</v>
      </c>
      <c r="P48" s="24">
        <f t="shared" si="26"/>
        <v>100.04224060933142</v>
      </c>
      <c r="Q48" s="24">
        <f t="shared" si="27"/>
        <v>1.3116254824298685</v>
      </c>
      <c r="R48" s="10">
        <v>100</v>
      </c>
      <c r="S48" s="10">
        <v>100</v>
      </c>
      <c r="T48" s="10">
        <v>67168</v>
      </c>
      <c r="U48" s="18">
        <v>7247948317</v>
      </c>
      <c r="V48" s="18">
        <v>7463321582</v>
      </c>
    </row>
    <row r="49" spans="1:22">
      <c r="A49" s="145">
        <v>42</v>
      </c>
      <c r="B49" s="19" t="s">
        <v>242</v>
      </c>
      <c r="C49" s="19" t="s">
        <v>243</v>
      </c>
      <c r="D49" s="10">
        <v>5850651239.9199991</v>
      </c>
      <c r="E49" s="10">
        <v>83379118.309999943</v>
      </c>
      <c r="F49" s="10">
        <v>0</v>
      </c>
      <c r="G49" s="10">
        <v>7637621.8099999996</v>
      </c>
      <c r="H49" s="12">
        <f>(E49+F49)-G49</f>
        <v>75741496.49999994</v>
      </c>
      <c r="I49" s="170">
        <v>5409234993.5900002</v>
      </c>
      <c r="J49" s="13">
        <f t="shared" si="21"/>
        <v>8.9986718949323929E-4</v>
      </c>
      <c r="K49" s="43">
        <v>6255663579.8000002</v>
      </c>
      <c r="L49" s="13">
        <f t="shared" si="22"/>
        <v>9.9881038255371759E-4</v>
      </c>
      <c r="M49" s="13">
        <f t="shared" si="23"/>
        <v>0.1564784275804299</v>
      </c>
      <c r="N49" s="20">
        <f t="shared" si="24"/>
        <v>1.2209131313682604E-3</v>
      </c>
      <c r="O49" s="21">
        <f t="shared" si="25"/>
        <v>1.2107667801154593E-2</v>
      </c>
      <c r="P49" s="24">
        <f t="shared" si="26"/>
        <v>1.0052134786539673</v>
      </c>
      <c r="Q49" s="24">
        <f t="shared" si="27"/>
        <v>1.2170790868785239E-2</v>
      </c>
      <c r="R49" s="10">
        <v>1</v>
      </c>
      <c r="S49" s="10">
        <v>1</v>
      </c>
      <c r="T49" s="10">
        <v>1028</v>
      </c>
      <c r="U49" s="18">
        <v>5711599022.6599998</v>
      </c>
      <c r="V49" s="18">
        <v>6223218960.5900002</v>
      </c>
    </row>
    <row r="50" spans="1:22">
      <c r="A50" s="121">
        <v>43</v>
      </c>
      <c r="B50" s="19" t="s">
        <v>294</v>
      </c>
      <c r="C50" s="19" t="s">
        <v>295</v>
      </c>
      <c r="D50" s="10">
        <v>7398998.5899999999</v>
      </c>
      <c r="E50" s="10">
        <v>188791.45</v>
      </c>
      <c r="F50" s="10">
        <v>0</v>
      </c>
      <c r="G50" s="10">
        <v>90000</v>
      </c>
      <c r="H50" s="12">
        <f t="shared" si="20"/>
        <v>98791.450000000012</v>
      </c>
      <c r="I50" s="43">
        <v>63310000</v>
      </c>
      <c r="J50" s="13">
        <f t="shared" si="21"/>
        <v>1.0532097761389128E-5</v>
      </c>
      <c r="K50" s="43">
        <v>63510000</v>
      </c>
      <c r="L50" s="13">
        <f t="shared" si="22"/>
        <v>1.0140322699069228E-5</v>
      </c>
      <c r="M50" s="13">
        <f t="shared" si="23"/>
        <v>3.15905860053704E-3</v>
      </c>
      <c r="N50" s="20">
        <f t="shared" si="24"/>
        <v>1.4170996693434106E-3</v>
      </c>
      <c r="O50" s="21">
        <f t="shared" si="25"/>
        <v>1.5555259014328453E-3</v>
      </c>
      <c r="P50" s="24">
        <f t="shared" si="26"/>
        <v>0.98293492792793313</v>
      </c>
      <c r="Q50" s="24">
        <f t="shared" si="27"/>
        <v>1.5289807398149271E-3</v>
      </c>
      <c r="R50" s="10">
        <v>1</v>
      </c>
      <c r="S50" s="10">
        <v>1</v>
      </c>
      <c r="T50" s="10">
        <v>30</v>
      </c>
      <c r="U50" s="18">
        <v>1000000000</v>
      </c>
      <c r="V50" s="18">
        <v>64612619</v>
      </c>
    </row>
    <row r="51" spans="1:22" ht="15.6" customHeight="1">
      <c r="A51" s="145">
        <v>44</v>
      </c>
      <c r="B51" s="19" t="s">
        <v>68</v>
      </c>
      <c r="C51" s="19" t="s">
        <v>69</v>
      </c>
      <c r="D51" s="10">
        <v>2138270468.76</v>
      </c>
      <c r="E51" s="10">
        <v>31144943.5</v>
      </c>
      <c r="F51" s="10">
        <v>0</v>
      </c>
      <c r="G51" s="10">
        <v>1824528.06</v>
      </c>
      <c r="H51" s="12">
        <f t="shared" si="20"/>
        <v>29320415.440000001</v>
      </c>
      <c r="I51" s="170">
        <v>2109805711.1500001</v>
      </c>
      <c r="J51" s="13">
        <f t="shared" si="21"/>
        <v>3.509821514353011E-4</v>
      </c>
      <c r="K51" s="43">
        <v>2096910131.98</v>
      </c>
      <c r="L51" s="13">
        <f t="shared" si="22"/>
        <v>3.3480310831719484E-4</v>
      </c>
      <c r="M51" s="13">
        <f t="shared" si="23"/>
        <v>-6.1122117083335752E-3</v>
      </c>
      <c r="N51" s="20">
        <f t="shared" si="24"/>
        <v>8.7010312562951656E-4</v>
      </c>
      <c r="O51" s="21">
        <f t="shared" si="25"/>
        <v>1.3982676220994888E-2</v>
      </c>
      <c r="P51" s="24">
        <f t="shared" si="26"/>
        <v>9.9144996948666595</v>
      </c>
      <c r="Q51" s="24">
        <f t="shared" si="27"/>
        <v>0.13863123912647313</v>
      </c>
      <c r="R51" s="10">
        <v>10</v>
      </c>
      <c r="S51" s="10">
        <v>10</v>
      </c>
      <c r="T51" s="10">
        <v>583</v>
      </c>
      <c r="U51" s="18">
        <v>212006919</v>
      </c>
      <c r="V51" s="18">
        <v>211499339</v>
      </c>
    </row>
    <row r="52" spans="1:22">
      <c r="A52" s="121">
        <v>45</v>
      </c>
      <c r="B52" s="19" t="s">
        <v>70</v>
      </c>
      <c r="C52" s="19" t="s">
        <v>71</v>
      </c>
      <c r="D52" s="10">
        <v>4490119046.7600002</v>
      </c>
      <c r="E52" s="10">
        <v>595997030.70000005</v>
      </c>
      <c r="F52" s="10">
        <v>0</v>
      </c>
      <c r="G52" s="10">
        <v>26042148.949999999</v>
      </c>
      <c r="H52" s="12">
        <f t="shared" si="20"/>
        <v>569954881.75</v>
      </c>
      <c r="I52" s="170">
        <v>13374498396.16</v>
      </c>
      <c r="J52" s="13">
        <f t="shared" si="21"/>
        <v>2.2249490541446726E-3</v>
      </c>
      <c r="K52" s="43">
        <v>14913289221.450001</v>
      </c>
      <c r="L52" s="13">
        <f t="shared" si="22"/>
        <v>2.3811299828381972E-3</v>
      </c>
      <c r="M52" s="13">
        <f t="shared" si="23"/>
        <v>0.11505409621431549</v>
      </c>
      <c r="N52" s="20">
        <f t="shared" si="24"/>
        <v>1.746237772452183E-3</v>
      </c>
      <c r="O52" s="21">
        <f t="shared" si="25"/>
        <v>3.8217919151613156E-2</v>
      </c>
      <c r="P52" s="24">
        <f t="shared" si="26"/>
        <v>98.505592347561844</v>
      </c>
      <c r="Q52" s="24">
        <f t="shared" si="27"/>
        <v>3.7646787643208817</v>
      </c>
      <c r="R52" s="10">
        <v>100</v>
      </c>
      <c r="S52" s="10">
        <v>100</v>
      </c>
      <c r="T52" s="10">
        <v>1144</v>
      </c>
      <c r="U52" s="18">
        <v>132847603</v>
      </c>
      <c r="V52" s="18">
        <v>151395356</v>
      </c>
    </row>
    <row r="53" spans="1:22">
      <c r="A53" s="145">
        <v>46</v>
      </c>
      <c r="B53" s="72" t="s">
        <v>226</v>
      </c>
      <c r="C53" s="72" t="s">
        <v>204</v>
      </c>
      <c r="D53" s="10">
        <v>232720366.34999999</v>
      </c>
      <c r="E53" s="10">
        <v>2908155.84</v>
      </c>
      <c r="F53" s="10">
        <v>0</v>
      </c>
      <c r="G53" s="10">
        <v>264499.51</v>
      </c>
      <c r="H53" s="12">
        <f t="shared" si="20"/>
        <v>2643656.33</v>
      </c>
      <c r="I53" s="43">
        <v>162100932.87</v>
      </c>
      <c r="J53" s="13">
        <f t="shared" si="21"/>
        <v>2.6966717298992521E-5</v>
      </c>
      <c r="K53" s="43">
        <v>240389706.50999999</v>
      </c>
      <c r="L53" s="13">
        <f t="shared" si="22"/>
        <v>3.8381816998046646E-5</v>
      </c>
      <c r="M53" s="13">
        <f t="shared" si="23"/>
        <v>0.48296312830466676</v>
      </c>
      <c r="N53" s="20">
        <f t="shared" si="24"/>
        <v>1.1002946583696465E-3</v>
      </c>
      <c r="O53" s="21">
        <f t="shared" si="25"/>
        <v>1.099737741844627E-2</v>
      </c>
      <c r="P53" s="24">
        <f t="shared" si="26"/>
        <v>1.0657873328926768</v>
      </c>
      <c r="Q53" s="24">
        <f t="shared" si="27"/>
        <v>1.172086554762E-2</v>
      </c>
      <c r="R53" s="10">
        <v>1</v>
      </c>
      <c r="S53" s="10">
        <v>1</v>
      </c>
      <c r="T53" s="10">
        <v>166</v>
      </c>
      <c r="U53" s="18">
        <v>150123568.84</v>
      </c>
      <c r="V53" s="18">
        <v>225551288.78999999</v>
      </c>
    </row>
    <row r="54" spans="1:22">
      <c r="A54" s="121">
        <v>47</v>
      </c>
      <c r="B54" s="77" t="s">
        <v>244</v>
      </c>
      <c r="C54" s="77" t="s">
        <v>34</v>
      </c>
      <c r="D54" s="10">
        <v>5584856144.71</v>
      </c>
      <c r="E54" s="10">
        <v>79400790.129999995</v>
      </c>
      <c r="F54" s="10">
        <v>0</v>
      </c>
      <c r="G54" s="10">
        <v>6405157.0599999996</v>
      </c>
      <c r="H54" s="12">
        <f t="shared" si="20"/>
        <v>72995633.069999993</v>
      </c>
      <c r="I54" s="170">
        <v>4626237479.5600004</v>
      </c>
      <c r="J54" s="13">
        <f t="shared" si="21"/>
        <v>7.6960962568517401E-4</v>
      </c>
      <c r="K54" s="43">
        <v>5739760730.7700005</v>
      </c>
      <c r="L54" s="13">
        <f t="shared" si="22"/>
        <v>9.1643876594950738E-4</v>
      </c>
      <c r="M54" s="13">
        <f t="shared" si="23"/>
        <v>0.24069738229605689</v>
      </c>
      <c r="N54" s="20">
        <f t="shared" si="24"/>
        <v>1.1159275378262563E-3</v>
      </c>
      <c r="O54" s="21">
        <f t="shared" si="25"/>
        <v>1.27175393703576E-2</v>
      </c>
      <c r="P54" s="24">
        <f t="shared" si="26"/>
        <v>100.0000000134152</v>
      </c>
      <c r="Q54" s="24">
        <f t="shared" si="27"/>
        <v>1.2717539372063684</v>
      </c>
      <c r="R54" s="10">
        <v>100</v>
      </c>
      <c r="S54" s="10">
        <v>100</v>
      </c>
      <c r="T54" s="10">
        <v>23017</v>
      </c>
      <c r="U54" s="18">
        <v>46262374.789999999</v>
      </c>
      <c r="V54" s="18">
        <v>57397607.299999997</v>
      </c>
    </row>
    <row r="55" spans="1:22">
      <c r="A55" s="145">
        <v>48</v>
      </c>
      <c r="B55" s="77" t="s">
        <v>72</v>
      </c>
      <c r="C55" s="77" t="s">
        <v>34</v>
      </c>
      <c r="D55" s="10">
        <v>582272226306.79004</v>
      </c>
      <c r="E55" s="10">
        <v>8725249913.6499996</v>
      </c>
      <c r="F55" s="10">
        <v>0</v>
      </c>
      <c r="G55" s="10">
        <v>692728471.11000001</v>
      </c>
      <c r="H55" s="12">
        <f t="shared" si="20"/>
        <v>8032521442.54</v>
      </c>
      <c r="I55" s="170">
        <v>541150335249.94</v>
      </c>
      <c r="J55" s="13">
        <f t="shared" si="21"/>
        <v>9.0024454816946292E-2</v>
      </c>
      <c r="K55" s="43">
        <v>581461612985.53003</v>
      </c>
      <c r="L55" s="13">
        <f t="shared" si="22"/>
        <v>9.2839055153433742E-2</v>
      </c>
      <c r="M55" s="13">
        <f t="shared" si="23"/>
        <v>7.4491828073933536E-2</v>
      </c>
      <c r="N55" s="20">
        <f t="shared" si="24"/>
        <v>1.1913571861660263E-3</v>
      </c>
      <c r="O55" s="21">
        <f t="shared" si="25"/>
        <v>1.3814362398399451E-2</v>
      </c>
      <c r="P55" s="24">
        <f t="shared" si="26"/>
        <v>99.999999999919183</v>
      </c>
      <c r="Q55" s="24">
        <f t="shared" si="27"/>
        <v>1.3814362398388287</v>
      </c>
      <c r="R55" s="10">
        <v>100</v>
      </c>
      <c r="S55" s="10">
        <v>100</v>
      </c>
      <c r="T55" s="10">
        <v>59161</v>
      </c>
      <c r="U55" s="18">
        <v>5411503352.5</v>
      </c>
      <c r="V55" s="18">
        <v>5814616129.8599997</v>
      </c>
    </row>
    <row r="56" spans="1:22">
      <c r="A56" s="121">
        <v>49</v>
      </c>
      <c r="B56" s="19" t="s">
        <v>252</v>
      </c>
      <c r="C56" s="77" t="s">
        <v>253</v>
      </c>
      <c r="D56" s="10">
        <v>2822107212.2199998</v>
      </c>
      <c r="E56" s="10">
        <v>107594050.66</v>
      </c>
      <c r="F56" s="10">
        <v>0</v>
      </c>
      <c r="G56" s="10">
        <v>107594050.59</v>
      </c>
      <c r="H56" s="12">
        <f t="shared" si="20"/>
        <v>6.9999992847442627E-2</v>
      </c>
      <c r="I56" s="170">
        <v>6258733302.1700001</v>
      </c>
      <c r="J56" s="13">
        <f t="shared" si="21"/>
        <v>1.0411876638906372E-3</v>
      </c>
      <c r="K56" s="43">
        <v>6866405248.5299997</v>
      </c>
      <c r="L56" s="13">
        <f t="shared" si="22"/>
        <v>1.0963244371386684E-3</v>
      </c>
      <c r="M56" s="13">
        <f t="shared" si="23"/>
        <v>9.7091842234164283E-2</v>
      </c>
      <c r="N56" s="20">
        <f t="shared" si="24"/>
        <v>1.5669633046059197E-2</v>
      </c>
      <c r="O56" s="21">
        <f t="shared" si="25"/>
        <v>1.0194561828757287E-11</v>
      </c>
      <c r="P56" s="24">
        <f t="shared" si="26"/>
        <v>100.00828144563179</v>
      </c>
      <c r="Q56" s="24">
        <f t="shared" si="27"/>
        <v>1.0195406085852536E-9</v>
      </c>
      <c r="R56" s="10">
        <v>100</v>
      </c>
      <c r="S56" s="10">
        <v>100</v>
      </c>
      <c r="T56" s="10">
        <v>1202</v>
      </c>
      <c r="U56" s="18">
        <v>62589234.119999997</v>
      </c>
      <c r="V56" s="18">
        <v>68658366.579999998</v>
      </c>
    </row>
    <row r="57" spans="1:22">
      <c r="A57" s="145">
        <v>50</v>
      </c>
      <c r="B57" s="122" t="s">
        <v>73</v>
      </c>
      <c r="C57" s="19" t="s">
        <v>37</v>
      </c>
      <c r="D57" s="171">
        <v>121357373325.99001</v>
      </c>
      <c r="E57" s="171">
        <v>1735694900.4100001</v>
      </c>
      <c r="F57" s="10">
        <v>0</v>
      </c>
      <c r="G57" s="171">
        <v>165027158.47999999</v>
      </c>
      <c r="H57" s="12">
        <f t="shared" si="20"/>
        <v>1570667741.9300001</v>
      </c>
      <c r="I57" s="170">
        <v>122644835945.45</v>
      </c>
      <c r="J57" s="13">
        <f t="shared" si="21"/>
        <v>2.0402896890017546E-2</v>
      </c>
      <c r="K57" s="170">
        <v>122644835945.45</v>
      </c>
      <c r="L57" s="13">
        <f t="shared" si="22"/>
        <v>1.9582084929322438E-2</v>
      </c>
      <c r="M57" s="13">
        <f t="shared" si="23"/>
        <v>0</v>
      </c>
      <c r="N57" s="20">
        <f t="shared" si="24"/>
        <v>1.3455695644079202E-3</v>
      </c>
      <c r="O57" s="21">
        <f t="shared" si="25"/>
        <v>1.280663576107356E-2</v>
      </c>
      <c r="P57" s="24">
        <f t="shared" si="26"/>
        <v>10.009798439032483</v>
      </c>
      <c r="Q57" s="24">
        <f t="shared" si="27"/>
        <v>0.12819184265045169</v>
      </c>
      <c r="R57" s="10">
        <v>10</v>
      </c>
      <c r="S57" s="10">
        <v>10</v>
      </c>
      <c r="T57" s="10">
        <v>12041</v>
      </c>
      <c r="U57" s="175">
        <v>11739765903.690001</v>
      </c>
      <c r="V57" s="175">
        <v>12252478078.6</v>
      </c>
    </row>
    <row r="58" spans="1:22">
      <c r="A58" s="121">
        <v>51</v>
      </c>
      <c r="B58" s="19" t="s">
        <v>316</v>
      </c>
      <c r="C58" s="19" t="s">
        <v>320</v>
      </c>
      <c r="D58" s="10">
        <v>648016348.01999998</v>
      </c>
      <c r="E58" s="10">
        <v>216069.62</v>
      </c>
      <c r="F58" s="10">
        <v>0</v>
      </c>
      <c r="G58" s="10">
        <v>15004607.85</v>
      </c>
      <c r="H58" s="12">
        <f t="shared" si="20"/>
        <v>-14788538.23</v>
      </c>
      <c r="I58" s="170">
        <v>560689101.29999995</v>
      </c>
      <c r="J58" s="13">
        <f t="shared" si="21"/>
        <v>9.3274876459279924E-5</v>
      </c>
      <c r="K58" s="43">
        <v>652383499.14999998</v>
      </c>
      <c r="L58" s="13">
        <f t="shared" si="22"/>
        <v>1.0416279648762329E-4</v>
      </c>
      <c r="M58" s="13">
        <f t="shared" si="23"/>
        <v>0.16353875550175606</v>
      </c>
      <c r="N58" s="20">
        <f t="shared" si="24"/>
        <v>2.2999674071385503E-2</v>
      </c>
      <c r="O58" s="21">
        <f t="shared" si="25"/>
        <v>-2.2668473757028195E-2</v>
      </c>
      <c r="P58" s="24">
        <f t="shared" si="26"/>
        <v>1.0003558976795988</v>
      </c>
      <c r="Q58" s="24">
        <f t="shared" si="27"/>
        <v>-2.2676541414238367E-2</v>
      </c>
      <c r="R58" s="10">
        <v>1</v>
      </c>
      <c r="S58" s="10">
        <v>1</v>
      </c>
      <c r="T58" s="10">
        <v>375</v>
      </c>
      <c r="U58" s="18">
        <v>544761238.02999997</v>
      </c>
      <c r="V58" s="18">
        <v>652151399.98000002</v>
      </c>
    </row>
    <row r="59" spans="1:22" ht="14.1" customHeight="1">
      <c r="A59" s="145">
        <v>52</v>
      </c>
      <c r="B59" s="19" t="s">
        <v>74</v>
      </c>
      <c r="C59" s="19" t="s">
        <v>237</v>
      </c>
      <c r="D59" s="10">
        <v>19606082418.119999</v>
      </c>
      <c r="E59" s="10">
        <v>649654802.07000005</v>
      </c>
      <c r="F59" s="10">
        <v>109340851.15000001</v>
      </c>
      <c r="G59" s="10">
        <v>62397560.18</v>
      </c>
      <c r="H59" s="12">
        <f t="shared" si="20"/>
        <v>696598093.04000008</v>
      </c>
      <c r="I59" s="170">
        <v>46295521705</v>
      </c>
      <c r="J59" s="13">
        <f t="shared" si="21"/>
        <v>7.701610496154988E-3</v>
      </c>
      <c r="K59" s="43">
        <v>49021518348</v>
      </c>
      <c r="L59" s="13">
        <f t="shared" si="22"/>
        <v>7.8270196071022358E-3</v>
      </c>
      <c r="M59" s="13">
        <f t="shared" si="23"/>
        <v>5.8882512662247144E-2</v>
      </c>
      <c r="N59" s="20">
        <f t="shared" si="24"/>
        <v>1.2728606188214021E-3</v>
      </c>
      <c r="O59" s="21">
        <f t="shared" si="25"/>
        <v>1.4210047271382E-2</v>
      </c>
      <c r="P59" s="24">
        <f t="shared" si="26"/>
        <v>100</v>
      </c>
      <c r="Q59" s="24">
        <f t="shared" si="27"/>
        <v>1.4210047271382</v>
      </c>
      <c r="R59" s="10">
        <v>100</v>
      </c>
      <c r="S59" s="10">
        <v>100</v>
      </c>
      <c r="T59" s="10">
        <v>7085</v>
      </c>
      <c r="U59" s="18">
        <v>462955217.05000001</v>
      </c>
      <c r="V59" s="18">
        <v>490215183.48000002</v>
      </c>
    </row>
    <row r="60" spans="1:22">
      <c r="A60" s="121">
        <v>53</v>
      </c>
      <c r="B60" s="19" t="s">
        <v>75</v>
      </c>
      <c r="C60" s="77" t="s">
        <v>76</v>
      </c>
      <c r="D60" s="10">
        <v>212854105.56999999</v>
      </c>
      <c r="E60" s="10">
        <v>7515498.0099999998</v>
      </c>
      <c r="F60" s="10">
        <v>0</v>
      </c>
      <c r="G60" s="10">
        <v>67437.89</v>
      </c>
      <c r="H60" s="12">
        <f t="shared" si="20"/>
        <v>7448060.1200000001</v>
      </c>
      <c r="I60" s="43">
        <v>178725572.81999999</v>
      </c>
      <c r="J60" s="13">
        <f t="shared" si="21"/>
        <v>2.9732352004430764E-5</v>
      </c>
      <c r="K60" s="43">
        <v>200644950.75</v>
      </c>
      <c r="L60" s="13">
        <f t="shared" si="22"/>
        <v>3.2035971477623248E-5</v>
      </c>
      <c r="M60" s="13">
        <f t="shared" si="23"/>
        <v>0.12264265031661521</v>
      </c>
      <c r="N60" s="20">
        <f t="shared" si="24"/>
        <v>3.361055922310569E-4</v>
      </c>
      <c r="O60" s="21">
        <f t="shared" si="25"/>
        <v>3.7120595819429066E-2</v>
      </c>
      <c r="P60" s="24">
        <f t="shared" si="26"/>
        <v>1.0087513290438395</v>
      </c>
      <c r="Q60" s="24">
        <f t="shared" si="27"/>
        <v>3.7445450367748261E-2</v>
      </c>
      <c r="R60" s="10">
        <v>1.01</v>
      </c>
      <c r="S60" s="10">
        <v>1.01</v>
      </c>
      <c r="T60" s="10">
        <v>145</v>
      </c>
      <c r="U60" s="18">
        <v>174999274</v>
      </c>
      <c r="V60" s="18">
        <v>198904274</v>
      </c>
    </row>
    <row r="61" spans="1:22" ht="15" customHeight="1">
      <c r="A61" s="145">
        <v>54</v>
      </c>
      <c r="B61" s="77" t="s">
        <v>77</v>
      </c>
      <c r="C61" s="77" t="s">
        <v>39</v>
      </c>
      <c r="D61" s="10">
        <v>3002145789.4899998</v>
      </c>
      <c r="E61" s="10">
        <v>61588198.990000002</v>
      </c>
      <c r="F61" s="10">
        <v>0</v>
      </c>
      <c r="G61" s="10">
        <v>4000876.88</v>
      </c>
      <c r="H61" s="12">
        <f t="shared" si="20"/>
        <v>57587322.109999999</v>
      </c>
      <c r="I61" s="170">
        <v>2917101534.25</v>
      </c>
      <c r="J61" s="13">
        <f t="shared" si="21"/>
        <v>4.8528192289716028E-4</v>
      </c>
      <c r="K61" s="43">
        <v>3083979105.71</v>
      </c>
      <c r="L61" s="13">
        <f t="shared" si="22"/>
        <v>4.9240345345750796E-4</v>
      </c>
      <c r="M61" s="13">
        <f t="shared" si="23"/>
        <v>5.7206637993457779E-2</v>
      </c>
      <c r="N61" s="20">
        <f t="shared" si="24"/>
        <v>1.2973099826105695E-3</v>
      </c>
      <c r="O61" s="21">
        <f t="shared" si="25"/>
        <v>1.8673058453404185E-2</v>
      </c>
      <c r="P61" s="24">
        <f t="shared" si="26"/>
        <v>10.584031287210827</v>
      </c>
      <c r="Q61" s="24">
        <f t="shared" si="27"/>
        <v>0.19763623489874652</v>
      </c>
      <c r="R61" s="10">
        <v>10</v>
      </c>
      <c r="S61" s="10">
        <v>10</v>
      </c>
      <c r="T61" s="10">
        <v>1055</v>
      </c>
      <c r="U61" s="18">
        <v>275051850.04000002</v>
      </c>
      <c r="V61" s="18">
        <v>291380384.47000003</v>
      </c>
    </row>
    <row r="62" spans="1:22" ht="15" customHeight="1">
      <c r="A62" s="121">
        <v>55</v>
      </c>
      <c r="B62" s="10" t="s">
        <v>187</v>
      </c>
      <c r="C62" s="10" t="s">
        <v>188</v>
      </c>
      <c r="D62" s="10">
        <v>1315705135.04</v>
      </c>
      <c r="E62" s="10">
        <v>38187065.840000004</v>
      </c>
      <c r="F62" s="10">
        <v>0</v>
      </c>
      <c r="G62" s="10">
        <v>4380480.7699999996</v>
      </c>
      <c r="H62" s="12">
        <f t="shared" si="20"/>
        <v>33806585.070000008</v>
      </c>
      <c r="I62" s="170">
        <v>2177571765</v>
      </c>
      <c r="J62" s="13">
        <f t="shared" si="21"/>
        <v>3.6225554748729543E-4</v>
      </c>
      <c r="K62" s="43">
        <v>1700540419</v>
      </c>
      <c r="L62" s="13">
        <f t="shared" si="22"/>
        <v>2.7151674714958896E-4</v>
      </c>
      <c r="M62" s="13">
        <f t="shared" si="23"/>
        <v>-0.21906572893132639</v>
      </c>
      <c r="N62" s="20">
        <f t="shared" si="24"/>
        <v>2.5759345212011684E-3</v>
      </c>
      <c r="O62" s="21">
        <f t="shared" si="25"/>
        <v>1.9879906818021952E-2</v>
      </c>
      <c r="P62" s="24">
        <f t="shared" si="26"/>
        <v>0.70076263311739706</v>
      </c>
      <c r="Q62" s="24">
        <f t="shared" si="27"/>
        <v>1.3931095847925557E-2</v>
      </c>
      <c r="R62" s="10">
        <v>1</v>
      </c>
      <c r="S62" s="10">
        <v>1</v>
      </c>
      <c r="T62" s="10">
        <v>322</v>
      </c>
      <c r="U62" s="18">
        <v>2177571765</v>
      </c>
      <c r="V62" s="18">
        <v>2426699625</v>
      </c>
    </row>
    <row r="63" spans="1:22" ht="15" customHeight="1">
      <c r="A63" s="145">
        <v>56</v>
      </c>
      <c r="B63" s="10" t="s">
        <v>271</v>
      </c>
      <c r="C63" s="10" t="s">
        <v>272</v>
      </c>
      <c r="D63" s="10">
        <v>1541912869.29</v>
      </c>
      <c r="E63" s="10">
        <v>37237758.590000004</v>
      </c>
      <c r="F63" s="10">
        <v>0</v>
      </c>
      <c r="G63" s="10">
        <v>3353883.74</v>
      </c>
      <c r="H63" s="12">
        <f t="shared" si="20"/>
        <v>33883874.850000001</v>
      </c>
      <c r="I63" s="43">
        <v>2427364830.9000001</v>
      </c>
      <c r="J63" s="13">
        <f t="shared" si="21"/>
        <v>4.0381051495177051E-4</v>
      </c>
      <c r="K63" s="43">
        <v>2367103578.4400001</v>
      </c>
      <c r="L63" s="13">
        <f t="shared" si="22"/>
        <v>3.7794353877347077E-4</v>
      </c>
      <c r="M63" s="13">
        <f t="shared" si="23"/>
        <v>-2.4825791200763513E-2</v>
      </c>
      <c r="N63" s="20">
        <f t="shared" si="24"/>
        <v>1.4168724049711087E-3</v>
      </c>
      <c r="O63" s="21">
        <f t="shared" si="25"/>
        <v>1.431448761204214E-2</v>
      </c>
      <c r="P63" s="24">
        <f t="shared" si="26"/>
        <v>1</v>
      </c>
      <c r="Q63" s="24">
        <f t="shared" si="27"/>
        <v>1.431448761204214E-2</v>
      </c>
      <c r="R63" s="10">
        <v>1</v>
      </c>
      <c r="S63" s="10">
        <v>1</v>
      </c>
      <c r="T63" s="10">
        <v>3639</v>
      </c>
      <c r="U63" s="18">
        <v>2360275837.2399998</v>
      </c>
      <c r="V63" s="18">
        <v>2367103578.4400001</v>
      </c>
    </row>
    <row r="64" spans="1:22" ht="15" customHeight="1">
      <c r="A64" s="121">
        <v>57</v>
      </c>
      <c r="B64" s="183" t="s">
        <v>331</v>
      </c>
      <c r="C64" s="144" t="s">
        <v>240</v>
      </c>
      <c r="D64" s="10">
        <f>190596344+186745019.47</f>
        <v>377341363.47000003</v>
      </c>
      <c r="E64" s="10">
        <v>5125562.7500000009</v>
      </c>
      <c r="F64" s="10">
        <v>0</v>
      </c>
      <c r="G64" s="10">
        <v>523270.38000000006</v>
      </c>
      <c r="H64" s="12">
        <f t="shared" si="20"/>
        <v>4602292.370000001</v>
      </c>
      <c r="I64" s="43">
        <v>0</v>
      </c>
      <c r="J64" s="13">
        <f t="shared" si="21"/>
        <v>0</v>
      </c>
      <c r="K64" s="43">
        <v>371782905.52999997</v>
      </c>
      <c r="L64" s="13">
        <f t="shared" si="22"/>
        <v>5.9360709117804584E-5</v>
      </c>
      <c r="M64" s="13" t="e">
        <f t="shared" si="23"/>
        <v>#DIV/0!</v>
      </c>
      <c r="N64" s="20">
        <f t="shared" si="24"/>
        <v>1.4074621834859382E-3</v>
      </c>
      <c r="O64" s="21">
        <f t="shared" si="25"/>
        <v>1.2378977896896962E-2</v>
      </c>
      <c r="P64" s="24">
        <f t="shared" si="26"/>
        <v>1.0005856864161111</v>
      </c>
      <c r="Q64" s="24">
        <f t="shared" si="27"/>
        <v>1.2386228096096514E-2</v>
      </c>
      <c r="R64" s="10">
        <v>1</v>
      </c>
      <c r="S64" s="10">
        <v>1</v>
      </c>
      <c r="T64" s="10">
        <v>53</v>
      </c>
      <c r="U64" s="18">
        <v>371782905.52999997</v>
      </c>
      <c r="V64" s="18">
        <v>371565284.79000002</v>
      </c>
    </row>
    <row r="65" spans="1:23" ht="15" customHeight="1">
      <c r="A65" s="145">
        <v>58</v>
      </c>
      <c r="B65" s="72" t="s">
        <v>189</v>
      </c>
      <c r="C65" s="73" t="s">
        <v>190</v>
      </c>
      <c r="D65" s="10">
        <v>25567568564.950001</v>
      </c>
      <c r="E65" s="10">
        <v>335739830.30739999</v>
      </c>
      <c r="F65" s="10">
        <v>0</v>
      </c>
      <c r="G65" s="10">
        <f>E65-307970000</f>
        <v>27769830.307399988</v>
      </c>
      <c r="H65" s="12">
        <f t="shared" si="20"/>
        <v>307970000</v>
      </c>
      <c r="I65" s="43">
        <v>20714032794.939999</v>
      </c>
      <c r="J65" s="13">
        <f t="shared" si="21"/>
        <v>3.4459361622007352E-3</v>
      </c>
      <c r="K65" s="43">
        <v>25590361159.630001</v>
      </c>
      <c r="L65" s="13">
        <f t="shared" si="22"/>
        <v>4.0858844299224628E-3</v>
      </c>
      <c r="M65" s="13">
        <f t="shared" si="23"/>
        <v>0.23541182989153067</v>
      </c>
      <c r="N65" s="20">
        <f t="shared" si="24"/>
        <v>1.0851675806439263E-3</v>
      </c>
      <c r="O65" s="21">
        <f t="shared" si="25"/>
        <v>1.2034609362443745E-2</v>
      </c>
      <c r="P65" s="24">
        <f t="shared" si="26"/>
        <v>99.998592359454904</v>
      </c>
      <c r="Q65" s="24">
        <f t="shared" si="27"/>
        <v>1.2034439958402916</v>
      </c>
      <c r="R65" s="10">
        <v>100</v>
      </c>
      <c r="S65" s="10">
        <v>100</v>
      </c>
      <c r="T65" s="10">
        <v>204</v>
      </c>
      <c r="U65" s="18">
        <v>207974944.88999999</v>
      </c>
      <c r="V65" s="18">
        <v>255907213.84999999</v>
      </c>
    </row>
    <row r="66" spans="1:23" ht="15" customHeight="1">
      <c r="A66" s="121">
        <v>59</v>
      </c>
      <c r="B66" s="72" t="s">
        <v>191</v>
      </c>
      <c r="C66" s="73" t="s">
        <v>101</v>
      </c>
      <c r="D66" s="10">
        <v>521199844.60000002</v>
      </c>
      <c r="E66" s="10">
        <v>8425488.9399999995</v>
      </c>
      <c r="F66" s="10">
        <v>0</v>
      </c>
      <c r="G66" s="10">
        <v>562418.75</v>
      </c>
      <c r="H66" s="12">
        <f t="shared" si="20"/>
        <v>7863070.1899999995</v>
      </c>
      <c r="I66" s="170">
        <v>429235000</v>
      </c>
      <c r="J66" s="13">
        <f t="shared" si="21"/>
        <v>7.1406491590741787E-5</v>
      </c>
      <c r="K66" s="43">
        <v>498378500</v>
      </c>
      <c r="L66" s="13">
        <f t="shared" si="22"/>
        <v>7.9573591816691429E-5</v>
      </c>
      <c r="M66" s="13">
        <f t="shared" si="23"/>
        <v>0.16108541940894847</v>
      </c>
      <c r="N66" s="20">
        <f t="shared" si="24"/>
        <v>1.128497216473022E-3</v>
      </c>
      <c r="O66" s="21">
        <f t="shared" si="25"/>
        <v>1.5777306183954565E-2</v>
      </c>
      <c r="P66" s="24">
        <f t="shared" si="26"/>
        <v>1000</v>
      </c>
      <c r="Q66" s="24">
        <f t="shared" si="27"/>
        <v>15.777306183954563</v>
      </c>
      <c r="R66" s="10">
        <v>1000</v>
      </c>
      <c r="S66" s="10">
        <v>1000</v>
      </c>
      <c r="T66" s="10">
        <v>63</v>
      </c>
      <c r="U66" s="18">
        <v>429235</v>
      </c>
      <c r="V66" s="18">
        <v>498378.5</v>
      </c>
    </row>
    <row r="67" spans="1:23" ht="15" customHeight="1">
      <c r="A67" s="145">
        <v>60</v>
      </c>
      <c r="B67" s="72" t="s">
        <v>300</v>
      </c>
      <c r="C67" s="72" t="s">
        <v>30</v>
      </c>
      <c r="D67" s="10">
        <v>3509713254.3899999</v>
      </c>
      <c r="E67" s="10">
        <v>44864810.869999997</v>
      </c>
      <c r="F67" s="10">
        <v>0</v>
      </c>
      <c r="G67" s="10">
        <v>43030283.159999996</v>
      </c>
      <c r="H67" s="12">
        <f t="shared" si="20"/>
        <v>1834527.7100000009</v>
      </c>
      <c r="I67" s="170">
        <v>2730464826.3800001</v>
      </c>
      <c r="J67" s="13">
        <f t="shared" si="21"/>
        <v>4.5423349368928375E-4</v>
      </c>
      <c r="K67" s="43">
        <v>3003591870.25</v>
      </c>
      <c r="L67" s="13">
        <f t="shared" si="22"/>
        <v>4.795684273442902E-4</v>
      </c>
      <c r="M67" s="13">
        <f t="shared" si="23"/>
        <v>0.1000295045851613</v>
      </c>
      <c r="N67" s="20">
        <f t="shared" si="24"/>
        <v>1.4326275012995833E-2</v>
      </c>
      <c r="O67" s="21">
        <f t="shared" si="25"/>
        <v>6.1077795827410683E-4</v>
      </c>
      <c r="P67" s="24">
        <f t="shared" si="26"/>
        <v>1.0998703929199949</v>
      </c>
      <c r="Q67" s="24">
        <f t="shared" si="27"/>
        <v>6.717765929538141E-4</v>
      </c>
      <c r="R67" s="10">
        <v>1</v>
      </c>
      <c r="S67" s="10">
        <v>1</v>
      </c>
      <c r="T67" s="10">
        <v>3112</v>
      </c>
      <c r="U67" s="18">
        <v>2730859826.3800001</v>
      </c>
      <c r="V67" s="18">
        <v>2730859826.3800001</v>
      </c>
    </row>
    <row r="68" spans="1:23">
      <c r="A68" s="121">
        <v>61</v>
      </c>
      <c r="B68" s="19" t="s">
        <v>78</v>
      </c>
      <c r="C68" s="19" t="s">
        <v>43</v>
      </c>
      <c r="D68" s="10">
        <v>2975483166637.96</v>
      </c>
      <c r="E68" s="10">
        <v>42637429566.059998</v>
      </c>
      <c r="F68" s="10">
        <v>0</v>
      </c>
      <c r="G68" s="10">
        <v>4807394861.4099998</v>
      </c>
      <c r="H68" s="12">
        <f t="shared" si="20"/>
        <v>37830034704.649994</v>
      </c>
      <c r="I68" s="170">
        <v>2869358488985.4702</v>
      </c>
      <c r="J68" s="13">
        <f t="shared" si="21"/>
        <v>0.47733950589901697</v>
      </c>
      <c r="K68" s="43">
        <v>2970412364614.0801</v>
      </c>
      <c r="L68" s="13">
        <f t="shared" si="22"/>
        <v>0.47427082233494028</v>
      </c>
      <c r="M68" s="13">
        <f t="shared" si="23"/>
        <v>3.5218281722734432E-2</v>
      </c>
      <c r="N68" s="20">
        <f t="shared" si="24"/>
        <v>1.6184267607688143E-3</v>
      </c>
      <c r="O68" s="21">
        <f t="shared" si="25"/>
        <v>1.2735617167269947E-2</v>
      </c>
      <c r="P68" s="24">
        <f t="shared" si="26"/>
        <v>0.99999999999568745</v>
      </c>
      <c r="Q68" s="24">
        <f t="shared" si="27"/>
        <v>1.2735617167215024E-2</v>
      </c>
      <c r="R68" s="10">
        <v>100</v>
      </c>
      <c r="S68" s="10">
        <v>100</v>
      </c>
      <c r="T68" s="10">
        <v>360211</v>
      </c>
      <c r="U68" s="18">
        <v>2869358488985.48</v>
      </c>
      <c r="V68" s="18">
        <v>2970412364626.8901</v>
      </c>
    </row>
    <row r="69" spans="1:23">
      <c r="A69" s="145">
        <v>62</v>
      </c>
      <c r="B69" s="19" t="s">
        <v>273</v>
      </c>
      <c r="C69" s="19" t="s">
        <v>274</v>
      </c>
      <c r="D69" s="10">
        <v>6481818532.7399998</v>
      </c>
      <c r="E69" s="10">
        <v>682544977.50999999</v>
      </c>
      <c r="F69" s="10">
        <v>0</v>
      </c>
      <c r="G69" s="10">
        <v>95008237.329999998</v>
      </c>
      <c r="H69" s="12">
        <f t="shared" si="20"/>
        <v>587536740.17999995</v>
      </c>
      <c r="I69" s="43">
        <v>16387797180.610001</v>
      </c>
      <c r="J69" s="13">
        <f t="shared" si="21"/>
        <v>2.726234117832912E-3</v>
      </c>
      <c r="K69" s="43">
        <v>16387797180.610001</v>
      </c>
      <c r="L69" s="13">
        <f t="shared" si="22"/>
        <v>2.6165572624513036E-3</v>
      </c>
      <c r="M69" s="13">
        <f t="shared" si="23"/>
        <v>0</v>
      </c>
      <c r="N69" s="20">
        <f t="shared" si="24"/>
        <v>5.797498973346674E-3</v>
      </c>
      <c r="O69" s="21">
        <f t="shared" si="25"/>
        <v>3.5852087605475855E-2</v>
      </c>
      <c r="P69" s="24">
        <f t="shared" si="26"/>
        <v>99.999999997620179</v>
      </c>
      <c r="Q69" s="24">
        <f t="shared" si="27"/>
        <v>3.585208760462264</v>
      </c>
      <c r="R69" s="10">
        <v>100</v>
      </c>
      <c r="S69" s="10">
        <v>100</v>
      </c>
      <c r="T69" s="10">
        <v>1588</v>
      </c>
      <c r="U69" s="18">
        <v>153198348.97999999</v>
      </c>
      <c r="V69" s="18">
        <v>163877971.81</v>
      </c>
    </row>
    <row r="70" spans="1:23">
      <c r="A70" s="121">
        <v>63</v>
      </c>
      <c r="B70" s="19" t="s">
        <v>79</v>
      </c>
      <c r="C70" s="19" t="s">
        <v>80</v>
      </c>
      <c r="D70" s="10">
        <v>18147213519.080002</v>
      </c>
      <c r="E70" s="10">
        <v>308333878.72000003</v>
      </c>
      <c r="F70" s="10">
        <v>0</v>
      </c>
      <c r="G70" s="10">
        <v>27232335.739999998</v>
      </c>
      <c r="H70" s="12">
        <f t="shared" si="20"/>
        <v>281101542.98000002</v>
      </c>
      <c r="I70" s="170">
        <v>18007306030.029999</v>
      </c>
      <c r="J70" s="13">
        <f t="shared" si="21"/>
        <v>2.9956516747358698E-3</v>
      </c>
      <c r="K70" s="43">
        <v>18131419932.439999</v>
      </c>
      <c r="L70" s="13">
        <f t="shared" si="22"/>
        <v>2.8949527492879478E-3</v>
      </c>
      <c r="M70" s="13">
        <f t="shared" si="23"/>
        <v>6.892419232672589E-3</v>
      </c>
      <c r="N70" s="20">
        <f t="shared" si="24"/>
        <v>1.5019417034888157E-3</v>
      </c>
      <c r="O70" s="21">
        <f t="shared" si="25"/>
        <v>1.5503559237358161E-2</v>
      </c>
      <c r="P70" s="24">
        <f t="shared" si="26"/>
        <v>1.0154723239522583</v>
      </c>
      <c r="Q70" s="24">
        <f t="shared" si="27"/>
        <v>1.5743435328291592E-2</v>
      </c>
      <c r="R70" s="10">
        <v>1</v>
      </c>
      <c r="S70" s="10">
        <v>1</v>
      </c>
      <c r="T70" s="10">
        <v>1044</v>
      </c>
      <c r="U70" s="18">
        <v>17270994365.650002</v>
      </c>
      <c r="V70" s="18">
        <v>17855159126.220001</v>
      </c>
    </row>
    <row r="71" spans="1:23">
      <c r="A71" s="145">
        <v>64</v>
      </c>
      <c r="B71" s="19" t="s">
        <v>81</v>
      </c>
      <c r="C71" s="19" t="s">
        <v>47</v>
      </c>
      <c r="D71" s="10">
        <v>78108107255.360001</v>
      </c>
      <c r="E71" s="10">
        <v>3791230162.2399998</v>
      </c>
      <c r="F71" s="10">
        <v>0</v>
      </c>
      <c r="G71" s="10">
        <v>400376439.68000001</v>
      </c>
      <c r="H71" s="12">
        <f t="shared" si="20"/>
        <v>3390853722.5599999</v>
      </c>
      <c r="I71" s="43">
        <v>248920900518</v>
      </c>
      <c r="J71" s="13">
        <f t="shared" si="21"/>
        <v>4.1409876150822839E-2</v>
      </c>
      <c r="K71" s="43">
        <v>261543688058.92001</v>
      </c>
      <c r="L71" s="13">
        <f t="shared" si="22"/>
        <v>4.1759366978777322E-2</v>
      </c>
      <c r="M71" s="13">
        <f t="shared" si="23"/>
        <v>5.0710034853048563E-2</v>
      </c>
      <c r="N71" s="20">
        <f t="shared" si="24"/>
        <v>1.5308205013527378E-3</v>
      </c>
      <c r="O71" s="21">
        <f t="shared" si="25"/>
        <v>1.2964769854419562E-2</v>
      </c>
      <c r="P71" s="24">
        <f t="shared" si="26"/>
        <v>1.0080454332036335</v>
      </c>
      <c r="Q71" s="24">
        <f t="shared" si="27"/>
        <v>1.3069077044283776E-2</v>
      </c>
      <c r="R71" s="10">
        <v>1</v>
      </c>
      <c r="S71" s="10">
        <v>1</v>
      </c>
      <c r="T71" s="10">
        <v>23706</v>
      </c>
      <c r="U71" s="18">
        <v>241776613322.20001</v>
      </c>
      <c r="V71" s="18">
        <v>259456250129.23999</v>
      </c>
    </row>
    <row r="72" spans="1:23">
      <c r="A72" s="121">
        <v>65</v>
      </c>
      <c r="B72" s="128" t="s">
        <v>82</v>
      </c>
      <c r="C72" s="19" t="s">
        <v>83</v>
      </c>
      <c r="D72" s="10">
        <v>1881584619.53</v>
      </c>
      <c r="E72" s="10">
        <v>51993961.439999998</v>
      </c>
      <c r="F72" s="10">
        <v>0</v>
      </c>
      <c r="G72" s="10">
        <v>6440217.4800000004</v>
      </c>
      <c r="H72" s="12">
        <f t="shared" si="20"/>
        <v>45553743.959999993</v>
      </c>
      <c r="I72" s="170">
        <v>3168657559.5500002</v>
      </c>
      <c r="J72" s="13">
        <f t="shared" si="21"/>
        <v>5.2713017200355864E-4</v>
      </c>
      <c r="K72" s="43">
        <v>3742856604.6300001</v>
      </c>
      <c r="L72" s="13">
        <f t="shared" si="22"/>
        <v>5.9760311427004833E-4</v>
      </c>
      <c r="M72" s="13">
        <f t="shared" si="23"/>
        <v>0.18121208565104313</v>
      </c>
      <c r="N72" s="20">
        <f t="shared" si="24"/>
        <v>1.7206690398005905E-3</v>
      </c>
      <c r="O72" s="21">
        <f t="shared" si="25"/>
        <v>1.2170849373082836E-2</v>
      </c>
      <c r="P72" s="24">
        <f t="shared" si="26"/>
        <v>1.0106921983120751</v>
      </c>
      <c r="Q72" s="24">
        <f t="shared" si="27"/>
        <v>1.2300982508206233E-2</v>
      </c>
      <c r="R72" s="10">
        <v>1</v>
      </c>
      <c r="S72" s="10">
        <v>1</v>
      </c>
      <c r="T72" s="10">
        <v>173</v>
      </c>
      <c r="U72" s="18">
        <v>3069628740.1399999</v>
      </c>
      <c r="V72" s="18">
        <v>3703260607.8099999</v>
      </c>
    </row>
    <row r="73" spans="1:23">
      <c r="A73" s="145">
        <v>66</v>
      </c>
      <c r="B73" s="122" t="s">
        <v>84</v>
      </c>
      <c r="C73" s="19" t="s">
        <v>85</v>
      </c>
      <c r="D73" s="10">
        <v>12401273569.950001</v>
      </c>
      <c r="E73" s="10">
        <v>173098664.5</v>
      </c>
      <c r="F73" s="10">
        <v>0</v>
      </c>
      <c r="G73" s="10">
        <v>17674242.649999999</v>
      </c>
      <c r="H73" s="12">
        <f t="shared" si="20"/>
        <v>155424421.84999999</v>
      </c>
      <c r="I73" s="170">
        <v>12105767820.93</v>
      </c>
      <c r="J73" s="13">
        <f t="shared" si="21"/>
        <v>2.0138861185707378E-3</v>
      </c>
      <c r="K73" s="43">
        <v>12401161298.17</v>
      </c>
      <c r="L73" s="13">
        <f t="shared" si="22"/>
        <v>1.980031135359031E-3</v>
      </c>
      <c r="M73" s="13">
        <f t="shared" si="23"/>
        <v>2.4401052589930375E-2</v>
      </c>
      <c r="N73" s="20">
        <f t="shared" si="24"/>
        <v>1.4252086740141126E-3</v>
      </c>
      <c r="O73" s="21">
        <f t="shared" si="25"/>
        <v>1.2533053809479559E-2</v>
      </c>
      <c r="P73" s="24">
        <f t="shared" si="26"/>
        <v>1.0123041856996666</v>
      </c>
      <c r="Q73" s="24">
        <f t="shared" si="27"/>
        <v>1.268726283093531E-2</v>
      </c>
      <c r="R73" s="10">
        <v>1</v>
      </c>
      <c r="S73" s="10">
        <v>1</v>
      </c>
      <c r="T73" s="10">
        <v>756</v>
      </c>
      <c r="U73" s="18">
        <v>11717858717.6</v>
      </c>
      <c r="V73" s="18">
        <v>12250429735.799999</v>
      </c>
    </row>
    <row r="74" spans="1:23">
      <c r="A74" s="121">
        <v>67</v>
      </c>
      <c r="B74" s="72" t="s">
        <v>269</v>
      </c>
      <c r="C74" s="72" t="s">
        <v>267</v>
      </c>
      <c r="D74" s="10">
        <v>6829353497.2200003</v>
      </c>
      <c r="E74" s="10">
        <v>367815755.26999998</v>
      </c>
      <c r="F74" s="10">
        <v>0</v>
      </c>
      <c r="G74" s="10">
        <v>38894362.109999999</v>
      </c>
      <c r="H74" s="12">
        <f t="shared" si="20"/>
        <v>328921393.15999997</v>
      </c>
      <c r="I74" s="43">
        <v>19844321495.66</v>
      </c>
      <c r="J74" s="13">
        <f t="shared" si="21"/>
        <v>3.3012531037865558E-3</v>
      </c>
      <c r="K74" s="43">
        <v>22567077657.310001</v>
      </c>
      <c r="L74" s="13">
        <f t="shared" si="22"/>
        <v>3.6031719385935857E-3</v>
      </c>
      <c r="M74" s="13">
        <f t="shared" si="23"/>
        <v>0.13720580782998676</v>
      </c>
      <c r="N74" s="20">
        <f t="shared" si="24"/>
        <v>1.7235001669523306E-3</v>
      </c>
      <c r="O74" s="21">
        <f t="shared" si="25"/>
        <v>1.4575276345249544E-2</v>
      </c>
      <c r="P74" s="24">
        <f t="shared" si="26"/>
        <v>0.99787660083559082</v>
      </c>
      <c r="Q74" s="24">
        <f t="shared" si="27"/>
        <v>1.4544327215637009E-2</v>
      </c>
      <c r="R74" s="10">
        <v>1</v>
      </c>
      <c r="S74" s="10">
        <v>1</v>
      </c>
      <c r="T74" s="10">
        <v>9251</v>
      </c>
      <c r="U74" s="18">
        <v>22615098538.650002</v>
      </c>
      <c r="V74" s="18">
        <v>22615098538.650002</v>
      </c>
    </row>
    <row r="75" spans="1:23">
      <c r="A75" s="145">
        <v>68</v>
      </c>
      <c r="B75" s="125" t="s">
        <v>326</v>
      </c>
      <c r="C75" s="19" t="s">
        <v>86</v>
      </c>
      <c r="D75" s="10">
        <v>162936233688.56</v>
      </c>
      <c r="E75" s="10">
        <v>2393709351.1599998</v>
      </c>
      <c r="F75" s="10">
        <v>0</v>
      </c>
      <c r="G75" s="10">
        <v>196013754.55000001</v>
      </c>
      <c r="H75" s="12">
        <f t="shared" si="20"/>
        <v>2197695596.6099997</v>
      </c>
      <c r="I75" s="170">
        <v>158266168764.48999</v>
      </c>
      <c r="J75" s="13">
        <f t="shared" si="21"/>
        <v>2.6328775260592626E-2</v>
      </c>
      <c r="K75" s="43">
        <v>164075575568.45999</v>
      </c>
      <c r="L75" s="13">
        <f t="shared" si="22"/>
        <v>2.6197123024715843E-2</v>
      </c>
      <c r="M75" s="13">
        <f t="shared" si="23"/>
        <v>3.6706561164153557E-2</v>
      </c>
      <c r="N75" s="20">
        <f t="shared" si="24"/>
        <v>1.1946552914465561E-3</v>
      </c>
      <c r="O75" s="21">
        <f t="shared" si="25"/>
        <v>1.3394410405057629E-2</v>
      </c>
      <c r="P75" s="24">
        <f t="shared" si="26"/>
        <v>1.0130361158080277</v>
      </c>
      <c r="Q75" s="24">
        <f t="shared" si="27"/>
        <v>1.3569021490278211E-2</v>
      </c>
      <c r="R75" s="10">
        <v>1</v>
      </c>
      <c r="S75" s="10">
        <v>1</v>
      </c>
      <c r="T75" s="10">
        <v>9229</v>
      </c>
      <c r="U75" s="18">
        <v>152395327347.97</v>
      </c>
      <c r="V75" s="18">
        <v>161964191609.88</v>
      </c>
    </row>
    <row r="76" spans="1:23" ht="15" customHeight="1">
      <c r="A76" s="147" t="s">
        <v>48</v>
      </c>
      <c r="B76" s="147"/>
      <c r="C76" s="147"/>
      <c r="D76" s="147"/>
      <c r="E76" s="147"/>
      <c r="F76" s="147"/>
      <c r="G76" s="147"/>
      <c r="H76" s="147"/>
      <c r="I76" s="26">
        <f>SUM(I28:I75)</f>
        <v>6011148152469.2705</v>
      </c>
      <c r="J76" s="34">
        <f>(I76/$I$248)</f>
        <v>0.65389428168168595</v>
      </c>
      <c r="K76" s="36">
        <f>SUM(K28:K75)</f>
        <v>6263114289827.2393</v>
      </c>
      <c r="L76" s="34">
        <f>(K76/$K$248)</f>
        <v>0.66280573178586455</v>
      </c>
      <c r="M76" s="34">
        <f t="shared" si="15"/>
        <v>4.1916474351820068E-2</v>
      </c>
      <c r="N76" s="20"/>
      <c r="O76" s="20"/>
      <c r="P76" s="37"/>
      <c r="Q76" s="37"/>
      <c r="R76" s="36"/>
      <c r="S76" s="36"/>
      <c r="T76" s="36">
        <f>SUM(T28:T75)</f>
        <v>816437</v>
      </c>
      <c r="U76" s="36"/>
      <c r="V76" s="36"/>
    </row>
    <row r="77" spans="1:23" ht="6" customHeight="1">
      <c r="A77" s="165"/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5"/>
    </row>
    <row r="78" spans="1:23" ht="12.75" customHeight="1">
      <c r="A78" s="154" t="s">
        <v>87</v>
      </c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6"/>
    </row>
    <row r="79" spans="1:23">
      <c r="A79" s="121">
        <v>69</v>
      </c>
      <c r="B79" s="122" t="s">
        <v>88</v>
      </c>
      <c r="C79" s="19" t="s">
        <v>24</v>
      </c>
      <c r="D79" s="10">
        <v>1095824797.8099999</v>
      </c>
      <c r="E79" s="10">
        <v>16203551.300000001</v>
      </c>
      <c r="F79" s="10">
        <v>0</v>
      </c>
      <c r="G79" s="10">
        <v>1480475.93</v>
      </c>
      <c r="H79" s="12">
        <f t="shared" ref="H79:H116" si="30">(E79+F79)-G79</f>
        <v>14723075.370000001</v>
      </c>
      <c r="I79" s="171">
        <v>1069256443.91</v>
      </c>
      <c r="J79" s="13">
        <f t="shared" ref="J79:J116" si="31">(I79/$I$117)</f>
        <v>4.4974105674662002E-3</v>
      </c>
      <c r="K79" s="10">
        <v>1117378298.3699999</v>
      </c>
      <c r="L79" s="13">
        <f t="shared" ref="L79" si="32">(K79/$K$117)</f>
        <v>4.800769932756078E-3</v>
      </c>
      <c r="M79" s="13">
        <f t="shared" ref="M79:M117" si="33">((K79-I79)/I79)</f>
        <v>4.5004970261418753E-2</v>
      </c>
      <c r="N79" s="20">
        <f t="shared" ref="N79" si="34">(G79/K79)</f>
        <v>1.3249549701830406E-3</v>
      </c>
      <c r="O79" s="21">
        <f t="shared" ref="O79" si="35">H79/K79</f>
        <v>1.31764465011336E-2</v>
      </c>
      <c r="P79" s="24">
        <f t="shared" ref="P79" si="36">K79/V79</f>
        <v>1.7912404227514833</v>
      </c>
      <c r="Q79" s="24">
        <f t="shared" ref="Q79" si="37">H79/V79</f>
        <v>2.3602183601052852E-2</v>
      </c>
      <c r="R79" s="10">
        <v>1.8</v>
      </c>
      <c r="S79" s="10">
        <v>1.8</v>
      </c>
      <c r="T79" s="17">
        <v>453</v>
      </c>
      <c r="U79" s="10">
        <v>623048451.27999997</v>
      </c>
      <c r="V79" s="10">
        <v>623801408.33000004</v>
      </c>
    </row>
    <row r="80" spans="1:23" ht="13.2" customHeight="1">
      <c r="A80" s="136">
        <v>70</v>
      </c>
      <c r="B80" s="19" t="s">
        <v>89</v>
      </c>
      <c r="C80" s="77" t="s">
        <v>26</v>
      </c>
      <c r="D80" s="10">
        <v>1024959390</v>
      </c>
      <c r="E80" s="10">
        <v>16754259</v>
      </c>
      <c r="F80" s="10">
        <v>6449473</v>
      </c>
      <c r="G80" s="10">
        <v>3098020</v>
      </c>
      <c r="H80" s="12">
        <f t="shared" si="30"/>
        <v>20105712</v>
      </c>
      <c r="I80" s="171">
        <v>1307433638</v>
      </c>
      <c r="J80" s="13">
        <f t="shared" si="31"/>
        <v>5.4992101224099876E-3</v>
      </c>
      <c r="K80" s="10">
        <v>1253967355</v>
      </c>
      <c r="L80" s="13">
        <f t="shared" ref="L80:L116" si="38">(K80/$K$117)</f>
        <v>5.3876192005191852E-3</v>
      </c>
      <c r="M80" s="13">
        <f t="shared" ref="M80:M116" si="39">((K80-I80)/I80)</f>
        <v>-4.0894070219723078E-2</v>
      </c>
      <c r="N80" s="20">
        <f t="shared" ref="N80:N116" si="40">(G80/K80)</f>
        <v>2.4705746825442678E-3</v>
      </c>
      <c r="O80" s="21">
        <f t="shared" ref="O80:O116" si="41">H80/K80</f>
        <v>1.6033680557816437E-2</v>
      </c>
      <c r="P80" s="24">
        <f t="shared" ref="P80:P116" si="42">K80/V80</f>
        <v>1.4176686742715507</v>
      </c>
      <c r="Q80" s="24">
        <f t="shared" ref="Q80:Q116" si="43">H80/V80</f>
        <v>2.2730446660093162E-2</v>
      </c>
      <c r="R80" s="10">
        <v>1.4177</v>
      </c>
      <c r="S80" s="10">
        <v>1.4177</v>
      </c>
      <c r="T80" s="17">
        <v>1553</v>
      </c>
      <c r="U80" s="10">
        <v>936894870</v>
      </c>
      <c r="V80" s="10">
        <v>884527801</v>
      </c>
    </row>
    <row r="81" spans="1:24" ht="15" customHeight="1">
      <c r="A81" s="121">
        <v>71</v>
      </c>
      <c r="B81" s="19" t="s">
        <v>90</v>
      </c>
      <c r="C81" s="19" t="s">
        <v>91</v>
      </c>
      <c r="D81" s="10">
        <v>520302050</v>
      </c>
      <c r="E81" s="10">
        <v>8823632</v>
      </c>
      <c r="F81" s="10">
        <v>1134056</v>
      </c>
      <c r="G81" s="10">
        <v>1642803</v>
      </c>
      <c r="H81" s="12">
        <f t="shared" si="30"/>
        <v>8314885</v>
      </c>
      <c r="I81" s="171">
        <v>690884783</v>
      </c>
      <c r="J81" s="13">
        <f t="shared" si="31"/>
        <v>2.9059376182981669E-3</v>
      </c>
      <c r="K81" s="10">
        <v>714436581</v>
      </c>
      <c r="L81" s="13">
        <f t="shared" si="38"/>
        <v>3.069547405680972E-3</v>
      </c>
      <c r="M81" s="13">
        <f t="shared" si="39"/>
        <v>3.4089328031994014E-2</v>
      </c>
      <c r="N81" s="20">
        <f t="shared" si="40"/>
        <v>2.2994385277704584E-3</v>
      </c>
      <c r="O81" s="21">
        <f t="shared" si="41"/>
        <v>1.1638380818016932E-2</v>
      </c>
      <c r="P81" s="24">
        <f t="shared" si="42"/>
        <v>1.2727063798335976</v>
      </c>
      <c r="Q81" s="24">
        <f t="shared" si="43"/>
        <v>1.4812241518023114E-2</v>
      </c>
      <c r="R81" s="10">
        <v>1.2726999999999999</v>
      </c>
      <c r="S81" s="10">
        <v>1.2726999999999999</v>
      </c>
      <c r="T81" s="17">
        <v>932</v>
      </c>
      <c r="U81" s="10">
        <v>549312033</v>
      </c>
      <c r="V81" s="10">
        <v>561352243</v>
      </c>
    </row>
    <row r="82" spans="1:24">
      <c r="A82" s="145">
        <v>72</v>
      </c>
      <c r="B82" s="19" t="s">
        <v>327</v>
      </c>
      <c r="C82" s="77" t="s">
        <v>92</v>
      </c>
      <c r="D82" s="10">
        <v>267826242.06999999</v>
      </c>
      <c r="E82" s="10">
        <v>18273436.02</v>
      </c>
      <c r="F82" s="10">
        <v>0</v>
      </c>
      <c r="G82" s="10">
        <v>524714.75</v>
      </c>
      <c r="H82" s="12">
        <f t="shared" si="30"/>
        <v>17748721.27</v>
      </c>
      <c r="I82" s="171">
        <v>309613144.36000001</v>
      </c>
      <c r="J82" s="13">
        <f t="shared" si="31"/>
        <v>1.3022670428613347E-3</v>
      </c>
      <c r="K82" s="10">
        <v>327086863.54000002</v>
      </c>
      <c r="L82" s="13">
        <f t="shared" si="38"/>
        <v>1.4053152653608777E-3</v>
      </c>
      <c r="M82" s="13">
        <f t="shared" si="39"/>
        <v>5.6437265336779729E-2</v>
      </c>
      <c r="N82" s="20">
        <f t="shared" si="40"/>
        <v>1.6042061253121274E-3</v>
      </c>
      <c r="O82" s="21">
        <f t="shared" si="41"/>
        <v>5.4263020770412194E-2</v>
      </c>
      <c r="P82" s="24">
        <f t="shared" si="42"/>
        <v>1252.4769618459748</v>
      </c>
      <c r="Q82" s="24">
        <f t="shared" si="43"/>
        <v>67.963183395110889</v>
      </c>
      <c r="R82" s="10">
        <v>1252.48</v>
      </c>
      <c r="S82" s="10">
        <v>1252.48</v>
      </c>
      <c r="T82" s="17">
        <v>98</v>
      </c>
      <c r="U82" s="10">
        <v>260542</v>
      </c>
      <c r="V82" s="10">
        <v>261152</v>
      </c>
    </row>
    <row r="83" spans="1:24">
      <c r="A83" s="121">
        <v>73</v>
      </c>
      <c r="B83" s="19" t="s">
        <v>93</v>
      </c>
      <c r="C83" s="77" t="s">
        <v>94</v>
      </c>
      <c r="D83" s="10">
        <v>1831800836.1099999</v>
      </c>
      <c r="E83" s="10">
        <v>27539490.190000001</v>
      </c>
      <c r="F83" s="10">
        <v>70757280.950000003</v>
      </c>
      <c r="G83" s="10">
        <v>2656318.7799999998</v>
      </c>
      <c r="H83" s="12">
        <f t="shared" si="30"/>
        <v>95640452.359999999</v>
      </c>
      <c r="I83" s="10">
        <v>1809494874.0699999</v>
      </c>
      <c r="J83" s="13">
        <f t="shared" si="31"/>
        <v>7.6109350705987639E-3</v>
      </c>
      <c r="K83" s="10">
        <v>1886694337.21</v>
      </c>
      <c r="L83" s="13">
        <f t="shared" si="38"/>
        <v>8.1061046734054853E-3</v>
      </c>
      <c r="M83" s="13">
        <f t="shared" si="39"/>
        <v>4.2663543426547261E-2</v>
      </c>
      <c r="N83" s="20">
        <f t="shared" si="40"/>
        <v>1.407922167153002E-3</v>
      </c>
      <c r="O83" s="21">
        <f t="shared" si="41"/>
        <v>5.0692075803561741E-2</v>
      </c>
      <c r="P83" s="24">
        <f t="shared" si="42"/>
        <v>1.1125518604101103</v>
      </c>
      <c r="Q83" s="24">
        <f t="shared" si="43"/>
        <v>5.6397563243302959E-2</v>
      </c>
      <c r="R83" s="10">
        <v>1.1019000000000001</v>
      </c>
      <c r="S83" s="10">
        <v>1.1019000000000001</v>
      </c>
      <c r="T83" s="17">
        <v>1093</v>
      </c>
      <c r="U83" s="10">
        <v>1600658765.6700001</v>
      </c>
      <c r="V83" s="10">
        <v>1695825969.4200001</v>
      </c>
    </row>
    <row r="84" spans="1:24">
      <c r="A84" s="145">
        <v>74</v>
      </c>
      <c r="B84" s="19" t="s">
        <v>95</v>
      </c>
      <c r="C84" s="19" t="s">
        <v>96</v>
      </c>
      <c r="D84" s="10">
        <v>501095557.32999998</v>
      </c>
      <c r="E84" s="10">
        <v>7617879.6100000003</v>
      </c>
      <c r="F84" s="10">
        <v>0</v>
      </c>
      <c r="G84" s="10">
        <v>1155914.45</v>
      </c>
      <c r="H84" s="12">
        <f t="shared" si="30"/>
        <v>6461965.1600000001</v>
      </c>
      <c r="I84" s="171">
        <v>514113473</v>
      </c>
      <c r="J84" s="13">
        <f t="shared" si="31"/>
        <v>2.1624179863643325E-3</v>
      </c>
      <c r="K84" s="10">
        <v>543652246.71000004</v>
      </c>
      <c r="L84" s="13">
        <f t="shared" si="38"/>
        <v>2.3357795329370353E-3</v>
      </c>
      <c r="M84" s="13">
        <f t="shared" si="39"/>
        <v>5.7455747147867567E-2</v>
      </c>
      <c r="N84" s="20">
        <f t="shared" si="40"/>
        <v>2.1262019185889587E-3</v>
      </c>
      <c r="O84" s="21">
        <f t="shared" si="41"/>
        <v>1.1886210714856111E-2</v>
      </c>
      <c r="P84" s="24">
        <f t="shared" si="42"/>
        <v>3.1008661844406555</v>
      </c>
      <c r="Q84" s="24">
        <f t="shared" si="43"/>
        <v>3.6857548866833505E-2</v>
      </c>
      <c r="R84" s="10">
        <v>2.952</v>
      </c>
      <c r="S84" s="10">
        <v>2.952</v>
      </c>
      <c r="T84" s="17">
        <v>1386</v>
      </c>
      <c r="U84" s="10">
        <v>175588539.81</v>
      </c>
      <c r="V84" s="10">
        <v>175322704.81</v>
      </c>
    </row>
    <row r="85" spans="1:24">
      <c r="A85" s="121">
        <v>75</v>
      </c>
      <c r="B85" s="19" t="s">
        <v>282</v>
      </c>
      <c r="C85" s="19" t="s">
        <v>283</v>
      </c>
      <c r="D85" s="10">
        <v>3281881000</v>
      </c>
      <c r="E85" s="10">
        <v>80802061.109999999</v>
      </c>
      <c r="F85" s="10">
        <v>0</v>
      </c>
      <c r="G85" s="10">
        <v>9381367.4700000007</v>
      </c>
      <c r="H85" s="12">
        <f t="shared" ref="H85" si="44">(E85+F85)-G85</f>
        <v>71420693.640000001</v>
      </c>
      <c r="I85" s="171">
        <v>4742972033.6800003</v>
      </c>
      <c r="J85" s="13">
        <f t="shared" si="31"/>
        <v>1.9949463636119588E-2</v>
      </c>
      <c r="K85" s="10">
        <v>5567833361.5799999</v>
      </c>
      <c r="L85" s="13">
        <f t="shared" si="38"/>
        <v>2.3921967190397624E-2</v>
      </c>
      <c r="M85" s="13">
        <f t="shared" si="39"/>
        <v>0.17391233219226937</v>
      </c>
      <c r="N85" s="20">
        <f t="shared" si="40"/>
        <v>1.6849224574023213E-3</v>
      </c>
      <c r="O85" s="21">
        <f t="shared" si="41"/>
        <v>1.2827376288383161E-2</v>
      </c>
      <c r="P85" s="24">
        <f t="shared" si="42"/>
        <v>1250.4409377105467</v>
      </c>
      <c r="Q85" s="24">
        <f t="shared" si="43"/>
        <v>16.03987643441187</v>
      </c>
      <c r="R85" s="10">
        <v>1250.44</v>
      </c>
      <c r="S85" s="10">
        <v>1250.44</v>
      </c>
      <c r="T85" s="17">
        <v>437</v>
      </c>
      <c r="U85" s="10">
        <v>3845631</v>
      </c>
      <c r="V85" s="10">
        <v>4452696</v>
      </c>
    </row>
    <row r="86" spans="1:24">
      <c r="A86" s="145">
        <v>76</v>
      </c>
      <c r="B86" s="19" t="s">
        <v>322</v>
      </c>
      <c r="C86" s="19" t="s">
        <v>41</v>
      </c>
      <c r="D86" s="10">
        <v>1413508861.6600001</v>
      </c>
      <c r="E86" s="10">
        <v>17290339.859999999</v>
      </c>
      <c r="F86" s="10">
        <v>35946470.600000001</v>
      </c>
      <c r="G86" s="10">
        <v>2740636.44</v>
      </c>
      <c r="H86" s="12">
        <f>(E86+F86)-G86</f>
        <v>50496174.020000003</v>
      </c>
      <c r="I86" s="171">
        <v>1193152329.6500001</v>
      </c>
      <c r="J86" s="13">
        <f t="shared" si="31"/>
        <v>5.0185303315473809E-3</v>
      </c>
      <c r="K86" s="10">
        <v>1408532475.2</v>
      </c>
      <c r="L86" s="13">
        <f t="shared" si="38"/>
        <v>6.0517018865633336E-3</v>
      </c>
      <c r="M86" s="13">
        <f t="shared" si="39"/>
        <v>0.18051353561299224</v>
      </c>
      <c r="N86" s="20">
        <f t="shared" si="40"/>
        <v>1.9457389078734958E-3</v>
      </c>
      <c r="O86" s="21">
        <f t="shared" si="41"/>
        <v>3.585020218495847E-2</v>
      </c>
      <c r="P86" s="24">
        <f t="shared" si="42"/>
        <v>110.3216701462032</v>
      </c>
      <c r="Q86" s="24">
        <f t="shared" si="43"/>
        <v>3.9550541801236814</v>
      </c>
      <c r="R86" s="10">
        <v>110.32</v>
      </c>
      <c r="S86" s="10">
        <v>110.71</v>
      </c>
      <c r="T86" s="17">
        <v>4338</v>
      </c>
      <c r="U86" s="10">
        <v>11257482</v>
      </c>
      <c r="V86" s="10">
        <v>12767505</v>
      </c>
    </row>
    <row r="87" spans="1:24">
      <c r="A87" s="121">
        <v>77</v>
      </c>
      <c r="B87" s="72" t="s">
        <v>223</v>
      </c>
      <c r="C87" s="73" t="s">
        <v>193</v>
      </c>
      <c r="D87" s="10">
        <v>208737597.52000001</v>
      </c>
      <c r="E87" s="10">
        <v>14509217.720000001</v>
      </c>
      <c r="F87" s="10">
        <v>0</v>
      </c>
      <c r="G87" s="10">
        <v>348123.12</v>
      </c>
      <c r="H87" s="12">
        <f t="shared" si="30"/>
        <v>14161094.600000001</v>
      </c>
      <c r="I87" s="171">
        <v>196646489.02000001</v>
      </c>
      <c r="J87" s="13">
        <f t="shared" si="31"/>
        <v>8.271168275962382E-4</v>
      </c>
      <c r="K87" s="10">
        <v>203767175.52000001</v>
      </c>
      <c r="L87" s="13">
        <f t="shared" si="38"/>
        <v>8.7547729443651667E-4</v>
      </c>
      <c r="M87" s="13">
        <f t="shared" si="39"/>
        <v>3.6210595650531995E-2</v>
      </c>
      <c r="N87" s="20">
        <f t="shared" si="40"/>
        <v>1.7084357140035602E-3</v>
      </c>
      <c r="O87" s="21">
        <f t="shared" si="41"/>
        <v>6.9496446441198637E-2</v>
      </c>
      <c r="P87" s="24">
        <f t="shared" si="42"/>
        <v>11.873974872928192</v>
      </c>
      <c r="Q87" s="24">
        <f t="shared" si="43"/>
        <v>0.82519905880059241</v>
      </c>
      <c r="R87" s="10">
        <v>11.874000000000001</v>
      </c>
      <c r="S87" s="10">
        <v>11.9133</v>
      </c>
      <c r="T87" s="17">
        <v>47</v>
      </c>
      <c r="U87" s="10">
        <v>16399698.550000001</v>
      </c>
      <c r="V87" s="10">
        <v>17160822.530000001</v>
      </c>
    </row>
    <row r="88" spans="1:24">
      <c r="A88" s="145">
        <v>78</v>
      </c>
      <c r="B88" s="77" t="s">
        <v>97</v>
      </c>
      <c r="C88" s="19" t="s">
        <v>57</v>
      </c>
      <c r="D88" s="10">
        <v>2218893245.48</v>
      </c>
      <c r="E88" s="10">
        <v>27511173.289999999</v>
      </c>
      <c r="F88" s="10">
        <v>0</v>
      </c>
      <c r="G88" s="10">
        <v>4610876.33</v>
      </c>
      <c r="H88" s="12">
        <f t="shared" si="30"/>
        <v>22900296.960000001</v>
      </c>
      <c r="I88" s="171">
        <v>2184570842.48</v>
      </c>
      <c r="J88" s="13">
        <f t="shared" si="31"/>
        <v>9.1885459735186418E-3</v>
      </c>
      <c r="K88" s="10">
        <v>2191813037.7399998</v>
      </c>
      <c r="L88" s="13">
        <f t="shared" si="38"/>
        <v>9.4170346293235875E-3</v>
      </c>
      <c r="M88" s="13">
        <f t="shared" si="39"/>
        <v>3.315156972331537E-3</v>
      </c>
      <c r="N88" s="20">
        <f t="shared" si="40"/>
        <v>2.1036814046668509E-3</v>
      </c>
      <c r="O88" s="21">
        <f t="shared" si="41"/>
        <v>1.0448106916825682E-2</v>
      </c>
      <c r="P88" s="24">
        <f t="shared" si="42"/>
        <v>5014.1216934142467</v>
      </c>
      <c r="Q88" s="24">
        <f t="shared" si="43"/>
        <v>52.388079546767088</v>
      </c>
      <c r="R88" s="10">
        <v>5014.12</v>
      </c>
      <c r="S88" s="10">
        <v>5014.12</v>
      </c>
      <c r="T88" s="17">
        <v>1211</v>
      </c>
      <c r="U88" s="10">
        <v>441208.93</v>
      </c>
      <c r="V88" s="10">
        <v>437128.01</v>
      </c>
    </row>
    <row r="89" spans="1:24">
      <c r="A89" s="121">
        <v>79</v>
      </c>
      <c r="B89" s="19" t="s">
        <v>98</v>
      </c>
      <c r="C89" s="19" t="s">
        <v>59</v>
      </c>
      <c r="D89" s="10">
        <v>346395240.63</v>
      </c>
      <c r="E89" s="10">
        <v>4421065.0599999996</v>
      </c>
      <c r="F89" s="10">
        <v>0</v>
      </c>
      <c r="G89" s="10">
        <v>752093.24</v>
      </c>
      <c r="H89" s="12">
        <f t="shared" si="30"/>
        <v>3668971.8199999994</v>
      </c>
      <c r="I89" s="171">
        <v>361433707.63</v>
      </c>
      <c r="J89" s="13">
        <f t="shared" si="31"/>
        <v>1.5202300490138284E-3</v>
      </c>
      <c r="K89" s="10">
        <v>365383432.81</v>
      </c>
      <c r="L89" s="13">
        <f t="shared" si="38"/>
        <v>1.569854901173857E-3</v>
      </c>
      <c r="M89" s="13">
        <f t="shared" si="39"/>
        <v>1.0927938088285181E-2</v>
      </c>
      <c r="N89" s="20">
        <f t="shared" si="40"/>
        <v>2.0583671082621026E-3</v>
      </c>
      <c r="O89" s="21">
        <f t="shared" si="41"/>
        <v>1.0041429059285976E-2</v>
      </c>
      <c r="P89" s="24">
        <f t="shared" si="42"/>
        <v>115.21813377576916</v>
      </c>
      <c r="Q89" s="24">
        <f t="shared" si="43"/>
        <v>1.1569547166527077</v>
      </c>
      <c r="R89" s="10">
        <v>115.39</v>
      </c>
      <c r="S89" s="10">
        <v>115.39</v>
      </c>
      <c r="T89" s="17">
        <v>101</v>
      </c>
      <c r="U89" s="10">
        <v>3160282</v>
      </c>
      <c r="V89" s="10">
        <v>3171232</v>
      </c>
      <c r="W89" s="15"/>
      <c r="X89" s="15"/>
    </row>
    <row r="90" spans="1:24">
      <c r="A90" s="145">
        <v>80</v>
      </c>
      <c r="B90" s="77" t="s">
        <v>99</v>
      </c>
      <c r="C90" s="77" t="s">
        <v>61</v>
      </c>
      <c r="D90" s="10">
        <v>1074538379.5799999</v>
      </c>
      <c r="E90" s="10">
        <v>33380528.710000001</v>
      </c>
      <c r="F90" s="10">
        <v>17820972.300000001</v>
      </c>
      <c r="G90" s="10">
        <v>1982724.71</v>
      </c>
      <c r="H90" s="12">
        <f t="shared" si="30"/>
        <v>49218776.300000004</v>
      </c>
      <c r="I90" s="171">
        <v>1040381659.46</v>
      </c>
      <c r="J90" s="13">
        <f t="shared" si="31"/>
        <v>4.3759600384949962E-3</v>
      </c>
      <c r="K90" s="10">
        <v>1080972817.9200001</v>
      </c>
      <c r="L90" s="13">
        <f t="shared" si="38"/>
        <v>4.6443552823311907E-3</v>
      </c>
      <c r="M90" s="13">
        <f t="shared" si="39"/>
        <v>3.9015642087605121E-2</v>
      </c>
      <c r="N90" s="20">
        <f t="shared" si="40"/>
        <v>1.8342040402229024E-3</v>
      </c>
      <c r="O90" s="21">
        <f t="shared" si="41"/>
        <v>4.5531927800651281E-2</v>
      </c>
      <c r="P90" s="24">
        <f t="shared" si="42"/>
        <v>1.5622826955391289</v>
      </c>
      <c r="Q90" s="24">
        <f t="shared" si="43"/>
        <v>7.1133742897494481E-2</v>
      </c>
      <c r="R90" s="10">
        <v>1.5621</v>
      </c>
      <c r="S90" s="10">
        <v>1.5621</v>
      </c>
      <c r="T90" s="17">
        <v>3218</v>
      </c>
      <c r="U90" s="10">
        <v>672765830.05999994</v>
      </c>
      <c r="V90" s="10">
        <v>691918831.98000002</v>
      </c>
    </row>
    <row r="91" spans="1:24">
      <c r="A91" s="121">
        <v>81</v>
      </c>
      <c r="B91" s="72" t="s">
        <v>234</v>
      </c>
      <c r="C91" s="73" t="s">
        <v>61</v>
      </c>
      <c r="D91" s="16">
        <v>212672596.22999999</v>
      </c>
      <c r="E91" s="10">
        <v>1733608.08</v>
      </c>
      <c r="F91" s="10">
        <v>3134666</v>
      </c>
      <c r="G91" s="10">
        <v>309202.73</v>
      </c>
      <c r="H91" s="12">
        <f t="shared" si="30"/>
        <v>4559071.3499999996</v>
      </c>
      <c r="I91" s="171">
        <v>167864124.02000001</v>
      </c>
      <c r="J91" s="13">
        <f t="shared" si="31"/>
        <v>7.0605502502779389E-4</v>
      </c>
      <c r="K91" s="10">
        <v>212093836.34</v>
      </c>
      <c r="L91" s="13">
        <f t="shared" si="38"/>
        <v>9.1125245040941103E-4</v>
      </c>
      <c r="M91" s="13">
        <f t="shared" si="39"/>
        <v>0.26348520017731891</v>
      </c>
      <c r="N91" s="20">
        <f t="shared" si="40"/>
        <v>1.4578581600284139E-3</v>
      </c>
      <c r="O91" s="21">
        <f t="shared" si="41"/>
        <v>2.1495539090968754E-2</v>
      </c>
      <c r="P91" s="24">
        <f t="shared" si="42"/>
        <v>1.0556212025858265</v>
      </c>
      <c r="Q91" s="24">
        <f t="shared" si="43"/>
        <v>2.2691146825439081E-2</v>
      </c>
      <c r="R91" s="17">
        <v>1.0556000000000001</v>
      </c>
      <c r="S91" s="18">
        <v>1.0556000000000001</v>
      </c>
      <c r="T91" s="17">
        <v>294</v>
      </c>
      <c r="U91" s="10">
        <v>162134128.75</v>
      </c>
      <c r="V91" s="10">
        <v>200918507.34</v>
      </c>
    </row>
    <row r="92" spans="1:24">
      <c r="A92" s="145">
        <v>82</v>
      </c>
      <c r="B92" s="19" t="s">
        <v>218</v>
      </c>
      <c r="C92" s="19" t="s">
        <v>45</v>
      </c>
      <c r="D92" s="10">
        <v>237922945.11000001</v>
      </c>
      <c r="E92" s="10">
        <v>3340779.19</v>
      </c>
      <c r="F92" s="10">
        <v>0</v>
      </c>
      <c r="G92" s="10">
        <v>385769.17</v>
      </c>
      <c r="H92" s="12">
        <f t="shared" si="30"/>
        <v>2955010.02</v>
      </c>
      <c r="I92" s="10">
        <v>255975846.59999999</v>
      </c>
      <c r="J92" s="13">
        <f t="shared" si="31"/>
        <v>1.0766626510149389E-3</v>
      </c>
      <c r="K92" s="10">
        <v>242761363.34</v>
      </c>
      <c r="L92" s="13">
        <f t="shared" si="38"/>
        <v>1.0430142196762358E-3</v>
      </c>
      <c r="M92" s="13">
        <f t="shared" si="39"/>
        <v>-5.1623945913340678E-2</v>
      </c>
      <c r="N92" s="20">
        <f t="shared" si="40"/>
        <v>1.5890880026889207E-3</v>
      </c>
      <c r="O92" s="21">
        <f t="shared" si="41"/>
        <v>1.2172488979893203E-2</v>
      </c>
      <c r="P92" s="24">
        <f t="shared" si="42"/>
        <v>148.80645543983965</v>
      </c>
      <c r="Q92" s="24">
        <f t="shared" si="43"/>
        <v>1.8113449389784171</v>
      </c>
      <c r="R92" s="10">
        <v>148.81</v>
      </c>
      <c r="S92" s="10">
        <v>148.81</v>
      </c>
      <c r="T92" s="17">
        <v>414</v>
      </c>
      <c r="U92" s="10">
        <v>1605346.15</v>
      </c>
      <c r="V92" s="10">
        <v>1631390</v>
      </c>
    </row>
    <row r="93" spans="1:24">
      <c r="A93" s="121">
        <v>83</v>
      </c>
      <c r="B93" s="19" t="s">
        <v>100</v>
      </c>
      <c r="C93" s="19" t="s">
        <v>101</v>
      </c>
      <c r="D93" s="10">
        <v>3377079575.5700002</v>
      </c>
      <c r="E93" s="10">
        <v>53097831.479999997</v>
      </c>
      <c r="F93" s="10">
        <v>0</v>
      </c>
      <c r="G93" s="10">
        <v>5331702.54</v>
      </c>
      <c r="H93" s="12">
        <f t="shared" si="30"/>
        <v>47766128.939999998</v>
      </c>
      <c r="I93" s="171">
        <v>3273905691.79</v>
      </c>
      <c r="J93" s="13">
        <f t="shared" si="31"/>
        <v>1.3770408529222223E-2</v>
      </c>
      <c r="K93" s="10">
        <v>3369703010.9899998</v>
      </c>
      <c r="L93" s="13">
        <f t="shared" si="38"/>
        <v>1.4477790486066549E-2</v>
      </c>
      <c r="M93" s="13">
        <f t="shared" si="39"/>
        <v>2.9260867055587926E-2</v>
      </c>
      <c r="N93" s="20">
        <f t="shared" si="40"/>
        <v>1.5822470177968521E-3</v>
      </c>
      <c r="O93" s="21">
        <f t="shared" si="41"/>
        <v>1.417517472139676E-2</v>
      </c>
      <c r="P93" s="24">
        <f t="shared" si="42"/>
        <v>1418.7445433475602</v>
      </c>
      <c r="Q93" s="24">
        <f t="shared" si="43"/>
        <v>20.110951786979928</v>
      </c>
      <c r="R93" s="10">
        <v>1418.74</v>
      </c>
      <c r="S93" s="10">
        <v>1418.74</v>
      </c>
      <c r="T93" s="17">
        <v>328</v>
      </c>
      <c r="U93" s="10">
        <v>2344277.15</v>
      </c>
      <c r="V93" s="10">
        <v>2375130.2000000002</v>
      </c>
    </row>
    <row r="94" spans="1:24">
      <c r="A94" s="145">
        <v>84</v>
      </c>
      <c r="B94" s="19" t="s">
        <v>102</v>
      </c>
      <c r="C94" s="19" t="s">
        <v>63</v>
      </c>
      <c r="D94" s="10">
        <v>134622506.84</v>
      </c>
      <c r="E94" s="10">
        <v>1676873.3</v>
      </c>
      <c r="F94" s="10">
        <v>0</v>
      </c>
      <c r="G94" s="10">
        <v>548809.68000000005</v>
      </c>
      <c r="H94" s="12">
        <f t="shared" si="30"/>
        <v>1128063.6200000001</v>
      </c>
      <c r="I94" s="171">
        <v>156148539.75999999</v>
      </c>
      <c r="J94" s="13">
        <f t="shared" si="31"/>
        <v>6.5677798512304324E-4</v>
      </c>
      <c r="K94" s="10">
        <v>158061577.53</v>
      </c>
      <c r="L94" s="13">
        <f t="shared" si="38"/>
        <v>6.7910507125201823E-4</v>
      </c>
      <c r="M94" s="13">
        <f t="shared" si="39"/>
        <v>1.2251397118028425E-2</v>
      </c>
      <c r="N94" s="20">
        <f t="shared" si="40"/>
        <v>3.4721257915816782E-3</v>
      </c>
      <c r="O94" s="21">
        <f t="shared" si="41"/>
        <v>7.1368617068616452E-3</v>
      </c>
      <c r="P94" s="24">
        <f t="shared" si="42"/>
        <v>1075.819669824805</v>
      </c>
      <c r="Q94" s="24">
        <f t="shared" si="43"/>
        <v>7.6779762050611895</v>
      </c>
      <c r="R94" s="10">
        <v>1051.42</v>
      </c>
      <c r="S94" s="10">
        <v>1061.33</v>
      </c>
      <c r="T94" s="17">
        <v>286</v>
      </c>
      <c r="U94" s="10">
        <v>146491</v>
      </c>
      <c r="V94" s="10">
        <v>146922</v>
      </c>
    </row>
    <row r="95" spans="1:24">
      <c r="A95" s="121">
        <v>85</v>
      </c>
      <c r="B95" s="122" t="s">
        <v>103</v>
      </c>
      <c r="C95" s="77" t="s">
        <v>66</v>
      </c>
      <c r="D95" s="10">
        <v>857518745.5</v>
      </c>
      <c r="E95" s="10">
        <v>9782552.6500000004</v>
      </c>
      <c r="F95" s="10">
        <v>0</v>
      </c>
      <c r="G95" s="10">
        <v>1373395</v>
      </c>
      <c r="H95" s="12">
        <f t="shared" si="30"/>
        <v>8409157.6500000004</v>
      </c>
      <c r="I95" s="171">
        <v>774203094</v>
      </c>
      <c r="J95" s="13">
        <f t="shared" si="31"/>
        <v>3.2563836263526905E-3</v>
      </c>
      <c r="K95" s="10">
        <v>853273685</v>
      </c>
      <c r="L95" s="13">
        <f t="shared" si="38"/>
        <v>3.6660553165706292E-3</v>
      </c>
      <c r="M95" s="13">
        <f t="shared" si="39"/>
        <v>0.10213158745139296</v>
      </c>
      <c r="N95" s="20">
        <f t="shared" si="40"/>
        <v>1.6095597744819705E-3</v>
      </c>
      <c r="O95" s="21">
        <f t="shared" si="41"/>
        <v>9.8551705013614713E-3</v>
      </c>
      <c r="P95" s="24">
        <f t="shared" si="42"/>
        <v>1.3073784807430411</v>
      </c>
      <c r="Q95" s="24">
        <f t="shared" si="43"/>
        <v>1.2884437837533595E-2</v>
      </c>
      <c r="R95" s="10">
        <v>1.2161</v>
      </c>
      <c r="S95" s="10">
        <v>1.2433000000000001</v>
      </c>
      <c r="T95" s="17">
        <v>110</v>
      </c>
      <c r="U95" s="10">
        <v>646010639</v>
      </c>
      <c r="V95" s="10">
        <v>652660035</v>
      </c>
    </row>
    <row r="96" spans="1:24">
      <c r="A96" s="145">
        <v>86</v>
      </c>
      <c r="B96" s="19" t="s">
        <v>323</v>
      </c>
      <c r="C96" s="19" t="s">
        <v>264</v>
      </c>
      <c r="D96" s="10">
        <v>1058609033.03</v>
      </c>
      <c r="E96" s="10">
        <v>29268660.82</v>
      </c>
      <c r="F96" s="10">
        <v>0</v>
      </c>
      <c r="G96" s="10">
        <v>1617045.06</v>
      </c>
      <c r="H96" s="12">
        <f>(E96+F96)-G96</f>
        <v>27651615.760000002</v>
      </c>
      <c r="I96" s="171">
        <v>1046197565.79</v>
      </c>
      <c r="J96" s="13">
        <f t="shared" si="31"/>
        <v>4.4004223821515727E-3</v>
      </c>
      <c r="K96" s="10">
        <v>1070906408.14</v>
      </c>
      <c r="L96" s="13">
        <f t="shared" si="38"/>
        <v>4.6011053664583631E-3</v>
      </c>
      <c r="M96" s="13">
        <f t="shared" si="39"/>
        <v>2.3617759358235551E-2</v>
      </c>
      <c r="N96" s="20">
        <f t="shared" si="40"/>
        <v>1.5099779473806297E-3</v>
      </c>
      <c r="O96" s="21">
        <f t="shared" si="41"/>
        <v>2.5820758518035777E-2</v>
      </c>
      <c r="P96" s="24">
        <f t="shared" si="42"/>
        <v>3.9444636547731773</v>
      </c>
      <c r="Q96" s="24">
        <f t="shared" si="43"/>
        <v>0.10184904351306705</v>
      </c>
      <c r="R96" s="10">
        <v>3.94</v>
      </c>
      <c r="S96" s="10">
        <v>3.97</v>
      </c>
      <c r="T96" s="17">
        <v>839</v>
      </c>
      <c r="U96" s="10">
        <v>269331010</v>
      </c>
      <c r="V96" s="10">
        <v>271496077</v>
      </c>
    </row>
    <row r="97" spans="1:22">
      <c r="A97" s="121">
        <v>87</v>
      </c>
      <c r="B97" s="122" t="s">
        <v>325</v>
      </c>
      <c r="C97" s="12" t="s">
        <v>324</v>
      </c>
      <c r="D97" s="10">
        <v>12212282137.459999</v>
      </c>
      <c r="E97" s="10">
        <v>140586409.99000001</v>
      </c>
      <c r="F97" s="10">
        <v>0</v>
      </c>
      <c r="G97" s="10">
        <v>14266110.189999999</v>
      </c>
      <c r="H97" s="12">
        <f>(E97+F97)-G97</f>
        <v>126320299.80000001</v>
      </c>
      <c r="I97" s="171">
        <v>11675486174.299999</v>
      </c>
      <c r="J97" s="13">
        <f t="shared" si="31"/>
        <v>4.9108382932525112E-2</v>
      </c>
      <c r="K97" s="10">
        <v>11737659747.469999</v>
      </c>
      <c r="L97" s="13">
        <f t="shared" si="38"/>
        <v>5.0430372666783296E-2</v>
      </c>
      <c r="M97" s="13">
        <f t="shared" si="39"/>
        <v>5.325137835104128E-3</v>
      </c>
      <c r="N97" s="20">
        <f t="shared" si="40"/>
        <v>1.2154135063486566E-3</v>
      </c>
      <c r="O97" s="21">
        <f t="shared" si="41"/>
        <v>1.0761966398559798E-2</v>
      </c>
      <c r="P97" s="24">
        <f t="shared" si="42"/>
        <v>1761.8403441078706</v>
      </c>
      <c r="Q97" s="24">
        <f t="shared" si="43"/>
        <v>18.960866582915934</v>
      </c>
      <c r="R97" s="10">
        <v>1761.84</v>
      </c>
      <c r="S97" s="10">
        <v>1761.84</v>
      </c>
      <c r="T97" s="17">
        <v>4633</v>
      </c>
      <c r="U97" s="10">
        <v>6696471.8099999996</v>
      </c>
      <c r="V97" s="10">
        <v>6662158.5700000003</v>
      </c>
    </row>
    <row r="98" spans="1:22" ht="14.7" customHeight="1">
      <c r="A98" s="145">
        <v>88</v>
      </c>
      <c r="B98" s="19" t="s">
        <v>104</v>
      </c>
      <c r="C98" s="19" t="s">
        <v>69</v>
      </c>
      <c r="D98" s="10">
        <v>24224705.41</v>
      </c>
      <c r="E98" s="10">
        <v>307085.83</v>
      </c>
      <c r="F98" s="10">
        <v>0</v>
      </c>
      <c r="G98" s="10">
        <v>254503.79</v>
      </c>
      <c r="H98" s="12">
        <f>(E98+F98)-G98</f>
        <v>52582.040000000008</v>
      </c>
      <c r="I98" s="171">
        <v>24040612.609999999</v>
      </c>
      <c r="J98" s="13">
        <f t="shared" si="31"/>
        <v>1.0111746888819851E-4</v>
      </c>
      <c r="K98" s="10">
        <v>24303709.07</v>
      </c>
      <c r="L98" s="13">
        <f t="shared" si="38"/>
        <v>1.0441988709456019E-4</v>
      </c>
      <c r="M98" s="13">
        <f t="shared" si="39"/>
        <v>1.0943833431705586E-2</v>
      </c>
      <c r="N98" s="20">
        <f t="shared" si="40"/>
        <v>1.0471808614354846E-2</v>
      </c>
      <c r="O98" s="21">
        <f t="shared" si="41"/>
        <v>2.1635397234451839E-3</v>
      </c>
      <c r="P98" s="24">
        <f t="shared" si="42"/>
        <v>0.74252040480136838</v>
      </c>
      <c r="Q98" s="24">
        <f t="shared" si="43"/>
        <v>1.6064723912563585E-3</v>
      </c>
      <c r="R98" s="10">
        <v>0.74239999999999995</v>
      </c>
      <c r="S98" s="10">
        <v>0.74239999999999995</v>
      </c>
      <c r="T98" s="17">
        <v>728</v>
      </c>
      <c r="U98" s="10">
        <v>32731368.609999999</v>
      </c>
      <c r="V98" s="10">
        <v>32731368.609999999</v>
      </c>
    </row>
    <row r="99" spans="1:22" ht="14.7" customHeight="1">
      <c r="A99" s="121">
        <v>89</v>
      </c>
      <c r="B99" s="19" t="s">
        <v>219</v>
      </c>
      <c r="C99" s="77" t="s">
        <v>34</v>
      </c>
      <c r="D99" s="10">
        <v>14936657671.59</v>
      </c>
      <c r="E99" s="10">
        <v>136680573.03</v>
      </c>
      <c r="F99" s="10">
        <v>0</v>
      </c>
      <c r="G99" s="10">
        <v>5492652.75</v>
      </c>
      <c r="H99" s="12">
        <f t="shared" si="30"/>
        <v>131187920.28</v>
      </c>
      <c r="I99" s="171">
        <v>11458665187.49</v>
      </c>
      <c r="J99" s="13">
        <f t="shared" si="31"/>
        <v>4.8196409941497882E-2</v>
      </c>
      <c r="K99" s="10">
        <v>13528035331.49</v>
      </c>
      <c r="L99" s="13">
        <f t="shared" si="38"/>
        <v>5.8122647775976151E-2</v>
      </c>
      <c r="M99" s="13">
        <f t="shared" si="39"/>
        <v>0.18059434586318443</v>
      </c>
      <c r="N99" s="20">
        <f t="shared" si="40"/>
        <v>4.0601998852075958E-4</v>
      </c>
      <c r="O99" s="21">
        <f t="shared" si="41"/>
        <v>9.6974850423864733E-3</v>
      </c>
      <c r="P99" s="24">
        <f t="shared" si="42"/>
        <v>1</v>
      </c>
      <c r="Q99" s="24">
        <f t="shared" si="43"/>
        <v>9.6974850423864733E-3</v>
      </c>
      <c r="R99" s="10">
        <v>1</v>
      </c>
      <c r="S99" s="10">
        <v>1</v>
      </c>
      <c r="T99" s="17">
        <v>7294</v>
      </c>
      <c r="U99" s="10">
        <v>13396083210.4</v>
      </c>
      <c r="V99" s="10">
        <v>13528035331.49</v>
      </c>
    </row>
    <row r="100" spans="1:22">
      <c r="A100" s="145">
        <v>90</v>
      </c>
      <c r="B100" s="77" t="s">
        <v>105</v>
      </c>
      <c r="C100" s="77" t="s">
        <v>106</v>
      </c>
      <c r="D100" s="10">
        <f>1104536297.05+898867470.79</f>
        <v>2003403767.8399999</v>
      </c>
      <c r="E100" s="10">
        <v>30267557.829999998</v>
      </c>
      <c r="F100" s="10">
        <v>0</v>
      </c>
      <c r="G100" s="10">
        <v>3378591.34</v>
      </c>
      <c r="H100" s="12">
        <f t="shared" si="30"/>
        <v>26888966.489999998</v>
      </c>
      <c r="I100" s="171">
        <v>1964368638.05</v>
      </c>
      <c r="J100" s="13">
        <f t="shared" si="31"/>
        <v>8.2623512081530827E-3</v>
      </c>
      <c r="K100" s="10">
        <v>1964368638.05</v>
      </c>
      <c r="L100" s="13">
        <f t="shared" si="38"/>
        <v>8.4398291144157436E-3</v>
      </c>
      <c r="M100" s="13">
        <f t="shared" si="39"/>
        <v>0</v>
      </c>
      <c r="N100" s="20">
        <f t="shared" si="40"/>
        <v>1.7199375283011432E-3</v>
      </c>
      <c r="O100" s="21">
        <f t="shared" si="41"/>
        <v>1.3688350531136702E-2</v>
      </c>
      <c r="P100" s="24">
        <f t="shared" si="42"/>
        <v>277.84144242219554</v>
      </c>
      <c r="Q100" s="24">
        <f t="shared" si="43"/>
        <v>3.8031910559516477</v>
      </c>
      <c r="R100" s="10">
        <v>289.44</v>
      </c>
      <c r="S100" s="10">
        <v>289.44</v>
      </c>
      <c r="T100" s="17">
        <v>579</v>
      </c>
      <c r="U100" s="10">
        <v>6716516.1500000004</v>
      </c>
      <c r="V100" s="10">
        <v>7070106.6799999997</v>
      </c>
    </row>
    <row r="101" spans="1:22">
      <c r="A101" s="121">
        <v>91</v>
      </c>
      <c r="B101" s="72" t="s">
        <v>222</v>
      </c>
      <c r="C101" s="73" t="s">
        <v>37</v>
      </c>
      <c r="D101" s="10">
        <v>779878803.01999998</v>
      </c>
      <c r="E101" s="10">
        <v>16187151.77</v>
      </c>
      <c r="F101" s="10">
        <v>0</v>
      </c>
      <c r="G101" s="10">
        <v>1448821.35</v>
      </c>
      <c r="H101" s="12">
        <f t="shared" si="30"/>
        <v>14738330.42</v>
      </c>
      <c r="I101" s="171">
        <v>786607990.51999998</v>
      </c>
      <c r="J101" s="13">
        <f t="shared" si="31"/>
        <v>3.3085599896705148E-3</v>
      </c>
      <c r="K101" s="10">
        <v>770217153.63999999</v>
      </c>
      <c r="L101" s="13">
        <f t="shared" si="38"/>
        <v>3.3092063433502218E-3</v>
      </c>
      <c r="M101" s="13">
        <f t="shared" si="39"/>
        <v>-2.0837363817223072E-2</v>
      </c>
      <c r="N101" s="20">
        <f t="shared" si="40"/>
        <v>1.8810556778084693E-3</v>
      </c>
      <c r="O101" s="21">
        <f t="shared" si="41"/>
        <v>1.9135292365727686E-2</v>
      </c>
      <c r="P101" s="24">
        <f t="shared" si="42"/>
        <v>116.00627935144277</v>
      </c>
      <c r="Q101" s="24">
        <f t="shared" si="43"/>
        <v>2.219814071650136</v>
      </c>
      <c r="R101" s="10">
        <v>117.38</v>
      </c>
      <c r="S101" s="10">
        <v>117.38</v>
      </c>
      <c r="T101" s="17">
        <v>470</v>
      </c>
      <c r="U101" s="10">
        <v>6734610.71</v>
      </c>
      <c r="V101" s="10">
        <v>6639443.6399999997</v>
      </c>
    </row>
    <row r="102" spans="1:22">
      <c r="A102" s="145">
        <v>92</v>
      </c>
      <c r="B102" s="19" t="s">
        <v>109</v>
      </c>
      <c r="C102" s="19" t="s">
        <v>22</v>
      </c>
      <c r="D102" s="10">
        <v>1795765132.55</v>
      </c>
      <c r="E102" s="10">
        <v>22710859.84</v>
      </c>
      <c r="F102" s="10">
        <v>69188187.439999998</v>
      </c>
      <c r="G102" s="10">
        <v>2529041.7200000002</v>
      </c>
      <c r="H102" s="12">
        <f t="shared" si="30"/>
        <v>89370005.560000002</v>
      </c>
      <c r="I102" s="171">
        <v>1776122980.48</v>
      </c>
      <c r="J102" s="13">
        <f t="shared" si="31"/>
        <v>7.4705692044467753E-3</v>
      </c>
      <c r="K102" s="10">
        <v>1809592968.04</v>
      </c>
      <c r="L102" s="13">
        <f t="shared" si="38"/>
        <v>7.7748418097668935E-3</v>
      </c>
      <c r="M102" s="13">
        <f t="shared" si="39"/>
        <v>1.8844408820696993E-2</v>
      </c>
      <c r="N102" s="20">
        <f t="shared" si="40"/>
        <v>1.3975749047805193E-3</v>
      </c>
      <c r="O102" s="21">
        <f t="shared" si="41"/>
        <v>4.9386799760168236E-2</v>
      </c>
      <c r="P102" s="24">
        <f t="shared" si="42"/>
        <v>416.43053017158269</v>
      </c>
      <c r="Q102" s="24">
        <f t="shared" si="43"/>
        <v>20.566171207604651</v>
      </c>
      <c r="R102" s="10">
        <v>416.43</v>
      </c>
      <c r="S102" s="10">
        <v>416.43</v>
      </c>
      <c r="T102" s="17">
        <v>97</v>
      </c>
      <c r="U102" s="10">
        <v>4356151.7300000004</v>
      </c>
      <c r="V102" s="10">
        <v>4345485.83</v>
      </c>
    </row>
    <row r="103" spans="1:22">
      <c r="A103" s="121">
        <v>93</v>
      </c>
      <c r="B103" s="72" t="s">
        <v>224</v>
      </c>
      <c r="C103" s="73" t="s">
        <v>225</v>
      </c>
      <c r="D103" s="10">
        <v>3768672753.8200002</v>
      </c>
      <c r="E103" s="10">
        <v>51586016.869999997</v>
      </c>
      <c r="F103" s="10">
        <v>200834845.43000001</v>
      </c>
      <c r="G103" s="10">
        <v>12202321.84</v>
      </c>
      <c r="H103" s="12">
        <f t="shared" si="30"/>
        <v>240218540.46000001</v>
      </c>
      <c r="I103" s="171">
        <v>5599217705.2700005</v>
      </c>
      <c r="J103" s="13">
        <f t="shared" si="31"/>
        <v>2.355092739506065E-2</v>
      </c>
      <c r="K103" s="10">
        <v>4071324355.71</v>
      </c>
      <c r="L103" s="13">
        <f t="shared" si="38"/>
        <v>1.7492277755798993E-2</v>
      </c>
      <c r="M103" s="13">
        <f t="shared" si="39"/>
        <v>-0.27287621771197479</v>
      </c>
      <c r="N103" s="20">
        <f t="shared" si="40"/>
        <v>2.9971382218383904E-3</v>
      </c>
      <c r="O103" s="21">
        <f t="shared" si="41"/>
        <v>5.9002555304417205E-2</v>
      </c>
      <c r="P103" s="24">
        <f t="shared" si="42"/>
        <v>106.04127585569222</v>
      </c>
      <c r="Q103" s="24">
        <f t="shared" si="43"/>
        <v>6.2567062432264402</v>
      </c>
      <c r="R103" s="10">
        <v>106.04</v>
      </c>
      <c r="S103" s="10">
        <v>106.04</v>
      </c>
      <c r="T103" s="17">
        <v>475</v>
      </c>
      <c r="U103" s="10">
        <v>54066093</v>
      </c>
      <c r="V103" s="10">
        <v>38393770</v>
      </c>
    </row>
    <row r="104" spans="1:22">
      <c r="A104" s="145">
        <v>94</v>
      </c>
      <c r="B104" s="77" t="s">
        <v>110</v>
      </c>
      <c r="C104" s="77" t="s">
        <v>39</v>
      </c>
      <c r="D104" s="10">
        <v>70748795.730000004</v>
      </c>
      <c r="E104" s="10">
        <v>4309986.1900000004</v>
      </c>
      <c r="F104" s="10">
        <v>0</v>
      </c>
      <c r="G104" s="10">
        <v>165873.07999999999</v>
      </c>
      <c r="H104" s="12">
        <f t="shared" si="30"/>
        <v>4144113.1100000003</v>
      </c>
      <c r="I104" s="171">
        <v>72854003.840000004</v>
      </c>
      <c r="J104" s="13">
        <f t="shared" si="31"/>
        <v>3.0643197767795549E-4</v>
      </c>
      <c r="K104" s="10">
        <v>71289556.099999994</v>
      </c>
      <c r="L104" s="13">
        <f t="shared" si="38"/>
        <v>3.0629264765895728E-4</v>
      </c>
      <c r="M104" s="13">
        <f t="shared" si="39"/>
        <v>-2.1473737303934693E-2</v>
      </c>
      <c r="N104" s="20">
        <f t="shared" si="40"/>
        <v>2.3267514776964646E-3</v>
      </c>
      <c r="O104" s="21">
        <f t="shared" si="41"/>
        <v>5.8130718392844651E-2</v>
      </c>
      <c r="P104" s="24">
        <f t="shared" si="42"/>
        <v>14.837370974321876</v>
      </c>
      <c r="Q104" s="24">
        <f t="shared" si="43"/>
        <v>0.86250703379847204</v>
      </c>
      <c r="R104" s="10">
        <v>13</v>
      </c>
      <c r="S104" s="10">
        <v>13.17</v>
      </c>
      <c r="T104" s="17">
        <v>53</v>
      </c>
      <c r="U104" s="10">
        <v>4817454.6399999997</v>
      </c>
      <c r="V104" s="10">
        <v>4804729.6399999997</v>
      </c>
    </row>
    <row r="105" spans="1:22">
      <c r="A105" s="121">
        <v>95</v>
      </c>
      <c r="B105" s="72" t="s">
        <v>239</v>
      </c>
      <c r="C105" s="73" t="s">
        <v>240</v>
      </c>
      <c r="D105" s="10">
        <v>1239916021.24</v>
      </c>
      <c r="E105" s="10">
        <v>19117444.850000001</v>
      </c>
      <c r="F105" s="10">
        <v>0</v>
      </c>
      <c r="G105" s="10">
        <v>1717730.97</v>
      </c>
      <c r="H105" s="12">
        <f t="shared" si="30"/>
        <v>17399713.880000003</v>
      </c>
      <c r="I105" s="171">
        <v>1171621797.4000001</v>
      </c>
      <c r="J105" s="13">
        <f t="shared" si="31"/>
        <v>4.9279705375748209E-3</v>
      </c>
      <c r="K105" s="10">
        <v>1204070095.9400001</v>
      </c>
      <c r="L105" s="13">
        <f t="shared" si="38"/>
        <v>5.17323767783199E-3</v>
      </c>
      <c r="M105" s="13">
        <f t="shared" si="39"/>
        <v>2.769519875100265E-2</v>
      </c>
      <c r="N105" s="20">
        <f t="shared" si="40"/>
        <v>1.4266037964002355E-3</v>
      </c>
      <c r="O105" s="21">
        <f t="shared" si="41"/>
        <v>1.4450748290045605E-2</v>
      </c>
      <c r="P105" s="24">
        <f t="shared" si="42"/>
        <v>171.24022285418448</v>
      </c>
      <c r="Q105" s="24">
        <f t="shared" si="43"/>
        <v>2.4745493575971347</v>
      </c>
      <c r="R105" s="10">
        <v>171.23</v>
      </c>
      <c r="S105" s="10">
        <v>171.23</v>
      </c>
      <c r="T105" s="17">
        <v>189</v>
      </c>
      <c r="U105" s="10">
        <v>6786618.75</v>
      </c>
      <c r="V105" s="10">
        <v>7031467.7000000002</v>
      </c>
    </row>
    <row r="106" spans="1:22">
      <c r="A106" s="145">
        <v>96</v>
      </c>
      <c r="B106" s="19" t="s">
        <v>111</v>
      </c>
      <c r="C106" s="19" t="s">
        <v>112</v>
      </c>
      <c r="D106" s="10">
        <v>12933932951.34</v>
      </c>
      <c r="E106" s="10">
        <v>197952107.34999999</v>
      </c>
      <c r="F106" s="10">
        <v>0</v>
      </c>
      <c r="G106" s="10">
        <v>21312407.309999999</v>
      </c>
      <c r="H106" s="12">
        <f t="shared" si="30"/>
        <v>176639700.03999999</v>
      </c>
      <c r="I106" s="171">
        <v>12461757411</v>
      </c>
      <c r="J106" s="13">
        <f t="shared" si="31"/>
        <v>5.2415526498476764E-2</v>
      </c>
      <c r="K106" s="10">
        <v>12806890534</v>
      </c>
      <c r="L106" s="13">
        <f t="shared" si="38"/>
        <v>5.5024278793865254E-2</v>
      </c>
      <c r="M106" s="13">
        <f t="shared" si="39"/>
        <v>2.7695381286699645E-2</v>
      </c>
      <c r="N106" s="20">
        <f t="shared" si="40"/>
        <v>1.6641359784734145E-3</v>
      </c>
      <c r="O106" s="21">
        <f t="shared" si="41"/>
        <v>1.37925517182374E-2</v>
      </c>
      <c r="P106" s="24">
        <f t="shared" si="42"/>
        <v>1.0899999999889356</v>
      </c>
      <c r="Q106" s="24">
        <f t="shared" si="43"/>
        <v>1.503388137272616E-2</v>
      </c>
      <c r="R106" s="10">
        <v>1.0900000000000001</v>
      </c>
      <c r="S106" s="10">
        <v>1.0900000000000001</v>
      </c>
      <c r="T106" s="17">
        <v>5550</v>
      </c>
      <c r="U106" s="10">
        <v>11646502254</v>
      </c>
      <c r="V106" s="10">
        <v>11749440857</v>
      </c>
    </row>
    <row r="107" spans="1:22">
      <c r="A107" s="121">
        <v>97</v>
      </c>
      <c r="B107" s="19" t="s">
        <v>113</v>
      </c>
      <c r="C107" s="19" t="s">
        <v>43</v>
      </c>
      <c r="D107" s="10">
        <v>14491313423.15</v>
      </c>
      <c r="E107" s="10">
        <v>163694968.00999999</v>
      </c>
      <c r="F107" s="10">
        <v>0</v>
      </c>
      <c r="G107" s="10">
        <v>25718022.899999999</v>
      </c>
      <c r="H107" s="12">
        <f t="shared" si="30"/>
        <v>137976945.10999998</v>
      </c>
      <c r="I107" s="171">
        <v>14992319159.76</v>
      </c>
      <c r="J107" s="13">
        <f t="shared" si="31"/>
        <v>6.3059348394823383E-2</v>
      </c>
      <c r="K107" s="10">
        <v>14926683870.879999</v>
      </c>
      <c r="L107" s="13">
        <f t="shared" si="38"/>
        <v>6.4131883738578768E-2</v>
      </c>
      <c r="M107" s="13">
        <f t="shared" si="39"/>
        <v>-4.3779276695342026E-3</v>
      </c>
      <c r="N107" s="20">
        <f t="shared" si="40"/>
        <v>1.7229562254059982E-3</v>
      </c>
      <c r="O107" s="21">
        <f t="shared" si="41"/>
        <v>9.2436435516112785E-3</v>
      </c>
      <c r="P107" s="24">
        <f t="shared" si="42"/>
        <v>259.24590851159746</v>
      </c>
      <c r="Q107" s="24">
        <f t="shared" si="43"/>
        <v>2.3963767704948351</v>
      </c>
      <c r="R107" s="10">
        <v>259.25</v>
      </c>
      <c r="S107" s="10">
        <v>259.25</v>
      </c>
      <c r="T107" s="17">
        <v>5913</v>
      </c>
      <c r="U107" s="10">
        <v>57829215.869999997</v>
      </c>
      <c r="V107" s="10">
        <v>57577317.060000002</v>
      </c>
    </row>
    <row r="108" spans="1:22">
      <c r="A108" s="145">
        <v>98</v>
      </c>
      <c r="B108" s="77" t="s">
        <v>114</v>
      </c>
      <c r="C108" s="19" t="s">
        <v>43</v>
      </c>
      <c r="D108" s="10">
        <v>1247105693.3499999</v>
      </c>
      <c r="E108" s="10">
        <v>14764492.369999999</v>
      </c>
      <c r="F108" s="10">
        <v>14610032.93</v>
      </c>
      <c r="G108" s="10">
        <v>1848265.64</v>
      </c>
      <c r="H108" s="12">
        <f t="shared" si="30"/>
        <v>27526259.659999996</v>
      </c>
      <c r="I108" s="171">
        <v>1380499808.5699999</v>
      </c>
      <c r="J108" s="13">
        <f t="shared" si="31"/>
        <v>5.806534496761352E-3</v>
      </c>
      <c r="K108" s="10">
        <v>1323485008.25</v>
      </c>
      <c r="L108" s="13">
        <f t="shared" si="38"/>
        <v>5.6862989404114052E-3</v>
      </c>
      <c r="M108" s="13">
        <f t="shared" si="39"/>
        <v>-4.1300114615053153E-2</v>
      </c>
      <c r="N108" s="20">
        <f t="shared" si="40"/>
        <v>1.3965142245501517E-3</v>
      </c>
      <c r="O108" s="21">
        <f t="shared" si="41"/>
        <v>2.0798316179188949E-2</v>
      </c>
      <c r="P108" s="24">
        <f t="shared" si="42"/>
        <v>11017.90355308313</v>
      </c>
      <c r="Q108" s="24">
        <f t="shared" si="43"/>
        <v>229.15384172883228</v>
      </c>
      <c r="R108" s="10">
        <v>10991.25</v>
      </c>
      <c r="S108" s="10">
        <v>11036.17</v>
      </c>
      <c r="T108" s="17">
        <v>31</v>
      </c>
      <c r="U108" s="10">
        <v>129437.03</v>
      </c>
      <c r="V108" s="10">
        <v>120121.31</v>
      </c>
    </row>
    <row r="109" spans="1:22">
      <c r="A109" s="121">
        <v>99</v>
      </c>
      <c r="B109" s="19" t="s">
        <v>115</v>
      </c>
      <c r="C109" s="19" t="s">
        <v>43</v>
      </c>
      <c r="D109" s="10">
        <v>6288422296.3900003</v>
      </c>
      <c r="E109" s="10">
        <v>87292441.099999994</v>
      </c>
      <c r="F109" s="10">
        <v>0</v>
      </c>
      <c r="G109" s="10">
        <v>8573447.4000000004</v>
      </c>
      <c r="H109" s="12">
        <f t="shared" si="30"/>
        <v>78718993.699999988</v>
      </c>
      <c r="I109" s="171">
        <v>5895879030.2799997</v>
      </c>
      <c r="J109" s="13">
        <f t="shared" si="31"/>
        <v>2.4798717656842599E-2</v>
      </c>
      <c r="K109" s="10">
        <v>6548027183.96</v>
      </c>
      <c r="L109" s="13">
        <f t="shared" si="38"/>
        <v>2.8133329660583125E-2</v>
      </c>
      <c r="M109" s="13">
        <f t="shared" si="39"/>
        <v>0.11061084366397343</v>
      </c>
      <c r="N109" s="20">
        <f t="shared" si="40"/>
        <v>1.3093176248567592E-3</v>
      </c>
      <c r="O109" s="21">
        <f t="shared" si="41"/>
        <v>1.2021787858918708E-2</v>
      </c>
      <c r="P109" s="24">
        <f t="shared" si="42"/>
        <v>177.54339919303058</v>
      </c>
      <c r="Q109" s="24">
        <f t="shared" si="43"/>
        <v>2.1343890808499326</v>
      </c>
      <c r="R109" s="10">
        <v>177.54</v>
      </c>
      <c r="S109" s="10">
        <v>177.54</v>
      </c>
      <c r="T109" s="17">
        <v>7049</v>
      </c>
      <c r="U109" s="10">
        <v>33907456.710000001</v>
      </c>
      <c r="V109" s="10">
        <v>36881276.43</v>
      </c>
    </row>
    <row r="110" spans="1:22">
      <c r="A110" s="145">
        <v>100</v>
      </c>
      <c r="B110" s="19" t="s">
        <v>116</v>
      </c>
      <c r="C110" s="19" t="s">
        <v>43</v>
      </c>
      <c r="D110" s="10">
        <v>5543884998.1000004</v>
      </c>
      <c r="E110" s="10">
        <v>63123611.880000003</v>
      </c>
      <c r="F110" s="10">
        <v>0</v>
      </c>
      <c r="G110" s="10">
        <v>10042750.4</v>
      </c>
      <c r="H110" s="12">
        <f t="shared" si="30"/>
        <v>53080861.480000004</v>
      </c>
      <c r="I110" s="171">
        <v>5578912033.3000002</v>
      </c>
      <c r="J110" s="13">
        <f t="shared" si="31"/>
        <v>2.3465519498556946E-2</v>
      </c>
      <c r="K110" s="10">
        <v>5709125511.1700001</v>
      </c>
      <c r="L110" s="13">
        <f t="shared" si="38"/>
        <v>2.4529023103758072E-2</v>
      </c>
      <c r="M110" s="13">
        <f t="shared" si="39"/>
        <v>2.3340299523055375E-2</v>
      </c>
      <c r="N110" s="20">
        <f t="shared" si="40"/>
        <v>1.7590698225763632E-3</v>
      </c>
      <c r="O110" s="21">
        <f t="shared" si="41"/>
        <v>9.2975467742207468E-3</v>
      </c>
      <c r="P110" s="24">
        <f t="shared" si="42"/>
        <v>396.91794514047302</v>
      </c>
      <c r="Q110" s="24">
        <f t="shared" si="43"/>
        <v>3.6903631604711324</v>
      </c>
      <c r="R110" s="10">
        <v>396.92</v>
      </c>
      <c r="S110" s="10">
        <v>396.92</v>
      </c>
      <c r="T110" s="17">
        <v>13743</v>
      </c>
      <c r="U110" s="10">
        <v>14189240.5</v>
      </c>
      <c r="V110" s="10">
        <v>14383641.710000001</v>
      </c>
    </row>
    <row r="111" spans="1:22">
      <c r="A111" s="121">
        <v>101</v>
      </c>
      <c r="B111" s="19" t="s">
        <v>284</v>
      </c>
      <c r="C111" s="19" t="s">
        <v>285</v>
      </c>
      <c r="D111" s="10">
        <v>120087672.98999999</v>
      </c>
      <c r="E111" s="10">
        <v>1851809.21</v>
      </c>
      <c r="F111" s="10">
        <v>0</v>
      </c>
      <c r="G111" s="10">
        <v>367867.91</v>
      </c>
      <c r="H111" s="12">
        <f t="shared" ref="H111" si="45">(E111+F111)-G111</f>
        <v>1483941.3</v>
      </c>
      <c r="I111" s="171">
        <v>115437127.56999999</v>
      </c>
      <c r="J111" s="13">
        <f t="shared" si="31"/>
        <v>4.855412940162375E-4</v>
      </c>
      <c r="K111" s="10">
        <v>117327158</v>
      </c>
      <c r="L111" s="13">
        <f t="shared" si="38"/>
        <v>5.040913119968328E-4</v>
      </c>
      <c r="M111" s="13">
        <f t="shared" si="39"/>
        <v>1.6372812367961169E-2</v>
      </c>
      <c r="N111" s="20">
        <f t="shared" si="40"/>
        <v>3.1354028877099366E-3</v>
      </c>
      <c r="O111" s="21">
        <f t="shared" si="41"/>
        <v>1.2647892655850404E-2</v>
      </c>
      <c r="P111" s="24">
        <f t="shared" si="42"/>
        <v>122.25583855844776</v>
      </c>
      <c r="Q111" s="24">
        <f t="shared" si="43"/>
        <v>1.5462787226382242</v>
      </c>
      <c r="R111" s="10">
        <v>122.25579999999999</v>
      </c>
      <c r="S111" s="10">
        <v>122.25579999999999</v>
      </c>
      <c r="T111" s="17">
        <v>18</v>
      </c>
      <c r="U111" s="10">
        <v>964451.09</v>
      </c>
      <c r="V111" s="10">
        <v>959685.52</v>
      </c>
    </row>
    <row r="112" spans="1:22">
      <c r="A112" s="145">
        <v>102</v>
      </c>
      <c r="B112" s="19" t="s">
        <v>117</v>
      </c>
      <c r="C112" s="19" t="s">
        <v>47</v>
      </c>
      <c r="D112" s="10">
        <v>72776206823.690002</v>
      </c>
      <c r="E112" s="10">
        <v>704205369.75999999</v>
      </c>
      <c r="F112" s="10">
        <v>0</v>
      </c>
      <c r="G112" s="10">
        <v>119869516.40000001</v>
      </c>
      <c r="H112" s="12">
        <f t="shared" si="30"/>
        <v>584335853.36000001</v>
      </c>
      <c r="I112" s="10">
        <v>79977531092.130035</v>
      </c>
      <c r="J112" s="13">
        <f t="shared" si="31"/>
        <v>0.33639431919465496</v>
      </c>
      <c r="K112" s="10">
        <v>76922801808.589996</v>
      </c>
      <c r="L112" s="13">
        <f t="shared" si="38"/>
        <v>0.33049565630972216</v>
      </c>
      <c r="M112" s="13">
        <f t="shared" si="39"/>
        <v>-3.8194843499496714E-2</v>
      </c>
      <c r="N112" s="20">
        <f t="shared" si="40"/>
        <v>1.5583092864749778E-3</v>
      </c>
      <c r="O112" s="21">
        <f t="shared" si="41"/>
        <v>7.5963932620918525E-3</v>
      </c>
      <c r="P112" s="24">
        <f t="shared" si="42"/>
        <v>1.9147824857832765</v>
      </c>
      <c r="Q112" s="24">
        <f t="shared" si="43"/>
        <v>1.454544077337557E-2</v>
      </c>
      <c r="R112" s="10">
        <v>1.91478248578328</v>
      </c>
      <c r="S112" s="10">
        <v>1.91478248578328</v>
      </c>
      <c r="T112" s="17">
        <v>1389</v>
      </c>
      <c r="U112" s="10">
        <v>38169896389.860001</v>
      </c>
      <c r="V112" s="10">
        <v>40173127955.639999</v>
      </c>
    </row>
    <row r="113" spans="1:23">
      <c r="A113" s="121">
        <v>103</v>
      </c>
      <c r="B113" s="19" t="s">
        <v>238</v>
      </c>
      <c r="C113" s="19" t="s">
        <v>47</v>
      </c>
      <c r="D113" s="10">
        <v>37284014660.580002</v>
      </c>
      <c r="E113" s="10">
        <v>818750075.18999898</v>
      </c>
      <c r="F113" s="10">
        <v>0</v>
      </c>
      <c r="G113" s="10">
        <v>104688491.66</v>
      </c>
      <c r="H113" s="12">
        <f t="shared" si="30"/>
        <v>714061583.52999902</v>
      </c>
      <c r="I113" s="10">
        <v>58972206564</v>
      </c>
      <c r="J113" s="13">
        <f t="shared" si="31"/>
        <v>0.24804360684316545</v>
      </c>
      <c r="K113" s="10">
        <v>53872422429.809998</v>
      </c>
      <c r="L113" s="13">
        <f t="shared" si="38"/>
        <v>0.23146064871945951</v>
      </c>
      <c r="M113" s="13">
        <f t="shared" si="39"/>
        <v>-8.6477756748942841E-2</v>
      </c>
      <c r="N113" s="20">
        <f t="shared" si="40"/>
        <v>1.9432668318637035E-3</v>
      </c>
      <c r="O113" s="21">
        <f t="shared" si="41"/>
        <v>1.3254677464343558E-2</v>
      </c>
      <c r="P113" s="24">
        <f t="shared" si="42"/>
        <v>128.32577955956504</v>
      </c>
      <c r="Q113" s="24">
        <f t="shared" si="43"/>
        <v>1.7009168184224861</v>
      </c>
      <c r="R113" s="10">
        <v>128.32577955956501</v>
      </c>
      <c r="S113" s="10">
        <v>128.32577955956501</v>
      </c>
      <c r="T113" s="17">
        <v>261</v>
      </c>
      <c r="U113" s="10">
        <v>418926122.42000002</v>
      </c>
      <c r="V113" s="10">
        <v>419809820.08999997</v>
      </c>
    </row>
    <row r="114" spans="1:23">
      <c r="A114" s="145">
        <v>104</v>
      </c>
      <c r="B114" s="125" t="s">
        <v>220</v>
      </c>
      <c r="C114" s="72" t="s">
        <v>221</v>
      </c>
      <c r="D114" s="10">
        <v>114000000</v>
      </c>
      <c r="E114" s="10">
        <v>4437923.1900000004</v>
      </c>
      <c r="F114" s="10">
        <v>0</v>
      </c>
      <c r="G114" s="10">
        <v>484160.53</v>
      </c>
      <c r="H114" s="12">
        <f>(E114+F114)-G114</f>
        <v>3953762.66</v>
      </c>
      <c r="I114" s="171">
        <v>119682628.58</v>
      </c>
      <c r="J114" s="13">
        <f t="shared" si="31"/>
        <v>5.0339833964389011E-4</v>
      </c>
      <c r="K114" s="10">
        <v>121205669.77</v>
      </c>
      <c r="L114" s="13">
        <f t="shared" si="38"/>
        <v>5.2075517840306123E-4</v>
      </c>
      <c r="M114" s="13">
        <f t="shared" si="39"/>
        <v>1.2725666273129557E-2</v>
      </c>
      <c r="N114" s="20">
        <f t="shared" si="40"/>
        <v>3.9945369793240168E-3</v>
      </c>
      <c r="O114" s="21">
        <f t="shared" si="41"/>
        <v>3.2620278139650266E-2</v>
      </c>
      <c r="P114" s="24">
        <f t="shared" si="42"/>
        <v>121.46342609187531</v>
      </c>
      <c r="Q114" s="24">
        <f t="shared" si="43"/>
        <v>3.9621707429118258</v>
      </c>
      <c r="R114" s="10">
        <v>121.46339999999999</v>
      </c>
      <c r="S114" s="10">
        <v>121.46339999999999</v>
      </c>
      <c r="T114" s="17">
        <v>82</v>
      </c>
      <c r="U114" s="10">
        <v>991036.85</v>
      </c>
      <c r="V114" s="10">
        <v>997877.91</v>
      </c>
    </row>
    <row r="115" spans="1:23">
      <c r="A115" s="121">
        <v>105</v>
      </c>
      <c r="B115" s="72" t="s">
        <v>268</v>
      </c>
      <c r="C115" s="72" t="s">
        <v>267</v>
      </c>
      <c r="D115" s="10">
        <v>488277142.31999999</v>
      </c>
      <c r="E115" s="10">
        <v>7041200.0199999996</v>
      </c>
      <c r="F115" s="10">
        <v>0</v>
      </c>
      <c r="G115" s="10">
        <v>1017988.98</v>
      </c>
      <c r="H115" s="12">
        <f t="shared" si="30"/>
        <v>6023211.0399999991</v>
      </c>
      <c r="I115" s="10">
        <v>521898087.25</v>
      </c>
      <c r="J115" s="13">
        <f t="shared" si="31"/>
        <v>2.1951609327276701E-3</v>
      </c>
      <c r="K115" s="10">
        <v>529083308.75999999</v>
      </c>
      <c r="L115" s="13">
        <f t="shared" si="38"/>
        <v>2.2731846898435379E-3</v>
      </c>
      <c r="M115" s="13">
        <f t="shared" si="39"/>
        <v>1.3767480060830575E-2</v>
      </c>
      <c r="N115" s="20">
        <f t="shared" si="40"/>
        <v>1.9240617935686473E-3</v>
      </c>
      <c r="O115" s="21">
        <f t="shared" si="41"/>
        <v>1.1384239382104977E-2</v>
      </c>
      <c r="P115" s="24">
        <f t="shared" si="42"/>
        <v>1.4758146130866692</v>
      </c>
      <c r="Q115" s="24">
        <f t="shared" si="43"/>
        <v>1.6801026838987276E-2</v>
      </c>
      <c r="R115" s="10">
        <v>1.4758</v>
      </c>
      <c r="S115" s="10">
        <v>1.4758</v>
      </c>
      <c r="T115" s="17">
        <v>61</v>
      </c>
      <c r="U115" s="10">
        <v>358390049.5</v>
      </c>
      <c r="V115" s="10">
        <v>358502554.5</v>
      </c>
    </row>
    <row r="116" spans="1:23">
      <c r="A116" s="145">
        <v>106</v>
      </c>
      <c r="B116" s="133" t="s">
        <v>118</v>
      </c>
      <c r="C116" s="77" t="s">
        <v>86</v>
      </c>
      <c r="D116" s="10">
        <v>2033732015</v>
      </c>
      <c r="E116" s="10">
        <v>26445079.809999999</v>
      </c>
      <c r="F116" s="10">
        <v>0</v>
      </c>
      <c r="G116" s="10">
        <v>5794.57</v>
      </c>
      <c r="H116" s="12">
        <f t="shared" si="30"/>
        <v>26439285.239999998</v>
      </c>
      <c r="I116" s="171">
        <v>2109994757.28</v>
      </c>
      <c r="J116" s="13">
        <f t="shared" si="31"/>
        <v>8.8748707316540533E-3</v>
      </c>
      <c r="K116" s="10">
        <v>2123579902.76</v>
      </c>
      <c r="L116" s="13">
        <f t="shared" si="38"/>
        <v>9.1238737693824894E-3</v>
      </c>
      <c r="M116" s="13">
        <f t="shared" si="39"/>
        <v>6.4384735711441616E-3</v>
      </c>
      <c r="N116" s="20">
        <f t="shared" si="40"/>
        <v>2.7286799957321327E-6</v>
      </c>
      <c r="O116" s="21">
        <f t="shared" si="41"/>
        <v>1.2450336907802277E-2</v>
      </c>
      <c r="P116" s="24">
        <f t="shared" si="42"/>
        <v>32.592719091616161</v>
      </c>
      <c r="Q116" s="24">
        <f t="shared" si="43"/>
        <v>0.40579033343198062</v>
      </c>
      <c r="R116" s="10">
        <v>32.5364</v>
      </c>
      <c r="S116" s="10">
        <v>32.5364</v>
      </c>
      <c r="T116" s="16">
        <v>1360</v>
      </c>
      <c r="U116" s="10">
        <v>65501708.390000001</v>
      </c>
      <c r="V116" s="10">
        <v>65155039.590000004</v>
      </c>
    </row>
    <row r="117" spans="1:23">
      <c r="A117" s="147" t="s">
        <v>48</v>
      </c>
      <c r="B117" s="147"/>
      <c r="C117" s="147"/>
      <c r="D117" s="147"/>
      <c r="E117" s="147"/>
      <c r="F117" s="147"/>
      <c r="G117" s="147"/>
      <c r="H117" s="147"/>
      <c r="I117" s="36">
        <f>SUM(I79:I116)</f>
        <v>237749351069.90002</v>
      </c>
      <c r="J117" s="34">
        <f>(I117/$I$248)</f>
        <v>2.5862437124308423E-2</v>
      </c>
      <c r="K117" s="36">
        <f>SUM(K79:K116)</f>
        <v>232749811805.39999</v>
      </c>
      <c r="L117" s="34">
        <f>(K117/$K$248)</f>
        <v>2.4631182219885004E-2</v>
      </c>
      <c r="M117" s="34">
        <f t="shared" si="33"/>
        <v>-2.1028613714407701E-2</v>
      </c>
      <c r="N117" s="20"/>
      <c r="O117" s="20"/>
      <c r="P117" s="37"/>
      <c r="Q117" s="37"/>
      <c r="R117" s="36"/>
      <c r="S117" s="36"/>
      <c r="T117" s="36">
        <f>SUM(T79:T116)</f>
        <v>67113</v>
      </c>
      <c r="U117" s="36"/>
      <c r="V117" s="10"/>
    </row>
    <row r="118" spans="1:23" ht="7.2" customHeight="1">
      <c r="A118" s="165"/>
      <c r="B118" s="165"/>
      <c r="C118" s="165"/>
      <c r="D118" s="165"/>
      <c r="E118" s="165"/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5"/>
    </row>
    <row r="119" spans="1:23">
      <c r="A119" s="146" t="s">
        <v>181</v>
      </c>
      <c r="B119" s="146"/>
      <c r="C119" s="146"/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</row>
    <row r="120" spans="1:23">
      <c r="A120" s="166" t="s">
        <v>119</v>
      </c>
      <c r="B120" s="166"/>
      <c r="C120" s="166"/>
      <c r="D120" s="166"/>
      <c r="E120" s="166"/>
      <c r="F120" s="166"/>
      <c r="G120" s="166"/>
      <c r="H120" s="166"/>
      <c r="I120" s="166"/>
      <c r="J120" s="166"/>
      <c r="K120" s="166"/>
      <c r="L120" s="166"/>
      <c r="M120" s="166"/>
      <c r="N120" s="166"/>
      <c r="O120" s="166"/>
      <c r="P120" s="166"/>
      <c r="Q120" s="166"/>
      <c r="R120" s="166"/>
      <c r="S120" s="166"/>
      <c r="T120" s="166"/>
      <c r="U120" s="166"/>
      <c r="V120" s="166"/>
    </row>
    <row r="121" spans="1:23">
      <c r="A121" s="184">
        <v>107</v>
      </c>
      <c r="B121" s="122" t="s">
        <v>120</v>
      </c>
      <c r="C121" s="19" t="s">
        <v>22</v>
      </c>
      <c r="D121" s="17">
        <v>4489813979.5</v>
      </c>
      <c r="E121" s="17">
        <v>30489023.66</v>
      </c>
      <c r="F121" s="17">
        <v>30184912.449999999</v>
      </c>
      <c r="G121" s="17">
        <v>8431739.9800000004</v>
      </c>
      <c r="H121" s="12">
        <f t="shared" ref="H121:H136" si="46">(E121+F121)-G121</f>
        <v>52242196.129999995</v>
      </c>
      <c r="I121" s="29">
        <v>4519710336.2200003</v>
      </c>
      <c r="J121" s="13">
        <f t="shared" ref="J121:J138" si="47">(I121/$I$161)</f>
        <v>2.4409741532195979E-3</v>
      </c>
      <c r="K121" s="29">
        <v>4533893496.1999998</v>
      </c>
      <c r="L121" s="13">
        <f t="shared" ref="L121" si="48">(K121/$K$161)</f>
        <v>2.491975855654107E-3</v>
      </c>
      <c r="M121" s="13">
        <f t="shared" ref="M121" si="49">((K121-I121)/I121)</f>
        <v>3.1380683550312296E-3</v>
      </c>
      <c r="N121" s="20">
        <f t="shared" ref="N121" si="50">(G121/K121)</f>
        <v>1.8597128466001484E-3</v>
      </c>
      <c r="O121" s="21">
        <f t="shared" ref="O121" si="51">H121/K121</f>
        <v>1.1522590059467838E-2</v>
      </c>
      <c r="P121" s="24">
        <f t="shared" ref="P121" si="52">K121/V121</f>
        <v>164490.16813292741</v>
      </c>
      <c r="Q121" s="24">
        <f t="shared" ref="Q121" si="53">H121/V121</f>
        <v>1895.3527762086626</v>
      </c>
      <c r="R121" s="10">
        <f>120.2657*FX_RATE</f>
        <v>164550.32090423998</v>
      </c>
      <c r="S121" s="10">
        <f>120.2657*FX_RATE</f>
        <v>164550.32090423998</v>
      </c>
      <c r="T121" s="10">
        <v>191</v>
      </c>
      <c r="U121" s="10">
        <v>27510.04</v>
      </c>
      <c r="V121" s="10">
        <v>27563.31</v>
      </c>
    </row>
    <row r="122" spans="1:23">
      <c r="A122" s="120">
        <v>108</v>
      </c>
      <c r="B122" s="72" t="s">
        <v>209</v>
      </c>
      <c r="C122" s="73" t="s">
        <v>52</v>
      </c>
      <c r="D122" s="17">
        <f>4068905.28*C250</f>
        <v>5567170602.6984949</v>
      </c>
      <c r="E122" s="17">
        <f>58289.51*FX_RATE</f>
        <v>79753059.89863199</v>
      </c>
      <c r="F122" s="17">
        <v>0</v>
      </c>
      <c r="G122" s="17">
        <f>7005.82*C250</f>
        <v>9585525.4590239991</v>
      </c>
      <c r="H122" s="12">
        <f t="shared" si="46"/>
        <v>70167534.439607993</v>
      </c>
      <c r="I122" s="29">
        <v>5618228117.9377718</v>
      </c>
      <c r="J122" s="13">
        <f t="shared" si="47"/>
        <v>3.0342541009491259E-3</v>
      </c>
      <c r="K122" s="29">
        <f>4065384.52*FX_RATE</f>
        <v>5562353417.184864</v>
      </c>
      <c r="L122" s="13">
        <f t="shared" ref="L122:L138" si="54">(K122/$K$161)</f>
        <v>3.0572509980345487E-3</v>
      </c>
      <c r="M122" s="13">
        <f t="shared" ref="M122:M138" si="55">((K122-I122)/I122)</f>
        <v>-9.9452531260722701E-3</v>
      </c>
      <c r="N122" s="20">
        <f t="shared" ref="N122:N138" si="56">(G122/K122)</f>
        <v>1.7232859439332935E-3</v>
      </c>
      <c r="O122" s="21">
        <f t="shared" ref="O122:O138" si="57">H122/K122</f>
        <v>1.2614720636561088E-2</v>
      </c>
      <c r="P122" s="24">
        <f t="shared" ref="P122:P138" si="58">K122/V122</f>
        <v>147782.78578582697</v>
      </c>
      <c r="Q122" s="24">
        <f t="shared" ref="Q122:Q138" si="59">H122/V122</f>
        <v>1864.2385575809581</v>
      </c>
      <c r="R122" s="10">
        <f>100*C250</f>
        <v>136822.31999999998</v>
      </c>
      <c r="S122" s="10">
        <f>100*C250</f>
        <v>136822.31999999998</v>
      </c>
      <c r="T122" s="10">
        <v>120</v>
      </c>
      <c r="U122" s="10">
        <v>38216.19</v>
      </c>
      <c r="V122" s="10">
        <v>37638.710000000006</v>
      </c>
    </row>
    <row r="123" spans="1:23" ht="13.2" customHeight="1">
      <c r="A123" s="184">
        <v>109</v>
      </c>
      <c r="B123" s="19" t="s">
        <v>121</v>
      </c>
      <c r="C123" s="77" t="s">
        <v>26</v>
      </c>
      <c r="D123" s="17">
        <f>8555868*FX_RATE</f>
        <v>11706337093.737598</v>
      </c>
      <c r="E123" s="17">
        <f>83116*FX_RATE</f>
        <v>113721239.49119999</v>
      </c>
      <c r="F123" s="17">
        <f>8424*C250</f>
        <v>11525912.2368</v>
      </c>
      <c r="G123" s="17">
        <f>23857*FX_RATE</f>
        <v>32641700.882399999</v>
      </c>
      <c r="H123" s="12">
        <f t="shared" si="46"/>
        <v>92605450.845599979</v>
      </c>
      <c r="I123" s="29">
        <v>17493479545.6912</v>
      </c>
      <c r="J123" s="13">
        <f t="shared" si="47"/>
        <v>9.4477584279483839E-3</v>
      </c>
      <c r="K123" s="29">
        <f>12911806*FX_RATE</f>
        <v>17666232523.099197</v>
      </c>
      <c r="L123" s="13">
        <f t="shared" si="54"/>
        <v>9.7099380355608941E-3</v>
      </c>
      <c r="M123" s="13">
        <f t="shared" si="55"/>
        <v>9.8752782119065456E-3</v>
      </c>
      <c r="N123" s="20">
        <f t="shared" si="56"/>
        <v>1.8476888515828074E-3</v>
      </c>
      <c r="O123" s="21">
        <f t="shared" si="57"/>
        <v>5.2419467888535493E-3</v>
      </c>
      <c r="P123" s="24">
        <f t="shared" si="58"/>
        <v>1700.5022819792637</v>
      </c>
      <c r="Q123" s="24">
        <f t="shared" si="59"/>
        <v>8.9139424764593347</v>
      </c>
      <c r="R123" s="10">
        <f>1.2429*FX_RATE</f>
        <v>1700.5646152799998</v>
      </c>
      <c r="S123" s="10">
        <f>1.2429*FX_RATE</f>
        <v>1700.5646152799998</v>
      </c>
      <c r="T123" s="10">
        <v>349</v>
      </c>
      <c r="U123" s="10">
        <v>10255987</v>
      </c>
      <c r="V123" s="10">
        <v>10388832</v>
      </c>
    </row>
    <row r="124" spans="1:23" ht="13.2" customHeight="1">
      <c r="A124" s="120">
        <v>110</v>
      </c>
      <c r="B124" s="19" t="s">
        <v>247</v>
      </c>
      <c r="C124" s="77" t="s">
        <v>26</v>
      </c>
      <c r="D124" s="17">
        <f>2084096*FX_RATE</f>
        <v>2851508498.2272</v>
      </c>
      <c r="E124" s="17">
        <f>19919*FX_RATE</f>
        <v>27253637.920799997</v>
      </c>
      <c r="F124" s="17">
        <f>953*FX_RATE</f>
        <v>1303916.7095999999</v>
      </c>
      <c r="G124" s="17">
        <f>25758*FX_RATE</f>
        <v>35242693.185599998</v>
      </c>
      <c r="H124" s="12">
        <f t="shared" si="46"/>
        <v>-6685138.5551999994</v>
      </c>
      <c r="I124" s="29">
        <v>4365920971.427</v>
      </c>
      <c r="J124" s="13">
        <f t="shared" si="47"/>
        <v>2.3579166480756442E-3</v>
      </c>
      <c r="K124" s="29">
        <f>3206875*FX_RATE</f>
        <v>4387720774.5</v>
      </c>
      <c r="L124" s="13">
        <f t="shared" si="54"/>
        <v>2.4116345566057408E-3</v>
      </c>
      <c r="M124" s="13">
        <f t="shared" si="55"/>
        <v>4.9931739982628899E-3</v>
      </c>
      <c r="N124" s="20">
        <f t="shared" si="56"/>
        <v>8.0321184954199962E-3</v>
      </c>
      <c r="O124" s="21">
        <f t="shared" si="57"/>
        <v>-1.5236016371077761E-3</v>
      </c>
      <c r="P124" s="24">
        <f t="shared" si="58"/>
        <v>1460.3310098458801</v>
      </c>
      <c r="Q124" s="24">
        <f t="shared" si="59"/>
        <v>-2.2249627173204347</v>
      </c>
      <c r="R124" s="10">
        <f>1.0673*FX_RATE</f>
        <v>1460.3046213599998</v>
      </c>
      <c r="S124" s="10">
        <f>1.0673*FX_RATE</f>
        <v>1460.3046213599998</v>
      </c>
      <c r="T124" s="10">
        <v>128</v>
      </c>
      <c r="U124" s="10">
        <v>2960307</v>
      </c>
      <c r="V124" s="10">
        <v>3004607</v>
      </c>
    </row>
    <row r="125" spans="1:23" ht="13.2" customHeight="1">
      <c r="A125" s="184">
        <v>111</v>
      </c>
      <c r="B125" s="73" t="s">
        <v>214</v>
      </c>
      <c r="C125" s="73" t="s">
        <v>94</v>
      </c>
      <c r="D125" s="17">
        <f>35087350.96*FX_RATE</f>
        <v>48007327610.014267</v>
      </c>
      <c r="E125" s="17">
        <f>482396.97*FX_RATE</f>
        <v>660026725.96370387</v>
      </c>
      <c r="F125" s="17">
        <v>0</v>
      </c>
      <c r="G125" s="17">
        <f>54879.17*FX_RATE</f>
        <v>75086953.590743989</v>
      </c>
      <c r="H125" s="12">
        <f t="shared" si="46"/>
        <v>584939772.37295985</v>
      </c>
      <c r="I125" s="29">
        <v>49914189601.410721</v>
      </c>
      <c r="J125" s="13">
        <f t="shared" si="47"/>
        <v>2.6957313109106155E-2</v>
      </c>
      <c r="K125" s="29">
        <f>35204464.4*FX_RATE</f>
        <v>48167564935.654076</v>
      </c>
      <c r="L125" s="13">
        <f t="shared" si="54"/>
        <v>2.6474465918951185E-2</v>
      </c>
      <c r="M125" s="13">
        <f t="shared" si="55"/>
        <v>-3.4992547804628293E-2</v>
      </c>
      <c r="N125" s="20">
        <f t="shared" si="56"/>
        <v>1.5588696188202765E-3</v>
      </c>
      <c r="O125" s="21">
        <f t="shared" si="57"/>
        <v>1.2143851846244816E-2</v>
      </c>
      <c r="P125" s="24">
        <f t="shared" si="58"/>
        <v>1784.7049224974373</v>
      </c>
      <c r="Q125" s="24">
        <f t="shared" si="59"/>
        <v>21.673192168072717</v>
      </c>
      <c r="R125" s="10">
        <f>1.3049*FX_RATE</f>
        <v>1785.3944536799997</v>
      </c>
      <c r="S125" s="10">
        <f>1.3049*FX_RATE</f>
        <v>1785.3944536799997</v>
      </c>
      <c r="T125" s="10">
        <v>747</v>
      </c>
      <c r="U125" s="10">
        <v>27869654.760000002</v>
      </c>
      <c r="V125" s="10">
        <v>26989091.77</v>
      </c>
    </row>
    <row r="126" spans="1:23" ht="13.2" customHeight="1">
      <c r="A126" s="120">
        <v>112</v>
      </c>
      <c r="B126" s="72" t="s">
        <v>215</v>
      </c>
      <c r="C126" s="73" t="s">
        <v>193</v>
      </c>
      <c r="D126" s="17">
        <f>1009140.49*FX_RATE</f>
        <v>1380729430.4773679</v>
      </c>
      <c r="E126" s="17">
        <f>19560.89*FX_RATE</f>
        <v>26763663.510647997</v>
      </c>
      <c r="F126" s="17">
        <v>0</v>
      </c>
      <c r="G126" s="17">
        <f>1747.05*C250</f>
        <v>2390354.3415599996</v>
      </c>
      <c r="H126" s="12">
        <f t="shared" si="46"/>
        <v>24373309.169087999</v>
      </c>
      <c r="I126" s="29">
        <v>1354649223.129952</v>
      </c>
      <c r="J126" s="13">
        <f t="shared" si="47"/>
        <v>7.3160965954838274E-4</v>
      </c>
      <c r="K126" s="29">
        <f>993630.34*FX_RATE</f>
        <v>1359508083.4118879</v>
      </c>
      <c r="L126" s="13">
        <f t="shared" si="54"/>
        <v>7.4723001814411586E-4</v>
      </c>
      <c r="M126" s="13">
        <f t="shared" si="55"/>
        <v>3.5868032838120324E-3</v>
      </c>
      <c r="N126" s="20">
        <f t="shared" si="56"/>
        <v>1.7582494511993261E-3</v>
      </c>
      <c r="O126" s="21">
        <f t="shared" si="57"/>
        <v>1.7928035490542692E-2</v>
      </c>
      <c r="P126" s="24">
        <f t="shared" si="58"/>
        <v>1493.9601986884788</v>
      </c>
      <c r="Q126" s="24">
        <f t="shared" si="59"/>
        <v>26.783771463545257</v>
      </c>
      <c r="R126" s="10">
        <f>1.0919*FX_RATE</f>
        <v>1493.96291208</v>
      </c>
      <c r="S126" s="10">
        <f xml:space="preserve"> 1.0986*C250</f>
        <v>1503.1300075199999</v>
      </c>
      <c r="T126" s="10">
        <v>82</v>
      </c>
      <c r="U126" s="10">
        <v>883104.84</v>
      </c>
      <c r="V126" s="10">
        <v>910002.88</v>
      </c>
    </row>
    <row r="127" spans="1:23" ht="13.2" customHeight="1">
      <c r="A127" s="184">
        <v>113</v>
      </c>
      <c r="B127" s="72" t="s">
        <v>216</v>
      </c>
      <c r="C127" s="73" t="s">
        <v>45</v>
      </c>
      <c r="D127" s="17">
        <f>713956.12*FX_RATE</f>
        <v>976851327.16598392</v>
      </c>
      <c r="E127" s="17">
        <f>4845.54*FX_RATE</f>
        <v>6629780.2445279993</v>
      </c>
      <c r="F127" s="17">
        <v>0</v>
      </c>
      <c r="G127" s="17">
        <f>1103.59*FX_RATE</f>
        <v>1509957.4412879997</v>
      </c>
      <c r="H127" s="12">
        <f t="shared" si="46"/>
        <v>5119822.8032399993</v>
      </c>
      <c r="I127" s="29">
        <v>981642755.88423002</v>
      </c>
      <c r="J127" s="13">
        <f t="shared" si="47"/>
        <v>5.3015888553881564E-4</v>
      </c>
      <c r="K127" s="29">
        <f>786909.03*FX_RATE</f>
        <v>1076667191.1354959</v>
      </c>
      <c r="L127" s="13">
        <f t="shared" si="54"/>
        <v>5.9177143158155635E-4</v>
      </c>
      <c r="M127" s="13">
        <f t="shared" si="55"/>
        <v>9.6801442970636642E-2</v>
      </c>
      <c r="N127" s="20">
        <f t="shared" si="56"/>
        <v>1.402436568811518E-3</v>
      </c>
      <c r="O127" s="21">
        <f t="shared" si="57"/>
        <v>4.7552510612313085E-3</v>
      </c>
      <c r="P127" s="24">
        <f t="shared" si="58"/>
        <v>2039.9616761532657</v>
      </c>
      <c r="Q127" s="24">
        <f t="shared" si="59"/>
        <v>9.7005299253990156</v>
      </c>
      <c r="R127" s="10">
        <f>1.49*FX_RATE</f>
        <v>2038.6525679999997</v>
      </c>
      <c r="S127" s="10">
        <f>1.51*FX_RATE</f>
        <v>2066.0170319999997</v>
      </c>
      <c r="T127" s="10">
        <v>84</v>
      </c>
      <c r="U127" s="10">
        <v>486725.47</v>
      </c>
      <c r="V127" s="10">
        <v>527787.94999999995</v>
      </c>
    </row>
    <row r="128" spans="1:23" ht="13.2" customHeight="1">
      <c r="A128" s="120">
        <v>114</v>
      </c>
      <c r="B128" s="72" t="s">
        <v>217</v>
      </c>
      <c r="C128" s="73" t="s">
        <v>150</v>
      </c>
      <c r="D128" s="17">
        <f>1027814.13*FX_RATE</f>
        <v>1406279137.9538159</v>
      </c>
      <c r="E128" s="17">
        <f>16658.48*FX_RATE</f>
        <v>22792518.812735997</v>
      </c>
      <c r="F128" s="17">
        <v>0</v>
      </c>
      <c r="G128" s="17">
        <f>6301.98*FX_RATE</f>
        <v>8622515.2419359982</v>
      </c>
      <c r="H128" s="12">
        <f t="shared" si="46"/>
        <v>14170003.570799999</v>
      </c>
      <c r="I128" s="29">
        <v>4117743239.5625796</v>
      </c>
      <c r="J128" s="13">
        <f t="shared" si="47"/>
        <v>2.2238825211469784E-3</v>
      </c>
      <c r="K128" s="29">
        <f>2986811.7*FX_RATE</f>
        <v>4086625061.9714398</v>
      </c>
      <c r="L128" s="13">
        <f t="shared" si="54"/>
        <v>2.2461425249797199E-3</v>
      </c>
      <c r="M128" s="13">
        <f t="shared" si="55"/>
        <v>-7.5570951807197723E-3</v>
      </c>
      <c r="N128" s="20">
        <f t="shared" si="56"/>
        <v>2.109935487396142E-3</v>
      </c>
      <c r="O128" s="21">
        <f t="shared" si="57"/>
        <v>3.4674097466539317E-3</v>
      </c>
      <c r="P128" s="24">
        <f t="shared" si="58"/>
        <v>148528.932978536</v>
      </c>
      <c r="Q128" s="24">
        <f t="shared" si="59"/>
        <v>515.0106698698844</v>
      </c>
      <c r="R128" s="10">
        <f>107.69*FX_RATE</f>
        <v>147343.956408</v>
      </c>
      <c r="S128" s="10">
        <f>106.06*FX_RATE</f>
        <v>145113.752592</v>
      </c>
      <c r="T128" s="10">
        <v>129</v>
      </c>
      <c r="U128" s="10">
        <v>26688</v>
      </c>
      <c r="V128" s="10">
        <v>27514</v>
      </c>
    </row>
    <row r="129" spans="1:24" ht="15" customHeight="1">
      <c r="A129" s="184">
        <v>115</v>
      </c>
      <c r="B129" s="122" t="s">
        <v>122</v>
      </c>
      <c r="C129" s="77" t="s">
        <v>66</v>
      </c>
      <c r="D129" s="17">
        <f>3304783.74*FX_RATE</f>
        <v>4521681784.0507679</v>
      </c>
      <c r="E129" s="17">
        <f>23030.26*FX_RATE</f>
        <v>31510536.034031995</v>
      </c>
      <c r="F129" s="17">
        <v>0</v>
      </c>
      <c r="G129" s="17">
        <f>5550*FX_RATE</f>
        <v>7593638.7599999998</v>
      </c>
      <c r="H129" s="12">
        <f t="shared" si="46"/>
        <v>23916897.274031997</v>
      </c>
      <c r="I129" s="29">
        <v>4243936192.8839998</v>
      </c>
      <c r="J129" s="13">
        <f t="shared" si="47"/>
        <v>2.2920359456944581E-3</v>
      </c>
      <c r="K129" s="29">
        <f>3280147*FX_RATE</f>
        <v>4487973224.8104</v>
      </c>
      <c r="L129" s="13">
        <f t="shared" si="54"/>
        <v>2.4667365756216413E-3</v>
      </c>
      <c r="M129" s="13">
        <f t="shared" si="55"/>
        <v>5.7502521441200771E-2</v>
      </c>
      <c r="N129" s="20">
        <f t="shared" si="56"/>
        <v>1.6919973403630995E-3</v>
      </c>
      <c r="O129" s="21">
        <f t="shared" si="57"/>
        <v>5.3291087259199049E-3</v>
      </c>
      <c r="P129" s="24">
        <f t="shared" si="58"/>
        <v>158640.67407172383</v>
      </c>
      <c r="Q129" s="24">
        <f t="shared" si="59"/>
        <v>845.413400481439</v>
      </c>
      <c r="R129" s="10">
        <f>115.47*FX_RATE</f>
        <v>157988.73290399997</v>
      </c>
      <c r="S129" s="10">
        <f>115.47*FX_RATE</f>
        <v>157988.73290399997</v>
      </c>
      <c r="T129" s="10">
        <v>82</v>
      </c>
      <c r="U129" s="10">
        <v>28231.38</v>
      </c>
      <c r="V129" s="10">
        <v>28290.18</v>
      </c>
    </row>
    <row r="130" spans="1:24" ht="15" customHeight="1">
      <c r="A130" s="120">
        <v>116</v>
      </c>
      <c r="B130" s="19" t="s">
        <v>313</v>
      </c>
      <c r="C130" s="19" t="s">
        <v>264</v>
      </c>
      <c r="D130" s="17">
        <f>8513082.74*FX_RATE</f>
        <v>11647797308.387568</v>
      </c>
      <c r="E130" s="17">
        <f>47566.78*FX_RATE</f>
        <v>65081971.945295997</v>
      </c>
      <c r="F130" s="17">
        <v>0</v>
      </c>
      <c r="G130" s="17">
        <f>14029.21*FX_RATE</f>
        <v>19195090.599671997</v>
      </c>
      <c r="H130" s="12">
        <f>(E130+F130)-G130</f>
        <v>45886881.345624</v>
      </c>
      <c r="I130" s="29">
        <v>11540202694.249685</v>
      </c>
      <c r="J130" s="13">
        <f t="shared" si="47"/>
        <v>6.2325535054393996E-3</v>
      </c>
      <c r="K130" s="29">
        <f>8427373.55*FX_RATE</f>
        <v>11530528006.176361</v>
      </c>
      <c r="L130" s="13">
        <f t="shared" si="54"/>
        <v>6.3375545584424715E-3</v>
      </c>
      <c r="M130" s="13">
        <f t="shared" si="55"/>
        <v>-8.3834645973289185E-4</v>
      </c>
      <c r="N130" s="20">
        <f t="shared" si="56"/>
        <v>1.6647191342313284E-3</v>
      </c>
      <c r="O130" s="21">
        <f t="shared" si="57"/>
        <v>3.9795993141896503E-3</v>
      </c>
      <c r="P130" s="24">
        <f t="shared" si="58"/>
        <v>2108.2443400302272</v>
      </c>
      <c r="Q130" s="24">
        <f t="shared" si="59"/>
        <v>8.3899677297285038</v>
      </c>
      <c r="R130" s="10">
        <f>1.54*FX_RATE</f>
        <v>2107.0637280000001</v>
      </c>
      <c r="S130" s="10">
        <f>1.54*FX_RATE</f>
        <v>2107.0637280000001</v>
      </c>
      <c r="T130" s="10">
        <v>120</v>
      </c>
      <c r="U130" s="10">
        <v>5471603</v>
      </c>
      <c r="V130" s="10">
        <v>5469256</v>
      </c>
    </row>
    <row r="131" spans="1:24" ht="15" customHeight="1">
      <c r="A131" s="184">
        <v>117</v>
      </c>
      <c r="B131" s="122" t="s">
        <v>311</v>
      </c>
      <c r="C131" s="12" t="s">
        <v>324</v>
      </c>
      <c r="D131" s="17">
        <v>53688472079.419998</v>
      </c>
      <c r="E131" s="17">
        <v>376766882.30000001</v>
      </c>
      <c r="F131" s="17">
        <v>0</v>
      </c>
      <c r="G131" s="17">
        <v>86884222.030000001</v>
      </c>
      <c r="H131" s="12">
        <f t="shared" si="46"/>
        <v>289882660.26999998</v>
      </c>
      <c r="I131" s="29">
        <v>53037414674.610001</v>
      </c>
      <c r="J131" s="13">
        <f t="shared" si="47"/>
        <v>2.8644083081347964E-2</v>
      </c>
      <c r="K131" s="29">
        <v>53432216587.510002</v>
      </c>
      <c r="L131" s="13">
        <f t="shared" si="54"/>
        <v>2.9368090309521953E-2</v>
      </c>
      <c r="M131" s="13">
        <f t="shared" si="55"/>
        <v>7.4438378137801761E-3</v>
      </c>
      <c r="N131" s="20">
        <f t="shared" si="56"/>
        <v>1.6260643405594658E-3</v>
      </c>
      <c r="O131" s="21">
        <f t="shared" si="57"/>
        <v>5.4252411519413032E-3</v>
      </c>
      <c r="P131" s="24">
        <f t="shared" si="58"/>
        <v>183179.99060692114</v>
      </c>
      <c r="Q131" s="24">
        <f t="shared" si="59"/>
        <v>993.79562325288998</v>
      </c>
      <c r="R131" s="10">
        <f>1251.69*C250</f>
        <v>1712591.297208</v>
      </c>
      <c r="S131" s="25">
        <f>1252.1*C250</f>
        <v>1713152.2687199998</v>
      </c>
      <c r="T131" s="10">
        <v>4041</v>
      </c>
      <c r="U131" s="10">
        <v>289617.17</v>
      </c>
      <c r="V131" s="10">
        <v>291692.43</v>
      </c>
    </row>
    <row r="132" spans="1:24">
      <c r="A132" s="120">
        <v>118</v>
      </c>
      <c r="B132" s="122" t="s">
        <v>312</v>
      </c>
      <c r="C132" s="12" t="s">
        <v>324</v>
      </c>
      <c r="D132" s="17">
        <v>164327997309.79999</v>
      </c>
      <c r="E132" s="17">
        <v>1166372316.53</v>
      </c>
      <c r="F132" s="17">
        <v>0</v>
      </c>
      <c r="G132" s="17">
        <v>266866894.09999999</v>
      </c>
      <c r="H132" s="12">
        <f t="shared" si="46"/>
        <v>899505422.42999995</v>
      </c>
      <c r="I132" s="29">
        <v>164016939450.20001</v>
      </c>
      <c r="J132" s="13">
        <f t="shared" si="47"/>
        <v>8.8581143503757967E-2</v>
      </c>
      <c r="K132" s="29">
        <v>163222573853.62</v>
      </c>
      <c r="L132" s="13">
        <f t="shared" si="54"/>
        <v>8.971245431368155E-2</v>
      </c>
      <c r="M132" s="13">
        <f t="shared" si="55"/>
        <v>-4.8431924119716188E-3</v>
      </c>
      <c r="N132" s="20">
        <f t="shared" si="56"/>
        <v>1.6349876600973679E-3</v>
      </c>
      <c r="O132" s="21">
        <f t="shared" si="57"/>
        <v>5.510913112034904E-3</v>
      </c>
      <c r="P132" s="24">
        <f t="shared" si="58"/>
        <v>178807.15516805</v>
      </c>
      <c r="Q132" s="24">
        <f t="shared" si="59"/>
        <v>985.39069594126636</v>
      </c>
      <c r="R132" s="10">
        <f>130.47*C250</f>
        <v>178512.08090399997</v>
      </c>
      <c r="S132" s="10">
        <f>130.51*C250</f>
        <v>178566.80983199997</v>
      </c>
      <c r="T132" s="10">
        <v>1128</v>
      </c>
      <c r="U132" s="10">
        <v>917191.2</v>
      </c>
      <c r="V132" s="10">
        <v>912841.4</v>
      </c>
    </row>
    <row r="133" spans="1:24">
      <c r="A133" s="184">
        <v>119</v>
      </c>
      <c r="B133" s="72" t="s">
        <v>249</v>
      </c>
      <c r="C133" s="73" t="s">
        <v>250</v>
      </c>
      <c r="D133" s="17">
        <f>1742000*FX_RATE</f>
        <v>2383444814.3999996</v>
      </c>
      <c r="E133" s="17">
        <f xml:space="preserve"> 8318.84*FX_RATE</f>
        <v>11382029.885087999</v>
      </c>
      <c r="F133" s="17">
        <v>0</v>
      </c>
      <c r="G133" s="17">
        <f>1874.69*FX_RATE</f>
        <v>2564994.3508079997</v>
      </c>
      <c r="H133" s="12">
        <f>(E133+F133)-G133</f>
        <v>8817035.5342799984</v>
      </c>
      <c r="I133" s="44">
        <v>2261856678.1305079</v>
      </c>
      <c r="J133" s="13">
        <f t="shared" si="47"/>
        <v>1.2215680384113367E-3</v>
      </c>
      <c r="K133" s="29">
        <f>1741268.66*FX_RATE</f>
        <v>2382444178.0449119</v>
      </c>
      <c r="L133" s="13">
        <f t="shared" si="54"/>
        <v>1.3094690852591925E-3</v>
      </c>
      <c r="M133" s="13">
        <f t="shared" si="55"/>
        <v>5.331350172641048E-2</v>
      </c>
      <c r="N133" s="20">
        <f t="shared" si="56"/>
        <v>1.0766230640135682E-3</v>
      </c>
      <c r="O133" s="21">
        <f t="shared" si="57"/>
        <v>3.7008361478233919E-3</v>
      </c>
      <c r="P133" s="24">
        <f t="shared" si="58"/>
        <v>165193.33155656792</v>
      </c>
      <c r="Q133" s="24">
        <f t="shared" si="59"/>
        <v>611.35345280392119</v>
      </c>
      <c r="R133" s="10">
        <f>1*FX_RATE</f>
        <v>1368.2231999999999</v>
      </c>
      <c r="S133" s="10">
        <f>1*FX_RATE</f>
        <v>1368.2231999999999</v>
      </c>
      <c r="T133" s="10">
        <v>21</v>
      </c>
      <c r="U133" s="10">
        <v>14159.567090699999</v>
      </c>
      <c r="V133" s="10">
        <v>14422.157090699999</v>
      </c>
    </row>
    <row r="134" spans="1:24" s="3" customFormat="1">
      <c r="A134" s="120">
        <v>120</v>
      </c>
      <c r="B134" s="72" t="s">
        <v>123</v>
      </c>
      <c r="C134" s="73" t="s">
        <v>124</v>
      </c>
      <c r="D134" s="17">
        <f>229188.07*FX_RATE</f>
        <v>313580434.53722399</v>
      </c>
      <c r="E134" s="17">
        <f>912.5*FX_RATE</f>
        <v>1248503.67</v>
      </c>
      <c r="F134" s="17">
        <v>0</v>
      </c>
      <c r="G134" s="17">
        <f>5666.12*FX_RATE</f>
        <v>7752516.8379839994</v>
      </c>
      <c r="H134" s="12">
        <f t="shared" si="46"/>
        <v>-6504013.1679839995</v>
      </c>
      <c r="I134" s="29">
        <v>236107164.53230199</v>
      </c>
      <c r="J134" s="13">
        <f t="shared" si="47"/>
        <v>1.2751513772790211E-4</v>
      </c>
      <c r="K134" s="29">
        <f>215642.43*FX_RATE</f>
        <v>295046975.63037598</v>
      </c>
      <c r="L134" s="13">
        <f t="shared" si="54"/>
        <v>1.6216744839085855E-4</v>
      </c>
      <c r="M134" s="13">
        <f t="shared" si="55"/>
        <v>0.24963160781175867</v>
      </c>
      <c r="N134" s="20">
        <f t="shared" si="56"/>
        <v>2.6275533993936166E-2</v>
      </c>
      <c r="O134" s="21">
        <f t="shared" si="57"/>
        <v>-2.2043991991742999E-2</v>
      </c>
      <c r="P134" s="24">
        <f t="shared" si="58"/>
        <v>202142.35107589475</v>
      </c>
      <c r="Q134" s="24">
        <f t="shared" si="59"/>
        <v>-4456.0243683091257</v>
      </c>
      <c r="R134" s="10">
        <f>147.7398*FX_RATE</f>
        <v>202141.02192335998</v>
      </c>
      <c r="S134" s="10">
        <f>147.7398*FX_RATE</f>
        <v>202141.02192335998</v>
      </c>
      <c r="T134" s="10">
        <v>11</v>
      </c>
      <c r="U134" s="10">
        <v>1459.6</v>
      </c>
      <c r="V134" s="10">
        <v>1459.6</v>
      </c>
      <c r="W134" s="6"/>
      <c r="X134" s="6"/>
    </row>
    <row r="135" spans="1:24" s="3" customFormat="1">
      <c r="A135" s="184">
        <v>121</v>
      </c>
      <c r="B135" s="72" t="s">
        <v>317</v>
      </c>
      <c r="C135" s="73" t="s">
        <v>318</v>
      </c>
      <c r="D135" s="17">
        <f>55296.44*C250</f>
        <v>75657872.085408002</v>
      </c>
      <c r="E135" s="17">
        <f>2913.89*C250</f>
        <v>3986851.9002479995</v>
      </c>
      <c r="F135" s="17">
        <v>0</v>
      </c>
      <c r="G135" s="17">
        <f>310.63*C250</f>
        <v>425011.17261599994</v>
      </c>
      <c r="H135" s="12">
        <f t="shared" si="46"/>
        <v>3561840.7276319996</v>
      </c>
      <c r="I135" s="29">
        <v>75865109.010659993</v>
      </c>
      <c r="J135" s="13">
        <f t="shared" si="47"/>
        <v>4.0972707640615105E-5</v>
      </c>
      <c r="K135" s="29">
        <f>55443.75*C250</f>
        <v>75859425.045000002</v>
      </c>
      <c r="L135" s="13">
        <f t="shared" si="54"/>
        <v>4.1694816120930673E-5</v>
      </c>
      <c r="M135" s="13">
        <f t="shared" si="55"/>
        <v>-7.4921999508261946E-5</v>
      </c>
      <c r="N135" s="20">
        <f t="shared" si="56"/>
        <v>5.6026152632172241E-3</v>
      </c>
      <c r="O135" s="21">
        <f t="shared" si="57"/>
        <v>4.6953173261188134E-2</v>
      </c>
      <c r="P135" s="24">
        <f t="shared" si="58"/>
        <v>1542.2610386045949</v>
      </c>
      <c r="Q135" s="24">
        <f t="shared" si="59"/>
        <v>72.414049759581502</v>
      </c>
      <c r="R135" s="10">
        <f>100*C250</f>
        <v>136822.31999999998</v>
      </c>
      <c r="S135" s="10">
        <f>100*C250</f>
        <v>136822.31999999998</v>
      </c>
      <c r="T135" s="10">
        <v>3</v>
      </c>
      <c r="U135" s="10">
        <v>49648.44</v>
      </c>
      <c r="V135" s="10">
        <v>49187.15</v>
      </c>
      <c r="W135" s="6"/>
      <c r="X135" s="6"/>
    </row>
    <row r="136" spans="1:24" ht="13.95" customHeight="1">
      <c r="A136" s="120">
        <v>122</v>
      </c>
      <c r="B136" s="19" t="s">
        <v>125</v>
      </c>
      <c r="C136" s="19" t="s">
        <v>126</v>
      </c>
      <c r="D136" s="17">
        <v>38210599266.419998</v>
      </c>
      <c r="E136" s="17">
        <v>271412109.94999999</v>
      </c>
      <c r="F136" s="17">
        <v>80687342.069999993</v>
      </c>
      <c r="G136" s="17">
        <v>100766819.72</v>
      </c>
      <c r="H136" s="12">
        <f t="shared" si="46"/>
        <v>251332632.29999998</v>
      </c>
      <c r="I136" s="29">
        <v>44679995651.739998</v>
      </c>
      <c r="J136" s="13">
        <f t="shared" si="47"/>
        <v>2.4130465547284277E-2</v>
      </c>
      <c r="K136" s="29">
        <v>45809459189.239998</v>
      </c>
      <c r="L136" s="13">
        <f t="shared" si="54"/>
        <v>2.5178374030143422E-2</v>
      </c>
      <c r="M136" s="13">
        <f t="shared" si="55"/>
        <v>2.5278953612790128E-2</v>
      </c>
      <c r="N136" s="20">
        <f t="shared" si="56"/>
        <v>2.1996945937241869E-3</v>
      </c>
      <c r="O136" s="21">
        <f t="shared" si="57"/>
        <v>5.4864789226552252E-3</v>
      </c>
      <c r="P136" s="24">
        <f t="shared" si="58"/>
        <v>144242.69076483219</v>
      </c>
      <c r="Q136" s="24">
        <f t="shared" si="59"/>
        <v>791.38448262832742</v>
      </c>
      <c r="R136" s="10">
        <v>144239.7512</v>
      </c>
      <c r="S136" s="10">
        <v>144239.7512</v>
      </c>
      <c r="T136" s="10">
        <f>877+64+42</f>
        <v>983</v>
      </c>
      <c r="U136" s="10">
        <v>293945</v>
      </c>
      <c r="V136" s="10">
        <v>317586</v>
      </c>
    </row>
    <row r="137" spans="1:24" ht="13.95" customHeight="1">
      <c r="A137" s="184">
        <v>123</v>
      </c>
      <c r="B137" s="19" t="s">
        <v>127</v>
      </c>
      <c r="C137" s="19" t="s">
        <v>39</v>
      </c>
      <c r="D137" s="17">
        <f>2052646.09*FX_RATE</f>
        <v>2808478001.7272878</v>
      </c>
      <c r="E137" s="17">
        <f>80423.71*FX_RATE</f>
        <v>110037585.852072</v>
      </c>
      <c r="F137" s="17">
        <v>0</v>
      </c>
      <c r="G137" s="17">
        <f>2695.6*FX_RATE</f>
        <v>3688182.4579199995</v>
      </c>
      <c r="H137" s="12">
        <f t="shared" ref="H137" si="60">(E137+F137)-G137</f>
        <v>106349403.394152</v>
      </c>
      <c r="I137" s="29">
        <v>2598553816.9258838</v>
      </c>
      <c r="J137" s="13">
        <f t="shared" si="47"/>
        <v>1.4034091193930582E-3</v>
      </c>
      <c r="K137" s="29">
        <f>2054866.92*C250</f>
        <v>2811516592.8565435</v>
      </c>
      <c r="L137" s="13">
        <f t="shared" si="54"/>
        <v>1.5453012897284752E-3</v>
      </c>
      <c r="M137" s="13">
        <f t="shared" si="55"/>
        <v>8.1954344968154999E-2</v>
      </c>
      <c r="N137" s="20">
        <f t="shared" si="56"/>
        <v>1.3118124457422284E-3</v>
      </c>
      <c r="O137" s="21">
        <f t="shared" si="57"/>
        <v>3.7826347411344774E-2</v>
      </c>
      <c r="P137" s="24">
        <f t="shared" si="58"/>
        <v>218049.28612694662</v>
      </c>
      <c r="Q137" s="24">
        <f t="shared" si="59"/>
        <v>8248.0080498336029</v>
      </c>
      <c r="R137" s="10">
        <v>159.47999999999999</v>
      </c>
      <c r="S137" s="10">
        <v>165.48</v>
      </c>
      <c r="T137" s="10">
        <v>52</v>
      </c>
      <c r="U137" s="10">
        <v>12583.95</v>
      </c>
      <c r="V137" s="10">
        <v>12893.95</v>
      </c>
    </row>
    <row r="138" spans="1:24">
      <c r="A138" s="120">
        <v>124</v>
      </c>
      <c r="B138" s="19" t="s">
        <v>302</v>
      </c>
      <c r="C138" s="19" t="s">
        <v>47</v>
      </c>
      <c r="D138" s="17">
        <f>91217139*FX_RATE</f>
        <v>124805405817.42479</v>
      </c>
      <c r="E138" s="17">
        <f>757174*FX_RATE</f>
        <v>1035983033.2368</v>
      </c>
      <c r="F138" s="17">
        <v>0</v>
      </c>
      <c r="G138" s="17">
        <f>156949*FX_RATE</f>
        <v>214741263.01679999</v>
      </c>
      <c r="H138" s="12">
        <f>(E138+F138)-G138</f>
        <v>821241770.22000003</v>
      </c>
      <c r="I138" s="29">
        <v>153507698288.6008</v>
      </c>
      <c r="J138" s="13">
        <f t="shared" si="47"/>
        <v>8.2905384630487008E-2</v>
      </c>
      <c r="K138" s="29">
        <f>106013537*FX_RATE</f>
        <v>145050180837.4584</v>
      </c>
      <c r="L138" s="13">
        <f t="shared" si="54"/>
        <v>7.9724313949624273E-2</v>
      </c>
      <c r="M138" s="13">
        <f t="shared" si="55"/>
        <v>-5.5095070445535008E-2</v>
      </c>
      <c r="N138" s="20">
        <f t="shared" si="56"/>
        <v>1.4804618772412054E-3</v>
      </c>
      <c r="O138" s="21">
        <f t="shared" si="57"/>
        <v>5.6617769483533033E-3</v>
      </c>
      <c r="P138" s="24">
        <f t="shared" si="58"/>
        <v>166086.94038484557</v>
      </c>
      <c r="Q138" s="24">
        <f t="shared" si="59"/>
        <v>940.34721049344796</v>
      </c>
      <c r="R138" s="10">
        <f xml:space="preserve"> 121.39*FX_RATE</f>
        <v>166088.614248</v>
      </c>
      <c r="S138" s="10">
        <f xml:space="preserve"> 121.39*FX_RATE</f>
        <v>166088.614248</v>
      </c>
      <c r="T138" s="10">
        <v>1178</v>
      </c>
      <c r="U138" s="10">
        <v>866709.46</v>
      </c>
      <c r="V138" s="10">
        <v>873338.87</v>
      </c>
    </row>
    <row r="139" spans="1:24" ht="5.7" customHeight="1">
      <c r="A139" s="149"/>
      <c r="B139" s="149"/>
      <c r="C139" s="149"/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</row>
    <row r="140" spans="1:24" ht="13.95" customHeight="1">
      <c r="A140" s="157" t="s">
        <v>128</v>
      </c>
      <c r="B140" s="158"/>
      <c r="C140" s="158"/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9"/>
    </row>
    <row r="141" spans="1:24">
      <c r="A141" s="114">
        <v>125</v>
      </c>
      <c r="B141" s="25" t="s">
        <v>303</v>
      </c>
      <c r="C141" s="10" t="s">
        <v>299</v>
      </c>
      <c r="D141" s="42">
        <f>433864.12*FX_RATE</f>
        <v>593622954.63158393</v>
      </c>
      <c r="E141" s="10">
        <f>3489.18*FX_RATE</f>
        <v>4773977.0249759993</v>
      </c>
      <c r="F141" s="10">
        <v>0</v>
      </c>
      <c r="G141" s="10">
        <f>799.47*FX_RATE</f>
        <v>1093853.4017040001</v>
      </c>
      <c r="H141" s="12">
        <f>(E141+F141)-G141</f>
        <v>3680123.6232719989</v>
      </c>
      <c r="I141" s="10">
        <v>628037380.26522398</v>
      </c>
      <c r="J141" s="13">
        <f t="shared" ref="J141:J160" si="61">(I141/$I$161)</f>
        <v>3.3918612000371758E-4</v>
      </c>
      <c r="K141" s="10">
        <f>465902.33*FX_RATE</f>
        <v>637458376.84005594</v>
      </c>
      <c r="L141" s="13">
        <f t="shared" ref="L141" si="62">(K141/$K$161)</f>
        <v>3.5036793109526613E-4</v>
      </c>
      <c r="M141" s="13">
        <f t="shared" ref="M141:M161" si="63">((K141-I141)/I141)</f>
        <v>1.5000694020558807E-2</v>
      </c>
      <c r="N141" s="20">
        <f t="shared" ref="N141" si="64">(G141/K141)</f>
        <v>1.7159605104357391E-3</v>
      </c>
      <c r="O141" s="21">
        <f t="shared" ref="O141" si="65">H141/K141</f>
        <v>5.7731198725707155E-3</v>
      </c>
      <c r="P141" s="22">
        <f t="shared" ref="P141" si="66">K141/V141</f>
        <v>1412.8693134448688</v>
      </c>
      <c r="Q141" s="22">
        <f t="shared" ref="Q141" si="67">H141/V141</f>
        <v>8.1566639107939167</v>
      </c>
      <c r="R141" s="10">
        <f>1.0341*FX_RATE</f>
        <v>1414.8796111199999</v>
      </c>
      <c r="S141" s="10">
        <f>1.0341*FX_RATE</f>
        <v>1414.8796111199999</v>
      </c>
      <c r="T141" s="10">
        <v>55</v>
      </c>
      <c r="U141" s="17">
        <v>440129</v>
      </c>
      <c r="V141" s="17">
        <v>451180</v>
      </c>
    </row>
    <row r="142" spans="1:24">
      <c r="A142" s="114">
        <v>126</v>
      </c>
      <c r="B142" s="25" t="s">
        <v>129</v>
      </c>
      <c r="C142" s="10" t="s">
        <v>92</v>
      </c>
      <c r="D142" s="42">
        <f>884216.5*FX_RATE</f>
        <v>1209805529.1227999</v>
      </c>
      <c r="E142" s="10">
        <f>7823.07*FX_RATE</f>
        <v>10703705.869223999</v>
      </c>
      <c r="F142" s="10">
        <v>0</v>
      </c>
      <c r="G142" s="10">
        <f>1810.83*FX_RATE</f>
        <v>2477619.6172559997</v>
      </c>
      <c r="H142" s="12">
        <f>(E142+F142)-G142</f>
        <v>8226086.2519679992</v>
      </c>
      <c r="I142" s="10">
        <v>1442944058.8636739</v>
      </c>
      <c r="J142" s="13">
        <f t="shared" si="61"/>
        <v>7.7929532872979246E-4</v>
      </c>
      <c r="K142" s="10">
        <f>1038968.2*FX_RATE</f>
        <v>1421540395.3022399</v>
      </c>
      <c r="L142" s="13">
        <f t="shared" ref="L142:L160" si="68">(K142/$K$161)</f>
        <v>7.8132500154651013E-4</v>
      </c>
      <c r="M142" s="13">
        <f t="shared" ref="M142:M160" si="69">((K142-I142)/I142)</f>
        <v>-1.4833328728134844E-2</v>
      </c>
      <c r="N142" s="20">
        <f t="shared" ref="N142:N160" si="70">(G142/K142)</f>
        <v>1.7429118619799913E-3</v>
      </c>
      <c r="O142" s="21">
        <f t="shared" ref="O142:O160" si="71">H142/K142</f>
        <v>5.7867411148868654E-3</v>
      </c>
      <c r="P142" s="22">
        <f t="shared" ref="P142:P160" si="72">K142/V142</f>
        <v>163301.5962437955</v>
      </c>
      <c r="Q142" s="22">
        <f t="shared" ref="Q142:Q160" si="73">H142/V142</f>
        <v>944.98406111062593</v>
      </c>
      <c r="R142" s="10">
        <f>119.35*FX_RATE</f>
        <v>163297.43891999999</v>
      </c>
      <c r="S142" s="10">
        <f>119.35*FX_RATE</f>
        <v>163297.43891999999</v>
      </c>
      <c r="T142" s="10">
        <v>30</v>
      </c>
      <c r="U142" s="17">
        <v>8915</v>
      </c>
      <c r="V142" s="17">
        <v>8705</v>
      </c>
    </row>
    <row r="143" spans="1:24">
      <c r="A143" s="114">
        <v>127</v>
      </c>
      <c r="B143" s="119" t="s">
        <v>130</v>
      </c>
      <c r="C143" s="10" t="s">
        <v>28</v>
      </c>
      <c r="D143" s="42">
        <f>11180584.31*FX_RATE</f>
        <v>15297534842.497992</v>
      </c>
      <c r="E143" s="10">
        <f>106135.07*FX_RATE</f>
        <v>145216465.10762399</v>
      </c>
      <c r="F143" s="10">
        <v>0</v>
      </c>
      <c r="G143" s="10">
        <f>23651.84*FX_RATE</f>
        <v>32360996.210687999</v>
      </c>
      <c r="H143" s="12">
        <f t="shared" ref="H143:H160" si="74">(E143+F143)-G143</f>
        <v>112855468.896936</v>
      </c>
      <c r="I143" s="10">
        <v>28386390014.574142</v>
      </c>
      <c r="J143" s="13">
        <f t="shared" si="61"/>
        <v>1.5330726788729676E-2</v>
      </c>
      <c r="K143" s="10">
        <f>20672969.98*FX_RATE</f>
        <v>28285237139.539536</v>
      </c>
      <c r="L143" s="13">
        <f t="shared" si="68"/>
        <v>1.5546489586105194E-2</v>
      </c>
      <c r="M143" s="13">
        <f t="shared" si="69"/>
        <v>-3.563428635436666E-3</v>
      </c>
      <c r="N143" s="20">
        <f t="shared" si="70"/>
        <v>1.1440949231233779E-3</v>
      </c>
      <c r="O143" s="21">
        <f t="shared" si="71"/>
        <v>3.989907114449358E-3</v>
      </c>
      <c r="P143" s="22">
        <f t="shared" si="72"/>
        <v>183970.19466881503</v>
      </c>
      <c r="Q143" s="22">
        <f t="shared" si="73"/>
        <v>734.02398855573847</v>
      </c>
      <c r="R143" s="10">
        <f>134.392*FX_RATE</f>
        <v>183878.25229439998</v>
      </c>
      <c r="S143" s="10">
        <f>134.5264*FX_RATE</f>
        <v>184062.14149247998</v>
      </c>
      <c r="T143" s="10">
        <v>701</v>
      </c>
      <c r="U143" s="17">
        <v>148195.82999999999</v>
      </c>
      <c r="V143" s="17">
        <v>153749.01999999999</v>
      </c>
    </row>
    <row r="144" spans="1:24">
      <c r="A144" s="114">
        <v>128</v>
      </c>
      <c r="B144" s="25" t="s">
        <v>286</v>
      </c>
      <c r="C144" s="25" t="s">
        <v>283</v>
      </c>
      <c r="D144" s="42">
        <f>(200000+250535.7)*FX_RATE</f>
        <v>616433397.16823995</v>
      </c>
      <c r="E144" s="10">
        <f>3597.75*FX_RATE</f>
        <v>4922525.0177999996</v>
      </c>
      <c r="F144" s="10">
        <v>0</v>
      </c>
      <c r="G144" s="10">
        <f>849.49*FX_RATE</f>
        <v>1162291.9261679999</v>
      </c>
      <c r="H144" s="12">
        <f t="shared" ref="H144" si="75">(E144+F144)-G144</f>
        <v>3760233.0916319997</v>
      </c>
      <c r="I144" s="10">
        <v>609718278.37867391</v>
      </c>
      <c r="J144" s="13">
        <f t="shared" si="61"/>
        <v>3.2929246512567882E-4</v>
      </c>
      <c r="K144" s="10">
        <f>433797.97*FX_RATE</f>
        <v>593532446.66690397</v>
      </c>
      <c r="L144" s="13">
        <f t="shared" si="68"/>
        <v>3.2622480609235488E-4</v>
      </c>
      <c r="M144" s="13">
        <f t="shared" si="69"/>
        <v>-2.6546410507505738E-2</v>
      </c>
      <c r="N144" s="20">
        <f t="shared" si="70"/>
        <v>1.95826181482592E-3</v>
      </c>
      <c r="O144" s="21">
        <f t="shared" si="71"/>
        <v>6.3353454604686138E-3</v>
      </c>
      <c r="P144" s="22">
        <f t="shared" si="72"/>
        <v>137106.13228618712</v>
      </c>
      <c r="Q144" s="22">
        <f t="shared" si="73"/>
        <v>868.61471278170472</v>
      </c>
      <c r="R144" s="10">
        <f>106.34*FX_RATE</f>
        <v>145496.85508799998</v>
      </c>
      <c r="S144" s="10">
        <f>106.34*FX_RATE</f>
        <v>145496.85508799998</v>
      </c>
      <c r="T144" s="10">
        <v>19</v>
      </c>
      <c r="U144" s="17">
        <v>4079</v>
      </c>
      <c r="V144" s="17">
        <v>4329</v>
      </c>
    </row>
    <row r="145" spans="1:22" ht="14.1" customHeight="1">
      <c r="A145" s="114">
        <v>129</v>
      </c>
      <c r="B145" s="25" t="s">
        <v>131</v>
      </c>
      <c r="C145" s="25" t="s">
        <v>59</v>
      </c>
      <c r="D145" s="42">
        <f>14047996.19*C250</f>
        <v>19220794300.669605</v>
      </c>
      <c r="E145" s="10">
        <f>99731.62*C250</f>
        <v>136455116.25758398</v>
      </c>
      <c r="F145" s="10">
        <v>0</v>
      </c>
      <c r="G145" s="10">
        <f>25398.8*C250</f>
        <v>34751227.412159994</v>
      </c>
      <c r="H145" s="12">
        <f t="shared" si="74"/>
        <v>101703888.84542398</v>
      </c>
      <c r="I145" s="10">
        <v>19595893281.388706</v>
      </c>
      <c r="J145" s="13">
        <f t="shared" si="61"/>
        <v>1.058321561578744E-2</v>
      </c>
      <c r="K145" s="10">
        <f>14294609.67*C250</f>
        <v>19558216585.438343</v>
      </c>
      <c r="L145" s="13">
        <f t="shared" si="68"/>
        <v>1.0749834232192581E-2</v>
      </c>
      <c r="M145" s="13">
        <f t="shared" si="69"/>
        <v>-1.9226832586471973E-3</v>
      </c>
      <c r="N145" s="20">
        <f t="shared" si="70"/>
        <v>1.7768096216928739E-3</v>
      </c>
      <c r="O145" s="21">
        <f t="shared" si="71"/>
        <v>5.2000594431061507E-3</v>
      </c>
      <c r="P145" s="22">
        <f t="shared" si="72"/>
        <v>159995.88181998284</v>
      </c>
      <c r="Q145" s="22">
        <f t="shared" si="73"/>
        <v>831.98809611609738</v>
      </c>
      <c r="R145" s="10">
        <f>117.48*FX_RATE</f>
        <v>160738.86153599998</v>
      </c>
      <c r="S145" s="10">
        <f>117.48*FX_RATE</f>
        <v>160738.86153599998</v>
      </c>
      <c r="T145" s="10">
        <v>480</v>
      </c>
      <c r="U145" s="17">
        <v>114192</v>
      </c>
      <c r="V145" s="17">
        <v>122242</v>
      </c>
    </row>
    <row r="146" spans="1:22" ht="14.1" customHeight="1">
      <c r="A146" s="114">
        <v>130</v>
      </c>
      <c r="B146" s="25" t="s">
        <v>233</v>
      </c>
      <c r="C146" s="25" t="s">
        <v>61</v>
      </c>
      <c r="D146" s="42">
        <v>337511308.17000002</v>
      </c>
      <c r="E146" s="10">
        <f>1164253.46+212701.6</f>
        <v>1376955.06</v>
      </c>
      <c r="F146" s="10">
        <v>-1913588.0349999999</v>
      </c>
      <c r="G146" s="10">
        <v>862058.21</v>
      </c>
      <c r="H146" s="12">
        <f t="shared" si="74"/>
        <v>-1398691.1849999998</v>
      </c>
      <c r="I146" s="10">
        <v>344639705.81999999</v>
      </c>
      <c r="J146" s="13">
        <f t="shared" si="61"/>
        <v>1.8613064809445281E-4</v>
      </c>
      <c r="K146" s="10">
        <v>345763993.19999999</v>
      </c>
      <c r="L146" s="13">
        <f t="shared" si="68"/>
        <v>1.9004317669374347E-4</v>
      </c>
      <c r="M146" s="13">
        <f t="shared" si="69"/>
        <v>3.2622108277541102E-3</v>
      </c>
      <c r="N146" s="20">
        <f t="shared" si="70"/>
        <v>2.4931983287842245E-3</v>
      </c>
      <c r="O146" s="21">
        <f t="shared" si="71"/>
        <v>-4.0452193186898905E-3</v>
      </c>
      <c r="P146" s="22">
        <f t="shared" si="72"/>
        <v>1313.4801416107912</v>
      </c>
      <c r="Q146" s="22">
        <f t="shared" si="73"/>
        <v>-5.3133152435595052</v>
      </c>
      <c r="R146" s="10">
        <f>1.0322*FX_RATE</f>
        <v>1412.2799870399999</v>
      </c>
      <c r="S146" s="10">
        <f>1.0322*FX_RATE</f>
        <v>1412.2799870399999</v>
      </c>
      <c r="T146" s="10">
        <v>15</v>
      </c>
      <c r="U146" s="17">
        <v>239190.52</v>
      </c>
      <c r="V146" s="17">
        <v>263242.65000000002</v>
      </c>
    </row>
    <row r="147" spans="1:22" ht="15" customHeight="1">
      <c r="A147" s="114">
        <v>131</v>
      </c>
      <c r="B147" s="25" t="s">
        <v>132</v>
      </c>
      <c r="C147" s="10" t="s">
        <v>57</v>
      </c>
      <c r="D147" s="42">
        <f>11415865.17*FX_RATE</f>
        <v>15619451573.665943</v>
      </c>
      <c r="E147" s="10">
        <f>64247.64*FX_RATE</f>
        <v>87905111.593247995</v>
      </c>
      <c r="F147" s="10">
        <v>0</v>
      </c>
      <c r="G147" s="10">
        <f>13326.35*FX_RATE</f>
        <v>18233421.241319999</v>
      </c>
      <c r="H147" s="12">
        <f t="shared" si="74"/>
        <v>69671690.351927996</v>
      </c>
      <c r="I147" s="10">
        <v>14307259370.657343</v>
      </c>
      <c r="J147" s="13">
        <f t="shared" si="61"/>
        <v>7.7269664932535032E-3</v>
      </c>
      <c r="K147" s="10">
        <f>11421539.29*FX_RATE</f>
        <v>15627215036.289526</v>
      </c>
      <c r="L147" s="13">
        <f t="shared" si="68"/>
        <v>8.5892274695440873E-3</v>
      </c>
      <c r="M147" s="13">
        <f t="shared" si="69"/>
        <v>9.2257757508700147E-2</v>
      </c>
      <c r="N147" s="20">
        <f t="shared" si="70"/>
        <v>1.1667735549154689E-3</v>
      </c>
      <c r="O147" s="21">
        <f t="shared" si="71"/>
        <v>4.4583561556001093E-3</v>
      </c>
      <c r="P147" s="22">
        <f t="shared" si="72"/>
        <v>1907.5195977168576</v>
      </c>
      <c r="Q147" s="22">
        <f t="shared" si="73"/>
        <v>8.5044017404087953</v>
      </c>
      <c r="R147" s="10">
        <f>1.39*FX_RATE</f>
        <v>1901.8302479999998</v>
      </c>
      <c r="S147" s="10">
        <f>1.39*FX_RATE</f>
        <v>1901.8302479999998</v>
      </c>
      <c r="T147" s="10">
        <v>339</v>
      </c>
      <c r="U147" s="17">
        <v>7476146.3799999999</v>
      </c>
      <c r="V147" s="17">
        <v>8192426.9900000002</v>
      </c>
    </row>
    <row r="148" spans="1:22" ht="15" customHeight="1">
      <c r="A148" s="114">
        <v>132</v>
      </c>
      <c r="B148" s="25" t="s">
        <v>287</v>
      </c>
      <c r="C148" s="10" t="s">
        <v>71</v>
      </c>
      <c r="D148" s="42">
        <f>184339.12*C250</f>
        <v>252217060.65158397</v>
      </c>
      <c r="E148" s="10">
        <f>2831.66*C250</f>
        <v>3874342.9065119997</v>
      </c>
      <c r="F148" s="10">
        <v>0</v>
      </c>
      <c r="G148" s="10">
        <f>302.19*FX_RATE</f>
        <v>413463.36880799994</v>
      </c>
      <c r="H148" s="12">
        <f t="shared" si="74"/>
        <v>3460879.5377039998</v>
      </c>
      <c r="I148" s="10">
        <v>261336152.59455398</v>
      </c>
      <c r="J148" s="13">
        <f t="shared" si="61"/>
        <v>1.4114063652996634E-4</v>
      </c>
      <c r="K148" s="10">
        <f>189407.82*FX_RATE</f>
        <v>259152173.58542401</v>
      </c>
      <c r="L148" s="13">
        <f t="shared" si="68"/>
        <v>1.4243849355006352E-4</v>
      </c>
      <c r="M148" s="13">
        <f t="shared" si="69"/>
        <v>-8.3569723800069572E-3</v>
      </c>
      <c r="N148" s="20">
        <f t="shared" si="70"/>
        <v>1.595446270381022E-3</v>
      </c>
      <c r="O148" s="21">
        <f t="shared" si="71"/>
        <v>1.3354622845033536E-2</v>
      </c>
      <c r="P148" s="22">
        <f t="shared" si="72"/>
        <v>1446.533002810007</v>
      </c>
      <c r="Q148" s="22">
        <f t="shared" si="73"/>
        <v>19.31790268542148</v>
      </c>
      <c r="R148" s="10">
        <f>1.07*FX_RATE</f>
        <v>1463.998824</v>
      </c>
      <c r="S148" s="10">
        <f>1.07*FX_RATE</f>
        <v>1463.998824</v>
      </c>
      <c r="T148" s="10">
        <v>10</v>
      </c>
      <c r="U148" s="17">
        <v>179154</v>
      </c>
      <c r="V148" s="17">
        <v>179154</v>
      </c>
    </row>
    <row r="149" spans="1:22" ht="15" customHeight="1">
      <c r="A149" s="114">
        <v>133</v>
      </c>
      <c r="B149" s="10" t="s">
        <v>245</v>
      </c>
      <c r="C149" s="10" t="s">
        <v>34</v>
      </c>
      <c r="D149" s="42">
        <f>115918649.02*C250</f>
        <v>158602584901.82126</v>
      </c>
      <c r="E149" s="10">
        <f>702004.72*C250</f>
        <v>960499144.41350389</v>
      </c>
      <c r="F149" s="10">
        <v>0</v>
      </c>
      <c r="G149" s="10">
        <f>99887.1*C250</f>
        <v>136667847.60071999</v>
      </c>
      <c r="H149" s="12">
        <f t="shared" ref="H149" si="76">(E149+F149)-G149</f>
        <v>823831296.81278396</v>
      </c>
      <c r="I149" s="10">
        <v>151216456737.6608</v>
      </c>
      <c r="J149" s="13">
        <f t="shared" si="61"/>
        <v>8.1667946611548636E-2</v>
      </c>
      <c r="K149" s="10">
        <f>113071337.69*C250</f>
        <v>154706827482.4924</v>
      </c>
      <c r="L149" s="13">
        <f t="shared" si="68"/>
        <v>8.5031922146900377E-2</v>
      </c>
      <c r="M149" s="13">
        <f t="shared" si="69"/>
        <v>2.3081950338823931E-2</v>
      </c>
      <c r="N149" s="20">
        <f t="shared" si="70"/>
        <v>8.8339894124056149E-4</v>
      </c>
      <c r="O149" s="21">
        <f t="shared" si="71"/>
        <v>5.3251127323777217E-3</v>
      </c>
      <c r="P149" s="22">
        <f t="shared" si="72"/>
        <v>136822.31962488356</v>
      </c>
      <c r="Q149" s="22">
        <f t="shared" si="73"/>
        <v>728.59427630792163</v>
      </c>
      <c r="R149" s="10">
        <f>100*C250</f>
        <v>136822.31999999998</v>
      </c>
      <c r="S149" s="10">
        <f>100*C250</f>
        <v>136822.31999999998</v>
      </c>
      <c r="T149" s="10">
        <v>3948</v>
      </c>
      <c r="U149" s="17">
        <v>1096022.24</v>
      </c>
      <c r="V149" s="17">
        <v>1130713.3799999999</v>
      </c>
    </row>
    <row r="150" spans="1:22" ht="15" customHeight="1">
      <c r="A150" s="114">
        <v>134</v>
      </c>
      <c r="B150" s="25" t="s">
        <v>211</v>
      </c>
      <c r="C150" s="25" t="s">
        <v>212</v>
      </c>
      <c r="D150" s="42">
        <f>1191683.9*FX_RATE</f>
        <v>1630489559.0464797</v>
      </c>
      <c r="E150" s="10">
        <f>7595.6*FX_RATE</f>
        <v>10392476.13792</v>
      </c>
      <c r="F150" s="10">
        <v>0</v>
      </c>
      <c r="G150" s="10">
        <f>2301.07*FX_RATE</f>
        <v>3148377.3588240002</v>
      </c>
      <c r="H150" s="12">
        <f t="shared" si="74"/>
        <v>7244098.7790959999</v>
      </c>
      <c r="I150" s="10">
        <v>1601234964.989676</v>
      </c>
      <c r="J150" s="13">
        <f t="shared" si="61"/>
        <v>8.64783995436347E-4</v>
      </c>
      <c r="K150" s="10">
        <f>1154220.94*FX_RATE</f>
        <v>1579231868.0338078</v>
      </c>
      <c r="L150" s="13">
        <f t="shared" si="68"/>
        <v>8.6799738214366352E-4</v>
      </c>
      <c r="M150" s="13">
        <f t="shared" si="69"/>
        <v>-1.3741329309537097E-2</v>
      </c>
      <c r="N150" s="20">
        <f t="shared" si="70"/>
        <v>1.9936131118882669E-3</v>
      </c>
      <c r="O150" s="21">
        <f t="shared" si="71"/>
        <v>4.5871027084294627E-3</v>
      </c>
      <c r="P150" s="22">
        <f t="shared" si="72"/>
        <v>1573.1735295762039</v>
      </c>
      <c r="Q150" s="22">
        <f t="shared" si="73"/>
        <v>7.2163085583485431</v>
      </c>
      <c r="R150" s="10">
        <f>1.15*FX_RATE</f>
        <v>1573.4566799999998</v>
      </c>
      <c r="S150" s="10">
        <f>1.15*FX_RATE</f>
        <v>1573.4566799999998</v>
      </c>
      <c r="T150" s="10">
        <v>73</v>
      </c>
      <c r="U150" s="17">
        <v>999244.01</v>
      </c>
      <c r="V150" s="17">
        <v>1003851.03</v>
      </c>
    </row>
    <row r="151" spans="1:22" ht="15" customHeight="1">
      <c r="A151" s="114">
        <v>135</v>
      </c>
      <c r="B151" s="25" t="s">
        <v>213</v>
      </c>
      <c r="C151" s="25" t="s">
        <v>37</v>
      </c>
      <c r="D151" s="42">
        <f>6133460.48*FX_RATE</f>
        <v>8391942925.0191364</v>
      </c>
      <c r="E151" s="10">
        <f>51522.63*FX_RATE</f>
        <v>70494457.691015989</v>
      </c>
      <c r="F151" s="10"/>
      <c r="G151" s="10">
        <f>9586.04*FX_RATE</f>
        <v>13115842.324128</v>
      </c>
      <c r="H151" s="12">
        <f t="shared" si="74"/>
        <v>57378615.366887987</v>
      </c>
      <c r="I151" s="10">
        <v>8400195938.2895594</v>
      </c>
      <c r="J151" s="13">
        <f t="shared" si="61"/>
        <v>4.536720197094282E-3</v>
      </c>
      <c r="K151" s="10">
        <f>6111197.22*FX_RATE</f>
        <v>8361481816.1795034</v>
      </c>
      <c r="L151" s="13">
        <f t="shared" si="68"/>
        <v>4.5957433320553296E-3</v>
      </c>
      <c r="M151" s="13">
        <f t="shared" si="69"/>
        <v>-4.6087165578591084E-3</v>
      </c>
      <c r="N151" s="20">
        <f t="shared" si="70"/>
        <v>1.5686026248061425E-3</v>
      </c>
      <c r="O151" s="21">
        <f t="shared" si="71"/>
        <v>6.8622543980015743E-3</v>
      </c>
      <c r="P151" s="22">
        <f t="shared" si="72"/>
        <v>14989.256196550301</v>
      </c>
      <c r="Q151" s="22">
        <f t="shared" si="73"/>
        <v>102.86008925754965</v>
      </c>
      <c r="R151" s="10">
        <f>10.95*FX_RATE</f>
        <v>14982.044039999999</v>
      </c>
      <c r="S151" s="10">
        <f>10.95*FX_RATE</f>
        <v>14982.044039999999</v>
      </c>
      <c r="T151" s="10">
        <v>284</v>
      </c>
      <c r="U151" s="17">
        <v>683552.26</v>
      </c>
      <c r="V151" s="17">
        <v>557831.67000000004</v>
      </c>
    </row>
    <row r="152" spans="1:22">
      <c r="A152" s="114">
        <v>136</v>
      </c>
      <c r="B152" s="10" t="s">
        <v>133</v>
      </c>
      <c r="C152" s="10" t="s">
        <v>41</v>
      </c>
      <c r="D152" s="42">
        <f>29391990.51*FX_RATE</f>
        <v>40214803309.96183</v>
      </c>
      <c r="E152" s="10">
        <f>269712.13*FX_RATE</f>
        <v>369026393.58741599</v>
      </c>
      <c r="F152" s="10">
        <f>-952347.37*FX_RATE</f>
        <v>-1303023766.092984</v>
      </c>
      <c r="G152" s="10">
        <f>48038*FX_RATE</f>
        <v>65726706.081599995</v>
      </c>
      <c r="H152" s="12">
        <f t="shared" si="74"/>
        <v>-999724078.58716798</v>
      </c>
      <c r="I152" s="10">
        <v>39917304757.57048</v>
      </c>
      <c r="J152" s="13">
        <f t="shared" si="61"/>
        <v>2.1558264121171417E-2</v>
      </c>
      <c r="K152" s="10">
        <f>23497713.01*FX_RATE</f>
        <v>32150116087.223831</v>
      </c>
      <c r="L152" s="13">
        <f t="shared" si="68"/>
        <v>1.7670753208690798E-2</v>
      </c>
      <c r="M152" s="13">
        <f t="shared" si="69"/>
        <v>-0.19458199188344674</v>
      </c>
      <c r="N152" s="20">
        <f t="shared" si="70"/>
        <v>2.0443691681635702E-3</v>
      </c>
      <c r="O152" s="21">
        <f t="shared" si="71"/>
        <v>-3.1095504472671232E-2</v>
      </c>
      <c r="P152" s="22">
        <f t="shared" si="72"/>
        <v>1185.4226243976289</v>
      </c>
      <c r="Q152" s="22">
        <f t="shared" si="73"/>
        <v>-36.861314518962139</v>
      </c>
      <c r="R152" s="10">
        <f>1.09*FX_RATE</f>
        <v>1491.363288</v>
      </c>
      <c r="S152" s="10">
        <f>1.09*FX_RATE</f>
        <v>1491.363288</v>
      </c>
      <c r="T152" s="10">
        <v>604</v>
      </c>
      <c r="U152" s="17">
        <v>26819614</v>
      </c>
      <c r="V152" s="17">
        <v>27121227</v>
      </c>
    </row>
    <row r="153" spans="1:22">
      <c r="A153" s="114">
        <v>137</v>
      </c>
      <c r="B153" s="119" t="s">
        <v>134</v>
      </c>
      <c r="C153" s="10" t="s">
        <v>76</v>
      </c>
      <c r="D153" s="42">
        <f>319135.96*FX_RATE</f>
        <v>436649224.42627198</v>
      </c>
      <c r="E153" s="10">
        <f>267.34*FX_RATE</f>
        <v>365780.79028799996</v>
      </c>
      <c r="F153" s="10">
        <v>0</v>
      </c>
      <c r="G153" s="10">
        <f>113.31*FX_RATE</f>
        <v>155033.370792</v>
      </c>
      <c r="H153" s="12">
        <f t="shared" si="74"/>
        <v>210747.41949599996</v>
      </c>
      <c r="I153" s="10">
        <v>448941001.96532601</v>
      </c>
      <c r="J153" s="13">
        <f t="shared" si="61"/>
        <v>2.4246097661080907E-4</v>
      </c>
      <c r="K153" s="10">
        <f>308059.46*FX_RATE</f>
        <v>421494100.15147197</v>
      </c>
      <c r="L153" s="13">
        <f t="shared" si="68"/>
        <v>2.316669153694185E-4</v>
      </c>
      <c r="M153" s="13">
        <f t="shared" si="69"/>
        <v>-6.1136990592750316E-2</v>
      </c>
      <c r="N153" s="20">
        <f t="shared" si="70"/>
        <v>3.678186022919082E-4</v>
      </c>
      <c r="O153" s="21">
        <f t="shared" si="71"/>
        <v>5.0000087645417541E-4</v>
      </c>
      <c r="P153" s="22">
        <f t="shared" si="72"/>
        <v>1756.1156600690456</v>
      </c>
      <c r="Q153" s="22">
        <f t="shared" si="73"/>
        <v>0.87805936918942551</v>
      </c>
      <c r="R153" s="10">
        <f>1.28*FX_RATE</f>
        <v>1751.3256959999999</v>
      </c>
      <c r="S153" s="10">
        <f>1.28*FX_RATE</f>
        <v>1751.3256959999999</v>
      </c>
      <c r="T153" s="10">
        <v>2</v>
      </c>
      <c r="U153" s="17">
        <v>240015</v>
      </c>
      <c r="V153" s="17">
        <v>240015</v>
      </c>
    </row>
    <row r="154" spans="1:22">
      <c r="A154" s="114">
        <v>138</v>
      </c>
      <c r="B154" s="119" t="s">
        <v>277</v>
      </c>
      <c r="C154" s="10" t="s">
        <v>272</v>
      </c>
      <c r="D154" s="42">
        <f>440900.08*FX_RATE</f>
        <v>603249718.33785594</v>
      </c>
      <c r="E154" s="10">
        <f>2880.63*FX_RATE</f>
        <v>3941344.7966159997</v>
      </c>
      <c r="F154" s="10">
        <v>0</v>
      </c>
      <c r="G154" s="10">
        <f>1114.91*FX_RATE</f>
        <v>1525445.7279119999</v>
      </c>
      <c r="H154" s="12">
        <f t="shared" si="74"/>
        <v>2415899.0687039997</v>
      </c>
      <c r="I154" s="10">
        <v>765293634.32299435</v>
      </c>
      <c r="J154" s="13">
        <f t="shared" si="61"/>
        <v>4.1331453611875683E-4</v>
      </c>
      <c r="K154" s="10">
        <f>556100.11*FX_RATE</f>
        <v>760869072.02455199</v>
      </c>
      <c r="L154" s="13">
        <f t="shared" si="68"/>
        <v>4.181984773987928E-4</v>
      </c>
      <c r="M154" s="13">
        <f t="shared" si="69"/>
        <v>-5.7815224117949019E-3</v>
      </c>
      <c r="N154" s="20">
        <f t="shared" si="70"/>
        <v>2.0048728276640692E-3</v>
      </c>
      <c r="O154" s="21">
        <f t="shared" si="71"/>
        <v>3.1751836912961586E-3</v>
      </c>
      <c r="P154" s="22">
        <f t="shared" si="72"/>
        <v>1490.5188394225015</v>
      </c>
      <c r="Q154" s="22">
        <f t="shared" si="73"/>
        <v>4.732671110504004</v>
      </c>
      <c r="R154" s="10">
        <f>1.0894*FX_RATE</f>
        <v>1490.5423540799998</v>
      </c>
      <c r="S154" s="10">
        <f>1.0894*FX_RATE</f>
        <v>1490.5423540799998</v>
      </c>
      <c r="T154" s="10">
        <v>17</v>
      </c>
      <c r="U154" s="17">
        <v>511133.05</v>
      </c>
      <c r="V154" s="17">
        <v>510472.63</v>
      </c>
    </row>
    <row r="155" spans="1:22">
      <c r="A155" s="114">
        <v>139</v>
      </c>
      <c r="B155" s="25" t="s">
        <v>135</v>
      </c>
      <c r="C155" s="25" t="s">
        <v>43</v>
      </c>
      <c r="D155" s="42">
        <f>617671236.73*FX_RATE</f>
        <v>845112116066.6781</v>
      </c>
      <c r="E155" s="10">
        <f>3052034.15*FX_RATE</f>
        <v>4175863931.2222795</v>
      </c>
      <c r="F155" s="10">
        <v>0</v>
      </c>
      <c r="G155" s="10">
        <f>1004780.81*FX_RATE</f>
        <v>1374764415.1567919</v>
      </c>
      <c r="H155" s="12">
        <f t="shared" si="74"/>
        <v>2801099516.0654879</v>
      </c>
      <c r="I155" s="10">
        <v>867090101980.42432</v>
      </c>
      <c r="J155" s="13">
        <f t="shared" si="61"/>
        <v>0.46829207404846768</v>
      </c>
      <c r="K155" s="10">
        <f>622176932.79*FX_RATE</f>
        <v>851276913948.11865</v>
      </c>
      <c r="L155" s="13">
        <f t="shared" si="68"/>
        <v>0.46788957830889305</v>
      </c>
      <c r="M155" s="13">
        <f t="shared" si="69"/>
        <v>-1.8237075935002043E-2</v>
      </c>
      <c r="N155" s="20">
        <f t="shared" si="70"/>
        <v>1.6149438480374172E-3</v>
      </c>
      <c r="O155" s="21">
        <f t="shared" si="71"/>
        <v>3.2904680840859755E-3</v>
      </c>
      <c r="P155" s="22">
        <f t="shared" si="72"/>
        <v>2338.3462964950904</v>
      </c>
      <c r="Q155" s="22">
        <f t="shared" si="73"/>
        <v>7.6942538581577367</v>
      </c>
      <c r="R155" s="10">
        <f>1.709*FX_RATE</f>
        <v>2338.2934488000001</v>
      </c>
      <c r="S155" s="10">
        <f>1.709*FX_RATE</f>
        <v>2338.2934488000001</v>
      </c>
      <c r="T155" s="10">
        <v>13895</v>
      </c>
      <c r="U155" s="17">
        <v>368942072.94</v>
      </c>
      <c r="V155" s="17">
        <v>364050831.66000003</v>
      </c>
    </row>
    <row r="156" spans="1:22">
      <c r="A156" s="114">
        <v>140</v>
      </c>
      <c r="B156" s="25" t="s">
        <v>275</v>
      </c>
      <c r="C156" s="25" t="s">
        <v>274</v>
      </c>
      <c r="D156" s="42">
        <v>532598584.58999997</v>
      </c>
      <c r="E156" s="10">
        <v>19180254.73</v>
      </c>
      <c r="F156" s="10">
        <v>12609379.27</v>
      </c>
      <c r="G156" s="10">
        <v>11907994.529999999</v>
      </c>
      <c r="H156" s="12">
        <f t="shared" si="74"/>
        <v>19881639.469999999</v>
      </c>
      <c r="I156" s="10">
        <v>677129656.61000001</v>
      </c>
      <c r="J156" s="13">
        <f t="shared" si="61"/>
        <v>3.6569953983949693E-4</v>
      </c>
      <c r="K156" s="10">
        <v>675064169</v>
      </c>
      <c r="L156" s="13">
        <f t="shared" si="68"/>
        <v>3.7103730195143435E-4</v>
      </c>
      <c r="M156" s="13">
        <f t="shared" si="69"/>
        <v>-3.0503576232958495E-3</v>
      </c>
      <c r="N156" s="20">
        <f t="shared" si="70"/>
        <v>1.763979644726189E-2</v>
      </c>
      <c r="O156" s="21">
        <f t="shared" si="71"/>
        <v>2.9451480885811909E-2</v>
      </c>
      <c r="P156" s="22">
        <f t="shared" si="72"/>
        <v>161956.18937716371</v>
      </c>
      <c r="Q156" s="22">
        <f t="shared" si="73"/>
        <v>4769.8496157804711</v>
      </c>
      <c r="R156" s="10">
        <v>161956.06</v>
      </c>
      <c r="S156" s="10">
        <v>161956.06</v>
      </c>
      <c r="T156" s="10">
        <v>2</v>
      </c>
      <c r="U156" s="17">
        <v>4168.1899999999996</v>
      </c>
      <c r="V156" s="17">
        <v>4168.1899999999996</v>
      </c>
    </row>
    <row r="157" spans="1:22">
      <c r="A157" s="114">
        <v>141</v>
      </c>
      <c r="B157" s="25" t="s">
        <v>136</v>
      </c>
      <c r="C157" s="25" t="s">
        <v>47</v>
      </c>
      <c r="D157" s="42">
        <f>73061922*FX_RATE</f>
        <v>99965016716.990387</v>
      </c>
      <c r="E157" s="10">
        <f>894055*FX_RATE</f>
        <v>1223266793.076</v>
      </c>
      <c r="F157" s="10">
        <v>0</v>
      </c>
      <c r="G157" s="10">
        <f>254742*FX_RATE</f>
        <v>348543914.41439998</v>
      </c>
      <c r="H157" s="12">
        <f t="shared" si="74"/>
        <v>874722878.66159999</v>
      </c>
      <c r="I157" s="10">
        <v>180900365060.02917</v>
      </c>
      <c r="J157" s="13">
        <f t="shared" si="61"/>
        <v>9.7699428186989665E-2</v>
      </c>
      <c r="K157" s="10">
        <f>129269252*FX_RATE</f>
        <v>176869189633.04639</v>
      </c>
      <c r="L157" s="13">
        <f t="shared" si="68"/>
        <v>9.7213079783208187E-2</v>
      </c>
      <c r="M157" s="13">
        <f t="shared" si="69"/>
        <v>-2.2283954074084376E-2</v>
      </c>
      <c r="N157" s="20">
        <f t="shared" si="70"/>
        <v>1.9706310360641677E-3</v>
      </c>
      <c r="O157" s="21">
        <f t="shared" si="71"/>
        <v>4.9455921660318727E-3</v>
      </c>
      <c r="P157" s="22">
        <f t="shared" si="72"/>
        <v>1652.3194461887567</v>
      </c>
      <c r="Q157" s="22">
        <f t="shared" si="73"/>
        <v>8.1716981088532386</v>
      </c>
      <c r="R157" s="10">
        <f>1.21*FX_RATE</f>
        <v>1655.5500719999998</v>
      </c>
      <c r="S157" s="10">
        <f>1.21*FX_RATE</f>
        <v>1655.5500719999998</v>
      </c>
      <c r="T157" s="10">
        <v>471</v>
      </c>
      <c r="U157" s="17">
        <v>101524487.89</v>
      </c>
      <c r="V157" s="17">
        <v>107042975.28</v>
      </c>
    </row>
    <row r="158" spans="1:22">
      <c r="A158" s="114">
        <v>142</v>
      </c>
      <c r="B158" s="25" t="s">
        <v>210</v>
      </c>
      <c r="C158" s="10" t="s">
        <v>190</v>
      </c>
      <c r="D158" s="42">
        <f>1327601.33*FX_RATE</f>
        <v>1816454940.0568559</v>
      </c>
      <c r="E158" s="10">
        <f>6127.98*FX_RATE</f>
        <v>8384444.4051359985</v>
      </c>
      <c r="F158" s="10">
        <f>6265.36*C250</f>
        <v>8572410.9083519988</v>
      </c>
      <c r="G158" s="10">
        <f>2378.96*FX_RATE</f>
        <v>3254948.2638719999</v>
      </c>
      <c r="H158" s="12">
        <f t="shared" ref="H158:H159" si="77">(E158+F158)-G158</f>
        <v>13701907.049616</v>
      </c>
      <c r="I158" s="10">
        <v>2123967245.0509579</v>
      </c>
      <c r="J158" s="13">
        <f t="shared" si="61"/>
        <v>1.1470976593138164E-3</v>
      </c>
      <c r="K158" s="10">
        <f>1354343.61*FX_RATE</f>
        <v>1853044347.973752</v>
      </c>
      <c r="L158" s="13">
        <f t="shared" si="68"/>
        <v>1.0184936585910485E-3</v>
      </c>
      <c r="M158" s="13">
        <f t="shared" si="69"/>
        <v>-0.12755512012178227</v>
      </c>
      <c r="N158" s="20">
        <f t="shared" si="70"/>
        <v>1.7565409416300194E-3</v>
      </c>
      <c r="O158" s="21">
        <f t="shared" si="71"/>
        <v>7.3942682832165464E-3</v>
      </c>
      <c r="P158" s="22">
        <f t="shared" si="72"/>
        <v>158251.63439996928</v>
      </c>
      <c r="Q158" s="22">
        <f t="shared" si="73"/>
        <v>1170.1550410108732</v>
      </c>
      <c r="R158" s="10">
        <f>115.99*FX_RATE</f>
        <v>158700.20896799999</v>
      </c>
      <c r="S158" s="10">
        <f>115.99*FX_RATE</f>
        <v>158700.20896799999</v>
      </c>
      <c r="T158" s="10">
        <v>35</v>
      </c>
      <c r="U158" s="17">
        <v>13380.32</v>
      </c>
      <c r="V158" s="17">
        <v>11709.48</v>
      </c>
    </row>
    <row r="159" spans="1:22">
      <c r="A159" s="114">
        <v>143</v>
      </c>
      <c r="B159" s="119" t="s">
        <v>288</v>
      </c>
      <c r="C159" s="25" t="s">
        <v>85</v>
      </c>
      <c r="D159" s="42">
        <f>4092289.17*FX_RATE</f>
        <v>5599164983.5027437</v>
      </c>
      <c r="E159" s="10">
        <f>24039.49*FX_RATE</f>
        <v>32891387.934168</v>
      </c>
      <c r="F159" s="10">
        <f>18140.4*FX_RATE</f>
        <v>24820116.137279999</v>
      </c>
      <c r="G159" s="10">
        <f>7203.24*FX_RATE</f>
        <v>9855640.0831679981</v>
      </c>
      <c r="H159" s="12">
        <f t="shared" si="77"/>
        <v>47855863.988279998</v>
      </c>
      <c r="I159" s="10">
        <v>5557431726.6037235</v>
      </c>
      <c r="J159" s="13">
        <f t="shared" si="61"/>
        <v>3.0014196029800478E-3</v>
      </c>
      <c r="K159" s="10">
        <f>4112943.7*FX_RATE</f>
        <v>5627424990.6338396</v>
      </c>
      <c r="L159" s="13">
        <f t="shared" si="68"/>
        <v>3.0930164587936464E-3</v>
      </c>
      <c r="M159" s="13">
        <f t="shared" si="69"/>
        <v>1.2594534215338099E-2</v>
      </c>
      <c r="N159" s="20">
        <f t="shared" si="70"/>
        <v>1.7513587652561349E-3</v>
      </c>
      <c r="O159" s="21">
        <f t="shared" si="71"/>
        <v>8.5040429802139047E-3</v>
      </c>
      <c r="P159" s="22">
        <f t="shared" si="72"/>
        <v>1628.8790275710762</v>
      </c>
      <c r="Q159" s="22">
        <f t="shared" si="73"/>
        <v>13.852057260033462</v>
      </c>
      <c r="R159" s="10">
        <f>1.19*FX_RATE</f>
        <v>1628.1856079999998</v>
      </c>
      <c r="S159" s="10">
        <f>1.19*FX_RATE</f>
        <v>1628.1856079999998</v>
      </c>
      <c r="T159" s="10">
        <v>59</v>
      </c>
      <c r="U159" s="17">
        <v>3412951.62</v>
      </c>
      <c r="V159" s="17">
        <v>3454783.87</v>
      </c>
    </row>
    <row r="160" spans="1:22">
      <c r="A160" s="114">
        <v>144</v>
      </c>
      <c r="B160" s="25" t="s">
        <v>266</v>
      </c>
      <c r="C160" s="10" t="s">
        <v>267</v>
      </c>
      <c r="D160" s="42">
        <f>1253434.96*FX_RATE</f>
        <v>1714978791.9630718</v>
      </c>
      <c r="E160" s="10">
        <f>13780.87*FX_RATE</f>
        <v>18855306.050184</v>
      </c>
      <c r="F160" s="10">
        <v>0</v>
      </c>
      <c r="G160" s="10">
        <f>3353.42*FX_RATE</f>
        <v>4588227.0433439994</v>
      </c>
      <c r="H160" s="12">
        <f t="shared" si="74"/>
        <v>14267079.006840002</v>
      </c>
      <c r="I160" s="10">
        <v>2762288280.859828</v>
      </c>
      <c r="J160" s="13">
        <f t="shared" si="61"/>
        <v>1.4918377054577757E-3</v>
      </c>
      <c r="K160" s="10">
        <f>1789841.2*FX_RATE</f>
        <v>2448902254.1558399</v>
      </c>
      <c r="L160" s="13">
        <f t="shared" si="68"/>
        <v>1.3459966131379262E-3</v>
      </c>
      <c r="M160" s="13">
        <f t="shared" si="69"/>
        <v>-0.11345160057169675</v>
      </c>
      <c r="N160" s="20">
        <f t="shared" si="70"/>
        <v>1.873585209682289E-3</v>
      </c>
      <c r="O160" s="21">
        <f t="shared" si="71"/>
        <v>5.8259079073607212E-3</v>
      </c>
      <c r="P160" s="22">
        <f t="shared" si="72"/>
        <v>2115.1418217358314</v>
      </c>
      <c r="Q160" s="22">
        <f t="shared" si="73"/>
        <v>12.322621464440141</v>
      </c>
      <c r="R160" s="10">
        <f>1.5459*FX_RATE</f>
        <v>2115.13624488</v>
      </c>
      <c r="S160" s="10">
        <f>1.5459*FX_RATE</f>
        <v>2115.13624488</v>
      </c>
      <c r="T160" s="10">
        <v>5</v>
      </c>
      <c r="U160" s="17">
        <v>1157795.77</v>
      </c>
      <c r="V160" s="17">
        <v>1157795.77</v>
      </c>
    </row>
    <row r="161" spans="1:22" ht="15" customHeight="1">
      <c r="A161" s="147" t="s">
        <v>48</v>
      </c>
      <c r="B161" s="147"/>
      <c r="C161" s="147"/>
      <c r="D161" s="147"/>
      <c r="E161" s="147"/>
      <c r="F161" s="147"/>
      <c r="G161" s="147"/>
      <c r="H161" s="147"/>
      <c r="I161" s="36">
        <f>SUM(I121:I160)</f>
        <v>1851601062739.0664</v>
      </c>
      <c r="J161" s="34">
        <f>(I161/$I$248)</f>
        <v>0.20141765203099402</v>
      </c>
      <c r="K161" s="36">
        <f>SUM(K121:K160)</f>
        <v>1819397040269.4448</v>
      </c>
      <c r="L161" s="34">
        <f>(K161/$K$248)</f>
        <v>0.19254107954624103</v>
      </c>
      <c r="M161" s="34">
        <f t="shared" si="63"/>
        <v>-1.7392527536132591E-2</v>
      </c>
      <c r="N161" s="20"/>
      <c r="O161" s="20"/>
      <c r="P161" s="35"/>
      <c r="Q161" s="35"/>
      <c r="R161" s="36"/>
      <c r="S161" s="36"/>
      <c r="T161" s="38">
        <f>SUM(T121:T160)</f>
        <v>30493</v>
      </c>
      <c r="U161" s="38"/>
      <c r="V161" s="36"/>
    </row>
    <row r="162" spans="1:22" ht="4.2" customHeight="1">
      <c r="A162" s="153"/>
      <c r="B162" s="153"/>
      <c r="C162" s="153"/>
      <c r="D162" s="153"/>
      <c r="E162" s="153"/>
      <c r="F162" s="153"/>
      <c r="G162" s="153"/>
      <c r="H162" s="153"/>
      <c r="I162" s="153"/>
      <c r="J162" s="153"/>
      <c r="K162" s="153"/>
      <c r="L162" s="153"/>
      <c r="M162" s="153"/>
      <c r="N162" s="153"/>
      <c r="O162" s="153"/>
      <c r="P162" s="153"/>
      <c r="Q162" s="153"/>
      <c r="R162" s="153"/>
      <c r="S162" s="153"/>
      <c r="T162" s="153"/>
      <c r="U162" s="153"/>
      <c r="V162" s="153"/>
    </row>
    <row r="163" spans="1:22">
      <c r="A163" s="146" t="s">
        <v>137</v>
      </c>
      <c r="B163" s="146"/>
      <c r="C163" s="146"/>
      <c r="D163" s="146"/>
      <c r="E163" s="146"/>
      <c r="F163" s="146"/>
      <c r="G163" s="146"/>
      <c r="H163" s="146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146"/>
      <c r="V163" s="146"/>
    </row>
    <row r="164" spans="1:22">
      <c r="A164" s="123">
        <v>145</v>
      </c>
      <c r="B164" s="140" t="s">
        <v>206</v>
      </c>
      <c r="C164" s="80" t="s">
        <v>207</v>
      </c>
      <c r="D164" s="27">
        <v>2659974452.3200002</v>
      </c>
      <c r="E164" s="27">
        <v>49765838.399999999</v>
      </c>
      <c r="F164" s="27">
        <v>0</v>
      </c>
      <c r="G164" s="27">
        <v>4408896</v>
      </c>
      <c r="H164" s="12">
        <f t="shared" ref="H164:H169" si="78">(E164+F164)-G164</f>
        <v>45356942.399999999</v>
      </c>
      <c r="I164" s="172">
        <v>2631017188.1500001</v>
      </c>
      <c r="J164" s="13">
        <f>(I164/$I$170)</f>
        <v>4.9727306624800256E-3</v>
      </c>
      <c r="K164" s="28">
        <v>2676374130.5500002</v>
      </c>
      <c r="L164" s="13">
        <f>(K164/$K$170)</f>
        <v>5.1557400116140437E-3</v>
      </c>
      <c r="M164" s="13">
        <f t="shared" ref="M164:M170" si="79">((K164-I164)/I164)</f>
        <v>1.7239318163441125E-2</v>
      </c>
      <c r="N164" s="20">
        <f>(G164/K164)</f>
        <v>1.6473391928556577E-3</v>
      </c>
      <c r="O164" s="21">
        <f>H164/K164</f>
        <v>1.6947160668706305E-2</v>
      </c>
      <c r="P164" s="22">
        <f>K164/V164</f>
        <v>126.12507684024506</v>
      </c>
      <c r="Q164" s="22">
        <f>H164/V164</f>
        <v>2.1374619415645615</v>
      </c>
      <c r="R164" s="27">
        <v>126.12</v>
      </c>
      <c r="S164" s="27">
        <v>126.12</v>
      </c>
      <c r="T164" s="27">
        <v>8</v>
      </c>
      <c r="U164" s="27">
        <v>21220000</v>
      </c>
      <c r="V164" s="27">
        <v>21220000</v>
      </c>
    </row>
    <row r="165" spans="1:22">
      <c r="A165" s="114">
        <v>146</v>
      </c>
      <c r="B165" s="80" t="s">
        <v>258</v>
      </c>
      <c r="C165" s="80" t="s">
        <v>55</v>
      </c>
      <c r="D165" s="27">
        <v>6620954403</v>
      </c>
      <c r="E165" s="27">
        <v>2632561499</v>
      </c>
      <c r="F165" s="27">
        <v>0</v>
      </c>
      <c r="G165" s="27">
        <v>60617177</v>
      </c>
      <c r="H165" s="12">
        <f t="shared" si="78"/>
        <v>2571944322</v>
      </c>
      <c r="I165" s="172">
        <v>266776454860</v>
      </c>
      <c r="J165" s="13">
        <f t="shared" ref="J165:J169" si="80">(I165/$I$170)</f>
        <v>0.50421846846346319</v>
      </c>
      <c r="K165" s="28">
        <v>256061287609</v>
      </c>
      <c r="L165" s="13">
        <f t="shared" ref="L165:L169" si="81">(K165/$K$170)</f>
        <v>0.4932738703761988</v>
      </c>
      <c r="M165" s="13">
        <f t="shared" ref="M165:M169" si="82">((K165-I165)/I165)</f>
        <v>-4.0165340890458819E-2</v>
      </c>
      <c r="N165" s="20">
        <f t="shared" ref="N165:N169" si="83">(G165/K165)</f>
        <v>2.3672917357410586E-4</v>
      </c>
      <c r="O165" s="21">
        <f t="shared" ref="O165:O169" si="84">H165/K165</f>
        <v>1.0044252866240768E-2</v>
      </c>
      <c r="P165" s="22">
        <f t="shared" ref="P165:P169" si="85">K165/V165</f>
        <v>102.4245150436</v>
      </c>
      <c r="Q165" s="22">
        <f t="shared" ref="Q165:Q169" si="86">H165/V165</f>
        <v>1.0287777288</v>
      </c>
      <c r="R165" s="27">
        <v>102.42449999999999</v>
      </c>
      <c r="S165" s="27">
        <v>102.42449999999999</v>
      </c>
      <c r="T165" s="27">
        <v>45</v>
      </c>
      <c r="U165" s="27">
        <v>2500000000</v>
      </c>
      <c r="V165" s="27">
        <v>2500000000</v>
      </c>
    </row>
    <row r="166" spans="1:22">
      <c r="A166" s="123">
        <v>147</v>
      </c>
      <c r="B166" s="119" t="s">
        <v>138</v>
      </c>
      <c r="C166" s="25" t="s">
        <v>41</v>
      </c>
      <c r="D166" s="27">
        <v>193212147596</v>
      </c>
      <c r="E166" s="27">
        <v>1305227569</v>
      </c>
      <c r="F166" s="27">
        <v>0</v>
      </c>
      <c r="G166" s="27">
        <v>515668865</v>
      </c>
      <c r="H166" s="12">
        <f t="shared" si="78"/>
        <v>789558704</v>
      </c>
      <c r="I166" s="172">
        <v>189825823100</v>
      </c>
      <c r="J166" s="13">
        <f t="shared" si="80"/>
        <v>0.35877861053565352</v>
      </c>
      <c r="K166" s="28">
        <v>191529618773</v>
      </c>
      <c r="L166" s="13">
        <f t="shared" si="81"/>
        <v>0.36896071727991625</v>
      </c>
      <c r="M166" s="13">
        <f t="shared" si="82"/>
        <v>8.9755737400513871E-3</v>
      </c>
      <c r="N166" s="20">
        <f t="shared" si="83"/>
        <v>2.6923713851859554E-3</v>
      </c>
      <c r="O166" s="21">
        <f t="shared" si="84"/>
        <v>4.1223843552666457E-3</v>
      </c>
      <c r="P166" s="22">
        <f t="shared" si="85"/>
        <v>115.60386480297085</v>
      </c>
      <c r="Q166" s="22">
        <f t="shared" si="86"/>
        <v>0.47656356367212738</v>
      </c>
      <c r="R166" s="27">
        <v>103</v>
      </c>
      <c r="S166" s="27">
        <v>103</v>
      </c>
      <c r="T166" s="27">
        <v>1509</v>
      </c>
      <c r="U166" s="27">
        <v>1656775222</v>
      </c>
      <c r="V166" s="27">
        <v>1656775222</v>
      </c>
    </row>
    <row r="167" spans="1:22">
      <c r="A167" s="114">
        <v>148</v>
      </c>
      <c r="B167" s="25" t="s">
        <v>139</v>
      </c>
      <c r="C167" s="25" t="s">
        <v>112</v>
      </c>
      <c r="D167" s="27">
        <v>6266350206.9499998</v>
      </c>
      <c r="E167" s="27">
        <v>36769754.609999999</v>
      </c>
      <c r="F167" s="27">
        <v>0</v>
      </c>
      <c r="G167" s="27">
        <v>25985659.66</v>
      </c>
      <c r="H167" s="12">
        <f t="shared" si="78"/>
        <v>10784094.949999999</v>
      </c>
      <c r="I167" s="172">
        <v>6096956774.6199999</v>
      </c>
      <c r="J167" s="13">
        <f t="shared" si="80"/>
        <v>1.1523498986445871E-2</v>
      </c>
      <c r="K167" s="28">
        <v>6107740869.5699997</v>
      </c>
      <c r="L167" s="13">
        <f t="shared" si="81"/>
        <v>1.1765890135599673E-2</v>
      </c>
      <c r="M167" s="13">
        <f t="shared" si="82"/>
        <v>1.76876683707044E-3</v>
      </c>
      <c r="N167" s="20">
        <f t="shared" si="83"/>
        <v>4.2545452099099048E-3</v>
      </c>
      <c r="O167" s="21">
        <f t="shared" si="84"/>
        <v>1.765643824827039E-3</v>
      </c>
      <c r="P167" s="22">
        <f t="shared" si="85"/>
        <v>305.3870434785</v>
      </c>
      <c r="Q167" s="22">
        <f t="shared" si="86"/>
        <v>0.53920474749999991</v>
      </c>
      <c r="R167" s="27">
        <v>418.75</v>
      </c>
      <c r="S167" s="27">
        <v>418.75</v>
      </c>
      <c r="T167" s="27">
        <v>5693</v>
      </c>
      <c r="U167" s="27">
        <v>20000000</v>
      </c>
      <c r="V167" s="27">
        <v>20000000</v>
      </c>
    </row>
    <row r="168" spans="1:22">
      <c r="A168" s="114">
        <v>149</v>
      </c>
      <c r="B168" s="25" t="s">
        <v>140</v>
      </c>
      <c r="C168" s="25" t="s">
        <v>112</v>
      </c>
      <c r="D168" s="27">
        <v>28533506519.150002</v>
      </c>
      <c r="E168" s="27">
        <v>116647868.39</v>
      </c>
      <c r="F168" s="27">
        <v>0</v>
      </c>
      <c r="G168" s="27">
        <v>37589238.409999996</v>
      </c>
      <c r="H168" s="12">
        <f t="shared" si="78"/>
        <v>79058629.980000004</v>
      </c>
      <c r="I168" s="172">
        <v>27442327596.369999</v>
      </c>
      <c r="J168" s="13">
        <f t="shared" si="80"/>
        <v>5.1867127475607656E-2</v>
      </c>
      <c r="K168" s="28">
        <v>27523336226.349998</v>
      </c>
      <c r="L168" s="13">
        <f t="shared" si="81"/>
        <v>5.3020676076456316E-2</v>
      </c>
      <c r="M168" s="13">
        <f t="shared" si="82"/>
        <v>2.9519591476167336E-3</v>
      </c>
      <c r="N168" s="20">
        <f t="shared" si="83"/>
        <v>1.3657224582393906E-3</v>
      </c>
      <c r="O168" s="21">
        <f t="shared" si="84"/>
        <v>2.8724217634747235E-3</v>
      </c>
      <c r="P168" s="22">
        <f t="shared" si="85"/>
        <v>146.30184168369479</v>
      </c>
      <c r="Q168" s="22">
        <f t="shared" si="86"/>
        <v>0.42024059408867837</v>
      </c>
      <c r="R168" s="27">
        <v>0.7</v>
      </c>
      <c r="S168" s="27">
        <v>0.7</v>
      </c>
      <c r="T168" s="27">
        <v>8409</v>
      </c>
      <c r="U168" s="27">
        <v>188127066</v>
      </c>
      <c r="V168" s="27">
        <v>188127066</v>
      </c>
    </row>
    <row r="169" spans="1:22" ht="13.8" customHeight="1">
      <c r="A169" s="114">
        <v>150</v>
      </c>
      <c r="B169" s="25" t="s">
        <v>141</v>
      </c>
      <c r="C169" s="25" t="s">
        <v>112</v>
      </c>
      <c r="D169" s="27">
        <v>39076780142.370003</v>
      </c>
      <c r="E169" s="27">
        <v>390636468.64999998</v>
      </c>
      <c r="F169" s="27">
        <v>0</v>
      </c>
      <c r="G169" s="27">
        <v>90246759.879999995</v>
      </c>
      <c r="H169" s="12">
        <f t="shared" si="78"/>
        <v>300389708.76999998</v>
      </c>
      <c r="I169" s="172">
        <v>36316439518.510002</v>
      </c>
      <c r="J169" s="13">
        <f t="shared" si="80"/>
        <v>6.8639563876349743E-2</v>
      </c>
      <c r="K169" s="28">
        <v>35207362331.07</v>
      </c>
      <c r="L169" s="13">
        <f t="shared" si="81"/>
        <v>6.7823106120214943E-2</v>
      </c>
      <c r="M169" s="13">
        <f t="shared" si="82"/>
        <v>-3.0539259964477539E-2</v>
      </c>
      <c r="N169" s="20">
        <f t="shared" si="83"/>
        <v>2.5632922748194207E-3</v>
      </c>
      <c r="O169" s="21">
        <f t="shared" si="84"/>
        <v>8.5320140130154057E-3</v>
      </c>
      <c r="P169" s="22">
        <f t="shared" si="85"/>
        <v>1.8969514741928406</v>
      </c>
      <c r="Q169" s="22">
        <f t="shared" si="86"/>
        <v>1.6184816559823546E-2</v>
      </c>
      <c r="R169" s="27">
        <v>13.85</v>
      </c>
      <c r="S169" s="27">
        <v>13.85</v>
      </c>
      <c r="T169" s="27">
        <v>216198</v>
      </c>
      <c r="U169" s="27">
        <v>18559969936</v>
      </c>
      <c r="V169" s="27">
        <v>18559969936</v>
      </c>
    </row>
    <row r="170" spans="1:22" ht="14.4" customHeight="1">
      <c r="A170" s="147" t="s">
        <v>48</v>
      </c>
      <c r="B170" s="147"/>
      <c r="C170" s="147"/>
      <c r="D170" s="147"/>
      <c r="E170" s="147"/>
      <c r="F170" s="147"/>
      <c r="G170" s="147"/>
      <c r="H170" s="147"/>
      <c r="I170" s="36">
        <f>SUM(I164:I169)</f>
        <v>529089019037.65002</v>
      </c>
      <c r="J170" s="34">
        <f>(I170/$I$248)</f>
        <v>5.7554443057134523E-2</v>
      </c>
      <c r="K170" s="36">
        <f>SUM(K164:K169)</f>
        <v>519105719939.53998</v>
      </c>
      <c r="L170" s="34">
        <f>(K170/$K$248)</f>
        <v>5.4935329399560667E-2</v>
      </c>
      <c r="M170" s="34">
        <f t="shared" si="79"/>
        <v>-1.8868845768654354E-2</v>
      </c>
      <c r="N170" s="20"/>
      <c r="O170" s="20"/>
      <c r="P170" s="37"/>
      <c r="Q170" s="37"/>
      <c r="R170" s="36"/>
      <c r="S170" s="36"/>
      <c r="T170" s="36">
        <f>SUM(T164:T169)</f>
        <v>231862</v>
      </c>
      <c r="U170" s="36"/>
      <c r="V170" s="36"/>
    </row>
    <row r="171" spans="1:22" ht="4.95" customHeight="1">
      <c r="A171" s="153"/>
      <c r="B171" s="153"/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53"/>
      <c r="S171" s="153"/>
      <c r="T171" s="153"/>
      <c r="U171" s="153"/>
      <c r="V171" s="153"/>
    </row>
    <row r="172" spans="1:22" ht="13.95" customHeight="1">
      <c r="A172" s="154" t="s">
        <v>142</v>
      </c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  <c r="V172" s="156"/>
    </row>
    <row r="173" spans="1:22">
      <c r="A173" s="114">
        <v>151</v>
      </c>
      <c r="B173" s="25" t="s">
        <v>143</v>
      </c>
      <c r="C173" s="25" t="s">
        <v>52</v>
      </c>
      <c r="D173" s="29">
        <v>1039717761.52</v>
      </c>
      <c r="E173" s="29">
        <v>28484572.399999999</v>
      </c>
      <c r="F173" s="29">
        <v>18617692.859999999</v>
      </c>
      <c r="G173" s="10">
        <v>1969554.11</v>
      </c>
      <c r="H173" s="12">
        <f>(E173+F173)-G173</f>
        <v>45132711.149999999</v>
      </c>
      <c r="I173" s="171">
        <v>988820924.65999997</v>
      </c>
      <c r="J173" s="13">
        <f t="shared" ref="J173:J202" si="87">(I173/$I$203)</f>
        <v>6.6465850456399623E-3</v>
      </c>
      <c r="K173" s="10">
        <v>1046202093.72</v>
      </c>
      <c r="L173" s="13">
        <f t="shared" ref="L173" si="88">(K173/$K$203)</f>
        <v>6.7140234640568021E-3</v>
      </c>
      <c r="M173" s="13">
        <f t="shared" ref="M173:M203" si="89">((K173-I173)/I173)</f>
        <v>5.8029889567446424E-2</v>
      </c>
      <c r="N173" s="20">
        <f t="shared" ref="N173" si="90">(G173/K173)</f>
        <v>1.8825751944319096E-3</v>
      </c>
      <c r="O173" s="21">
        <f t="shared" ref="O173" si="91">H173/K173</f>
        <v>4.3139572574855768E-2</v>
      </c>
      <c r="P173" s="22">
        <f t="shared" ref="P173" si="92">K173/V173</f>
        <v>9.6774674133485146</v>
      </c>
      <c r="Q173" s="22">
        <f t="shared" ref="Q173" si="93">H173/V173</f>
        <v>0.41748180781895</v>
      </c>
      <c r="R173" s="10">
        <v>9.6013000000000002</v>
      </c>
      <c r="S173" s="10">
        <v>9.7902000000000005</v>
      </c>
      <c r="T173" s="10">
        <v>12015</v>
      </c>
      <c r="U173" s="10">
        <v>105753695.23999999</v>
      </c>
      <c r="V173" s="10">
        <v>108107012.81999999</v>
      </c>
    </row>
    <row r="174" spans="1:22">
      <c r="A174" s="123">
        <v>152</v>
      </c>
      <c r="B174" s="119" t="s">
        <v>200</v>
      </c>
      <c r="C174" s="25" t="s">
        <v>201</v>
      </c>
      <c r="D174" s="29">
        <v>1499768714.7</v>
      </c>
      <c r="E174" s="29">
        <v>19010840.82</v>
      </c>
      <c r="F174" s="29">
        <v>559770439.10000002</v>
      </c>
      <c r="G174" s="10">
        <v>4098739.89</v>
      </c>
      <c r="H174" s="12">
        <f>(E174+F174)-G174</f>
        <v>574682540.03000009</v>
      </c>
      <c r="I174" s="171">
        <v>3050024083.98</v>
      </c>
      <c r="J174" s="13">
        <f t="shared" si="87"/>
        <v>2.0501431512883569E-2</v>
      </c>
      <c r="K174" s="10">
        <v>3425485776.3600001</v>
      </c>
      <c r="L174" s="13">
        <f t="shared" ref="L174:L202" si="94">(K174/$K$203)</f>
        <v>2.1983125455710611E-2</v>
      </c>
      <c r="M174" s="13">
        <f t="shared" ref="M174:M202" si="95">((K174-I174)/I174)</f>
        <v>0.12310122216807456</v>
      </c>
      <c r="N174" s="20">
        <f t="shared" ref="N174:N202" si="96">(G174/K174)</f>
        <v>1.1965426679877839E-3</v>
      </c>
      <c r="O174" s="21">
        <f t="shared" ref="O174:O202" si="97">H174/K174</f>
        <v>0.16776672785974051</v>
      </c>
      <c r="P174" s="22">
        <f t="shared" ref="P174:P202" si="98">K174/V174</f>
        <v>3192.1224709954099</v>
      </c>
      <c r="Q174" s="22">
        <f t="shared" ref="Q174:Q202" si="99">H174/V174</f>
        <v>535.53194188644932</v>
      </c>
      <c r="R174" s="10">
        <v>3178.24</v>
      </c>
      <c r="S174" s="10">
        <v>3201.19</v>
      </c>
      <c r="T174" s="10">
        <v>264</v>
      </c>
      <c r="U174" s="10">
        <v>999548</v>
      </c>
      <c r="V174" s="10">
        <v>1073106</v>
      </c>
    </row>
    <row r="175" spans="1:22">
      <c r="A175" s="114">
        <v>153</v>
      </c>
      <c r="B175" s="25" t="s">
        <v>144</v>
      </c>
      <c r="C175" s="10" t="s">
        <v>55</v>
      </c>
      <c r="D175" s="29">
        <v>11539801580</v>
      </c>
      <c r="E175" s="29">
        <v>109927023</v>
      </c>
      <c r="F175" s="29">
        <v>458796479</v>
      </c>
      <c r="G175" s="10">
        <v>7325770</v>
      </c>
      <c r="H175" s="12">
        <f t="shared" ref="H175:H202" si="100">(E175+F175)-G175</f>
        <v>561397732</v>
      </c>
      <c r="I175" s="171">
        <v>15571774864</v>
      </c>
      <c r="J175" s="13">
        <f t="shared" si="87"/>
        <v>0.10466923116612059</v>
      </c>
      <c r="K175" s="10">
        <v>16717002920</v>
      </c>
      <c r="L175" s="13">
        <f t="shared" si="94"/>
        <v>0.10728171022340255</v>
      </c>
      <c r="M175" s="13">
        <f t="shared" si="95"/>
        <v>7.3545120322001598E-2</v>
      </c>
      <c r="N175" s="20">
        <f t="shared" si="96"/>
        <v>4.3822269069747821E-4</v>
      </c>
      <c r="O175" s="21">
        <f t="shared" si="97"/>
        <v>3.3582439070364178E-2</v>
      </c>
      <c r="P175" s="22">
        <f t="shared" si="98"/>
        <v>1404.1096991063239</v>
      </c>
      <c r="Q175" s="22">
        <f t="shared" si="99"/>
        <v>47.153428418345499</v>
      </c>
      <c r="R175" s="10">
        <v>1397.0891999999999</v>
      </c>
      <c r="S175" s="10">
        <v>1439.2123999999999</v>
      </c>
      <c r="T175" s="10">
        <v>23935</v>
      </c>
      <c r="U175" s="10">
        <v>11498724</v>
      </c>
      <c r="V175" s="10">
        <v>11905767</v>
      </c>
    </row>
    <row r="176" spans="1:22">
      <c r="A176" s="123">
        <v>154</v>
      </c>
      <c r="B176" s="25" t="s">
        <v>145</v>
      </c>
      <c r="C176" s="25" t="s">
        <v>96</v>
      </c>
      <c r="D176" s="29">
        <v>3898822747.1900001</v>
      </c>
      <c r="E176" s="29">
        <v>54925752.119999997</v>
      </c>
      <c r="F176" s="29">
        <v>235151309.80000001</v>
      </c>
      <c r="G176" s="10">
        <v>7455074.25</v>
      </c>
      <c r="H176" s="12">
        <f t="shared" si="100"/>
        <v>282621987.67000002</v>
      </c>
      <c r="I176" s="171">
        <v>3759728954.7199998</v>
      </c>
      <c r="J176" s="13">
        <f t="shared" si="87"/>
        <v>2.5271874434386544E-2</v>
      </c>
      <c r="K176" s="10">
        <v>3984733132.8600001</v>
      </c>
      <c r="L176" s="13">
        <f t="shared" si="94"/>
        <v>2.5572106873633156E-2</v>
      </c>
      <c r="M176" s="13">
        <f t="shared" si="95"/>
        <v>5.9845850817923443E-2</v>
      </c>
      <c r="N176" s="20">
        <f t="shared" si="96"/>
        <v>1.870909293403345E-3</v>
      </c>
      <c r="O176" s="21">
        <f t="shared" si="97"/>
        <v>7.0926202143718239E-2</v>
      </c>
      <c r="P176" s="22">
        <f t="shared" si="98"/>
        <v>9.5619996865406414</v>
      </c>
      <c r="Q176" s="22">
        <f t="shared" si="99"/>
        <v>0.67819632266575192</v>
      </c>
      <c r="R176" s="10">
        <v>9.0014000000000003</v>
      </c>
      <c r="S176" s="10">
        <v>9.2309000000000001</v>
      </c>
      <c r="T176" s="10">
        <v>2737</v>
      </c>
      <c r="U176" s="10">
        <v>416919107.72000003</v>
      </c>
      <c r="V176" s="10">
        <v>416725921.72000003</v>
      </c>
    </row>
    <row r="177" spans="1:22">
      <c r="A177" s="114">
        <v>155</v>
      </c>
      <c r="B177" s="25" t="s">
        <v>254</v>
      </c>
      <c r="C177" s="10" t="s">
        <v>94</v>
      </c>
      <c r="D177" s="29">
        <v>4113658431.8000002</v>
      </c>
      <c r="E177" s="29">
        <v>36276717.659999996</v>
      </c>
      <c r="F177" s="29">
        <v>130441597.77</v>
      </c>
      <c r="G177" s="10">
        <v>5466346.96</v>
      </c>
      <c r="H177" s="12">
        <f t="shared" ref="H177" si="101">(E177+F177)-G177</f>
        <v>161251968.47</v>
      </c>
      <c r="I177" s="10">
        <v>3954801734.5900002</v>
      </c>
      <c r="J177" s="13">
        <f t="shared" si="87"/>
        <v>2.6583100551432134E-2</v>
      </c>
      <c r="K177" s="10">
        <v>4284547410.23</v>
      </c>
      <c r="L177" s="13">
        <f t="shared" si="94"/>
        <v>2.7496171167907212E-2</v>
      </c>
      <c r="M177" s="13">
        <f t="shared" si="95"/>
        <v>8.3378560486594172E-2</v>
      </c>
      <c r="N177" s="20">
        <f t="shared" si="96"/>
        <v>1.2758283283196437E-3</v>
      </c>
      <c r="O177" s="21">
        <f t="shared" si="97"/>
        <v>3.7635706419069312E-2</v>
      </c>
      <c r="P177" s="22">
        <f t="shared" si="98"/>
        <v>1.786547680522639</v>
      </c>
      <c r="Q177" s="22">
        <f t="shared" si="99"/>
        <v>6.7237984007819274E-2</v>
      </c>
      <c r="R177" s="10">
        <v>1.7264999999999999</v>
      </c>
      <c r="S177" s="10">
        <v>1.7406999999999999</v>
      </c>
      <c r="T177" s="10">
        <v>871</v>
      </c>
      <c r="U177" s="10">
        <v>2304957513.96</v>
      </c>
      <c r="V177" s="10">
        <v>2398227294.4299998</v>
      </c>
    </row>
    <row r="178" spans="1:22">
      <c r="A178" s="123">
        <v>156</v>
      </c>
      <c r="B178" s="119" t="s">
        <v>146</v>
      </c>
      <c r="C178" s="25" t="s">
        <v>57</v>
      </c>
      <c r="D178" s="29">
        <v>11438917887.799999</v>
      </c>
      <c r="E178" s="29">
        <v>93969759.469999999</v>
      </c>
      <c r="F178" s="29">
        <v>2984052181.8499999</v>
      </c>
      <c r="G178" s="10">
        <v>29396619.300000001</v>
      </c>
      <c r="H178" s="12">
        <f t="shared" si="100"/>
        <v>3048625322.0199995</v>
      </c>
      <c r="I178" s="171">
        <v>10895510032.9</v>
      </c>
      <c r="J178" s="13">
        <f t="shared" si="87"/>
        <v>7.3236652100777275E-2</v>
      </c>
      <c r="K178" s="10">
        <v>11441207569.73</v>
      </c>
      <c r="L178" s="13">
        <f t="shared" si="94"/>
        <v>7.342418500346673E-2</v>
      </c>
      <c r="M178" s="13">
        <f t="shared" si="95"/>
        <v>5.0084625243078641E-2</v>
      </c>
      <c r="N178" s="20">
        <f t="shared" si="96"/>
        <v>2.5693633404374754E-3</v>
      </c>
      <c r="O178" s="21">
        <f t="shared" si="97"/>
        <v>0.26646010077517929</v>
      </c>
      <c r="P178" s="22">
        <f t="shared" si="98"/>
        <v>14349.156373995716</v>
      </c>
      <c r="Q178" s="22">
        <f t="shared" si="99"/>
        <v>3823.4776534537045</v>
      </c>
      <c r="R178" s="10">
        <v>14349.16</v>
      </c>
      <c r="S178" s="10">
        <v>14451.18</v>
      </c>
      <c r="T178" s="10">
        <v>1676</v>
      </c>
      <c r="U178" s="10">
        <v>787534.62</v>
      </c>
      <c r="V178" s="10">
        <v>797343.57</v>
      </c>
    </row>
    <row r="179" spans="1:22" ht="14.1" customHeight="1">
      <c r="A179" s="114">
        <v>157</v>
      </c>
      <c r="B179" s="25" t="s">
        <v>147</v>
      </c>
      <c r="C179" s="10" t="s">
        <v>59</v>
      </c>
      <c r="D179" s="29">
        <v>2758260305.6900001</v>
      </c>
      <c r="E179" s="29">
        <v>30165617.170000002</v>
      </c>
      <c r="F179" s="29">
        <v>67188490.719999999</v>
      </c>
      <c r="G179" s="10">
        <v>5973946.5800000001</v>
      </c>
      <c r="H179" s="12">
        <f t="shared" si="100"/>
        <v>91380161.310000002</v>
      </c>
      <c r="I179" s="171">
        <v>3254420999.8000002</v>
      </c>
      <c r="J179" s="13">
        <f t="shared" si="87"/>
        <v>2.187533193325672E-2</v>
      </c>
      <c r="K179" s="10">
        <v>3448631478.23</v>
      </c>
      <c r="L179" s="13">
        <f t="shared" si="94"/>
        <v>2.2131663473728413E-2</v>
      </c>
      <c r="M179" s="13">
        <f t="shared" si="95"/>
        <v>5.9675892713922075E-2</v>
      </c>
      <c r="N179" s="20">
        <f t="shared" si="96"/>
        <v>1.7322658618966473E-3</v>
      </c>
      <c r="O179" s="21">
        <f t="shared" si="97"/>
        <v>2.6497514126067365E-2</v>
      </c>
      <c r="P179" s="22">
        <f t="shared" si="98"/>
        <v>292.72156320596702</v>
      </c>
      <c r="Q179" s="22">
        <f t="shared" si="99"/>
        <v>7.7563937560546323</v>
      </c>
      <c r="R179" s="10">
        <v>299.88</v>
      </c>
      <c r="S179" s="10">
        <v>301.88</v>
      </c>
      <c r="T179" s="10">
        <v>611</v>
      </c>
      <c r="U179" s="10">
        <v>11393204</v>
      </c>
      <c r="V179" s="10">
        <v>11781269</v>
      </c>
    </row>
    <row r="180" spans="1:22">
      <c r="A180" s="123">
        <v>158</v>
      </c>
      <c r="B180" s="25" t="s">
        <v>148</v>
      </c>
      <c r="C180" s="10" t="s">
        <v>61</v>
      </c>
      <c r="D180" s="29">
        <v>6708325160.5</v>
      </c>
      <c r="E180" s="29">
        <v>37139918.789999999</v>
      </c>
      <c r="F180" s="29">
        <v>379530176.60000002</v>
      </c>
      <c r="G180" s="10">
        <v>15255051.09</v>
      </c>
      <c r="H180" s="12">
        <f t="shared" si="100"/>
        <v>401415044.30000007</v>
      </c>
      <c r="I180" s="171">
        <v>6069467463.3599997</v>
      </c>
      <c r="J180" s="13">
        <f t="shared" si="87"/>
        <v>4.0797307855148769E-2</v>
      </c>
      <c r="K180" s="10">
        <v>6781874962.5</v>
      </c>
      <c r="L180" s="13">
        <f t="shared" si="94"/>
        <v>4.3522822121889897E-2</v>
      </c>
      <c r="M180" s="13">
        <f t="shared" si="95"/>
        <v>0.11737561877391106</v>
      </c>
      <c r="N180" s="20">
        <f t="shared" si="96"/>
        <v>2.2493854832700329E-3</v>
      </c>
      <c r="O180" s="21">
        <f t="shared" si="97"/>
        <v>5.9189390326362876E-2</v>
      </c>
      <c r="P180" s="22">
        <f t="shared" si="98"/>
        <v>2.7376263923257258</v>
      </c>
      <c r="Q180" s="22">
        <f t="shared" si="99"/>
        <v>0.16203843710311999</v>
      </c>
      <c r="R180" s="10">
        <v>2.7086999999999999</v>
      </c>
      <c r="S180" s="10">
        <v>2.7562000000000002</v>
      </c>
      <c r="T180" s="10">
        <v>6313</v>
      </c>
      <c r="U180" s="10">
        <v>2325313165.8600001</v>
      </c>
      <c r="V180" s="10">
        <v>2477282868.6599998</v>
      </c>
    </row>
    <row r="181" spans="1:22">
      <c r="A181" s="114">
        <v>159</v>
      </c>
      <c r="B181" s="25" t="s">
        <v>202</v>
      </c>
      <c r="C181" s="25" t="s">
        <v>45</v>
      </c>
      <c r="D181" s="29">
        <v>1490466906.5300002</v>
      </c>
      <c r="E181" s="29">
        <v>9735243.9800000004</v>
      </c>
      <c r="F181" s="29">
        <v>203645658.92000002</v>
      </c>
      <c r="G181" s="10">
        <v>228487.67</v>
      </c>
      <c r="H181" s="12">
        <f>(E181+F181)-G181</f>
        <v>213152415.23000002</v>
      </c>
      <c r="I181" s="10">
        <v>1365554707.78</v>
      </c>
      <c r="J181" s="13">
        <f t="shared" si="87"/>
        <v>9.1788869686941724E-3</v>
      </c>
      <c r="K181" s="10">
        <v>1578772063.99</v>
      </c>
      <c r="L181" s="13">
        <f t="shared" si="94"/>
        <v>1.0131802206910083E-2</v>
      </c>
      <c r="M181" s="13">
        <f t="shared" si="95"/>
        <v>0.15613973940057682</v>
      </c>
      <c r="N181" s="20">
        <f t="shared" si="96"/>
        <v>1.4472492591650473E-4</v>
      </c>
      <c r="O181" s="21">
        <f t="shared" si="97"/>
        <v>0.13501151945348214</v>
      </c>
      <c r="P181" s="22">
        <f t="shared" si="98"/>
        <v>290.55339217149771</v>
      </c>
      <c r="Q181" s="22">
        <f t="shared" si="99"/>
        <v>39.228054959437387</v>
      </c>
      <c r="R181" s="10">
        <v>290.55</v>
      </c>
      <c r="S181" s="10">
        <v>292.64</v>
      </c>
      <c r="T181" s="10">
        <v>204</v>
      </c>
      <c r="U181" s="10">
        <v>4931803.76</v>
      </c>
      <c r="V181" s="10">
        <v>5433672.7999999998</v>
      </c>
    </row>
    <row r="182" spans="1:22">
      <c r="A182" s="123">
        <v>160</v>
      </c>
      <c r="B182" s="25" t="s">
        <v>149</v>
      </c>
      <c r="C182" s="25" t="s">
        <v>150</v>
      </c>
      <c r="D182" s="29">
        <v>1898042620.5599999</v>
      </c>
      <c r="E182" s="29">
        <v>17151480.899999999</v>
      </c>
      <c r="F182" s="29">
        <v>0</v>
      </c>
      <c r="G182" s="10">
        <v>4838766.03</v>
      </c>
      <c r="H182" s="12">
        <f>(E182+F182)-G182</f>
        <v>12312714.869999997</v>
      </c>
      <c r="I182" s="171">
        <v>2287235218.6599998</v>
      </c>
      <c r="J182" s="13">
        <f t="shared" si="87"/>
        <v>1.5374172432115373E-2</v>
      </c>
      <c r="K182" s="10">
        <v>2963419888.3499999</v>
      </c>
      <c r="L182" s="13">
        <f t="shared" si="94"/>
        <v>1.9017808111517192E-2</v>
      </c>
      <c r="M182" s="13">
        <f t="shared" si="95"/>
        <v>0.29563407566194688</v>
      </c>
      <c r="N182" s="20">
        <f t="shared" si="96"/>
        <v>1.6328317323584451E-3</v>
      </c>
      <c r="O182" s="21">
        <f t="shared" si="97"/>
        <v>4.1549005317824145E-3</v>
      </c>
      <c r="P182" s="22">
        <f t="shared" si="98"/>
        <v>208.86504650976261</v>
      </c>
      <c r="Q182" s="22">
        <f t="shared" si="99"/>
        <v>0.86781349281417131</v>
      </c>
      <c r="R182" s="10">
        <v>128.76</v>
      </c>
      <c r="S182" s="10">
        <v>129.74</v>
      </c>
      <c r="T182" s="10">
        <v>264</v>
      </c>
      <c r="U182" s="10">
        <v>13171369</v>
      </c>
      <c r="V182" s="10">
        <v>14188204</v>
      </c>
    </row>
    <row r="183" spans="1:22">
      <c r="A183" s="114">
        <v>161</v>
      </c>
      <c r="B183" s="119" t="s">
        <v>151</v>
      </c>
      <c r="C183" s="10" t="s">
        <v>66</v>
      </c>
      <c r="D183" s="29">
        <v>912286982.35000002</v>
      </c>
      <c r="E183" s="29">
        <v>14543224</v>
      </c>
      <c r="F183" s="29">
        <v>33260837</v>
      </c>
      <c r="G183" s="10">
        <v>2057413</v>
      </c>
      <c r="H183" s="12">
        <f t="shared" si="100"/>
        <v>45746648</v>
      </c>
      <c r="I183" s="171">
        <v>1115379604</v>
      </c>
      <c r="J183" s="13">
        <f t="shared" si="87"/>
        <v>7.4972780321242672E-3</v>
      </c>
      <c r="K183" s="10">
        <v>950869257</v>
      </c>
      <c r="L183" s="13">
        <f t="shared" si="94"/>
        <v>6.1022230227507843E-3</v>
      </c>
      <c r="M183" s="13">
        <f t="shared" si="95"/>
        <v>-0.14749269792098513</v>
      </c>
      <c r="N183" s="20">
        <f t="shared" si="96"/>
        <v>2.1637180767534268E-3</v>
      </c>
      <c r="O183" s="21">
        <f t="shared" si="97"/>
        <v>4.8110344995621203E-2</v>
      </c>
      <c r="P183" s="22">
        <f t="shared" si="98"/>
        <v>2.0970787115063585</v>
      </c>
      <c r="Q183" s="22">
        <f t="shared" si="99"/>
        <v>0.1008911802935437</v>
      </c>
      <c r="R183" s="10">
        <v>2.2515000000000001</v>
      </c>
      <c r="S183" s="10">
        <v>2.2515000000000001</v>
      </c>
      <c r="T183" s="10">
        <v>282</v>
      </c>
      <c r="U183" s="10">
        <v>525651488.33999997</v>
      </c>
      <c r="V183" s="10">
        <v>453425640.05000001</v>
      </c>
    </row>
    <row r="184" spans="1:22">
      <c r="A184" s="123">
        <v>162</v>
      </c>
      <c r="B184" s="10" t="s">
        <v>332</v>
      </c>
      <c r="C184" s="10" t="s">
        <v>324</v>
      </c>
      <c r="D184" s="29">
        <v>21767797449.23</v>
      </c>
      <c r="E184" s="29">
        <v>136073507.66</v>
      </c>
      <c r="F184" s="29">
        <v>-466882583</v>
      </c>
      <c r="G184" s="10">
        <v>35291825.280000001</v>
      </c>
      <c r="H184" s="12">
        <f>(E184+F184)-G184</f>
        <v>-366100900.62</v>
      </c>
      <c r="I184" s="171">
        <v>20609768926.630001</v>
      </c>
      <c r="J184" s="13">
        <f t="shared" si="87"/>
        <v>0.13853325564377134</v>
      </c>
      <c r="K184" s="10">
        <v>21552779246.599998</v>
      </c>
      <c r="L184" s="13">
        <f t="shared" si="94"/>
        <v>0.13831540430470327</v>
      </c>
      <c r="M184" s="13">
        <f t="shared" si="95"/>
        <v>4.5755501836390232E-2</v>
      </c>
      <c r="N184" s="20">
        <f t="shared" si="96"/>
        <v>1.637460527767776E-3</v>
      </c>
      <c r="O184" s="21">
        <f t="shared" si="97"/>
        <v>-1.6986250192199844E-2</v>
      </c>
      <c r="P184" s="22">
        <f t="shared" si="98"/>
        <v>599.77737483439375</v>
      </c>
      <c r="Q184" s="22">
        <f t="shared" si="99"/>
        <v>-10.187968548557837</v>
      </c>
      <c r="R184" s="10">
        <v>599.78</v>
      </c>
      <c r="S184" s="10">
        <v>605.35</v>
      </c>
      <c r="T184" s="10">
        <v>7108</v>
      </c>
      <c r="U184" s="10">
        <v>35713764</v>
      </c>
      <c r="V184" s="10">
        <v>35934632</v>
      </c>
    </row>
    <row r="185" spans="1:22" ht="15.6" customHeight="1">
      <c r="A185" s="114">
        <v>163</v>
      </c>
      <c r="B185" s="10" t="s">
        <v>152</v>
      </c>
      <c r="C185" s="25" t="s">
        <v>227</v>
      </c>
      <c r="D185" s="29">
        <v>5366710925.1300001</v>
      </c>
      <c r="E185" s="29">
        <v>45385458.719999999</v>
      </c>
      <c r="F185" s="29">
        <v>109309928.15000001</v>
      </c>
      <c r="G185" s="10">
        <v>17481622.600000001</v>
      </c>
      <c r="H185" s="12">
        <f>(E185+F185)-G185</f>
        <v>137213764.27000001</v>
      </c>
      <c r="I185" s="171">
        <v>5509233063.29</v>
      </c>
      <c r="J185" s="13">
        <f t="shared" si="87"/>
        <v>3.7031564743635746E-2</v>
      </c>
      <c r="K185" s="10">
        <v>5301179384.4799995</v>
      </c>
      <c r="L185" s="13">
        <f t="shared" si="94"/>
        <v>3.4020427781803531E-2</v>
      </c>
      <c r="M185" s="13">
        <f t="shared" si="95"/>
        <v>-3.7764544795960232E-2</v>
      </c>
      <c r="N185" s="20">
        <f t="shared" si="96"/>
        <v>3.2976855397838607E-3</v>
      </c>
      <c r="O185" s="21">
        <f t="shared" si="97"/>
        <v>2.5883629720532368E-2</v>
      </c>
      <c r="P185" s="22">
        <f t="shared" si="98"/>
        <v>3.9084027435886899</v>
      </c>
      <c r="Q185" s="22">
        <f t="shared" si="99"/>
        <v>0.10116364941376246</v>
      </c>
      <c r="R185" s="10">
        <v>3.8666999999999998</v>
      </c>
      <c r="S185" s="10">
        <v>3.9434999999999998</v>
      </c>
      <c r="T185" s="10">
        <v>10279</v>
      </c>
      <c r="U185" s="10">
        <v>1444070558.51</v>
      </c>
      <c r="V185" s="10">
        <v>1356354432.3</v>
      </c>
    </row>
    <row r="186" spans="1:22">
      <c r="A186" s="123">
        <v>164</v>
      </c>
      <c r="B186" s="25" t="s">
        <v>153</v>
      </c>
      <c r="C186" s="10" t="s">
        <v>71</v>
      </c>
      <c r="D186" s="29">
        <v>355332640.02999997</v>
      </c>
      <c r="E186" s="29">
        <v>25005949.899999999</v>
      </c>
      <c r="F186" s="29">
        <v>6733606.6900000004</v>
      </c>
      <c r="G186" s="10">
        <v>675028.7</v>
      </c>
      <c r="H186" s="12">
        <f t="shared" si="100"/>
        <v>31064527.890000001</v>
      </c>
      <c r="I186" s="171">
        <v>369114660.45999998</v>
      </c>
      <c r="J186" s="13">
        <f t="shared" si="87"/>
        <v>2.4810882548662472E-3</v>
      </c>
      <c r="K186" s="10">
        <v>406056972.57999998</v>
      </c>
      <c r="L186" s="13">
        <f t="shared" si="94"/>
        <v>2.6058789769308525E-3</v>
      </c>
      <c r="M186" s="13">
        <f t="shared" si="95"/>
        <v>0.10008356772922963</v>
      </c>
      <c r="N186" s="20">
        <f t="shared" si="96"/>
        <v>1.6623989872923757E-3</v>
      </c>
      <c r="O186" s="21">
        <f t="shared" si="97"/>
        <v>7.6502880107248428E-2</v>
      </c>
      <c r="P186" s="22">
        <f t="shared" si="98"/>
        <v>374.48924098112263</v>
      </c>
      <c r="Q186" s="22">
        <f t="shared" si="99"/>
        <v>28.649505504233289</v>
      </c>
      <c r="R186" s="10">
        <v>370.86</v>
      </c>
      <c r="S186" s="10">
        <v>374.22</v>
      </c>
      <c r="T186" s="10">
        <v>78</v>
      </c>
      <c r="U186" s="10">
        <v>1078967.7</v>
      </c>
      <c r="V186" s="10">
        <v>1084295.43</v>
      </c>
    </row>
    <row r="187" spans="1:22">
      <c r="A187" s="114">
        <v>165</v>
      </c>
      <c r="B187" s="25" t="s">
        <v>205</v>
      </c>
      <c r="C187" s="25" t="s">
        <v>204</v>
      </c>
      <c r="D187" s="29">
        <v>111828285.34999999</v>
      </c>
      <c r="E187" s="29">
        <v>1015933.1</v>
      </c>
      <c r="F187" s="29">
        <v>0</v>
      </c>
      <c r="G187" s="10">
        <v>165110.66</v>
      </c>
      <c r="H187" s="12">
        <f>(E187+F187)-G187</f>
        <v>850822.44</v>
      </c>
      <c r="I187" s="10">
        <v>107871669.8</v>
      </c>
      <c r="J187" s="13">
        <f t="shared" si="87"/>
        <v>7.2508399595955198E-4</v>
      </c>
      <c r="K187" s="10">
        <v>111770196.55</v>
      </c>
      <c r="L187" s="13">
        <f t="shared" si="94"/>
        <v>7.1728753624515412E-4</v>
      </c>
      <c r="M187" s="13">
        <f t="shared" si="95"/>
        <v>3.6140413486025411E-2</v>
      </c>
      <c r="N187" s="20">
        <f t="shared" si="96"/>
        <v>1.4772333331823241E-3</v>
      </c>
      <c r="O187" s="21">
        <f t="shared" si="97"/>
        <v>7.6122478644777862E-3</v>
      </c>
      <c r="P187" s="22">
        <f t="shared" si="98"/>
        <v>1.5795898267358215</v>
      </c>
      <c r="Q187" s="22">
        <f t="shared" si="99"/>
        <v>1.2024229285320594E-2</v>
      </c>
      <c r="R187" s="10">
        <v>1.57</v>
      </c>
      <c r="S187" s="10">
        <v>1.57</v>
      </c>
      <c r="T187" s="10">
        <v>30</v>
      </c>
      <c r="U187" s="10">
        <v>69858000</v>
      </c>
      <c r="V187" s="10">
        <v>70759000</v>
      </c>
    </row>
    <row r="188" spans="1:22">
      <c r="A188" s="123">
        <v>166</v>
      </c>
      <c r="B188" s="10" t="s">
        <v>154</v>
      </c>
      <c r="C188" s="10" t="s">
        <v>34</v>
      </c>
      <c r="D188" s="29">
        <v>14324631919</v>
      </c>
      <c r="E188" s="29">
        <v>112832302.8</v>
      </c>
      <c r="F188" s="29">
        <v>119004801.3</v>
      </c>
      <c r="G188" s="10">
        <v>30974868</v>
      </c>
      <c r="H188" s="12">
        <f t="shared" si="100"/>
        <v>200862236.09999999</v>
      </c>
      <c r="I188" s="171">
        <v>13946255715.389999</v>
      </c>
      <c r="J188" s="13">
        <f t="shared" si="87"/>
        <v>9.3742934002387368E-2</v>
      </c>
      <c r="K188" s="10">
        <v>14339903309</v>
      </c>
      <c r="L188" s="13">
        <f t="shared" si="94"/>
        <v>9.2026624556439882E-2</v>
      </c>
      <c r="M188" s="13">
        <f t="shared" si="95"/>
        <v>2.8226041572979466E-2</v>
      </c>
      <c r="N188" s="20">
        <f t="shared" si="96"/>
        <v>2.1600472006362537E-3</v>
      </c>
      <c r="O188" s="21">
        <f t="shared" si="97"/>
        <v>1.4007223882321089E-2</v>
      </c>
      <c r="P188" s="22">
        <f t="shared" si="98"/>
        <v>7.9081001213116568</v>
      </c>
      <c r="Q188" s="22">
        <f t="shared" si="99"/>
        <v>0.11077052888302293</v>
      </c>
      <c r="R188" s="10">
        <v>7.92</v>
      </c>
      <c r="S188" s="10">
        <v>8.06</v>
      </c>
      <c r="T188" s="10">
        <v>15428</v>
      </c>
      <c r="U188" s="10">
        <v>1785614774.9000001</v>
      </c>
      <c r="V188" s="10">
        <v>1813318381.03</v>
      </c>
    </row>
    <row r="189" spans="1:22">
      <c r="A189" s="114">
        <v>167</v>
      </c>
      <c r="B189" s="25" t="s">
        <v>231</v>
      </c>
      <c r="C189" s="25" t="s">
        <v>232</v>
      </c>
      <c r="D189" s="17">
        <v>167967365.66</v>
      </c>
      <c r="E189" s="17">
        <v>2097772.96</v>
      </c>
      <c r="F189" s="17">
        <v>3541045.8</v>
      </c>
      <c r="G189" s="17">
        <v>473498.62</v>
      </c>
      <c r="H189" s="12">
        <f t="shared" si="100"/>
        <v>5165320.1399999997</v>
      </c>
      <c r="I189" s="169">
        <v>161327448.46000001</v>
      </c>
      <c r="J189" s="13">
        <f t="shared" si="87"/>
        <v>1.0843991865910237E-3</v>
      </c>
      <c r="K189" s="17">
        <v>166055357.97999999</v>
      </c>
      <c r="L189" s="13">
        <f t="shared" si="94"/>
        <v>1.0656636767431835E-3</v>
      </c>
      <c r="M189" s="13">
        <f t="shared" si="95"/>
        <v>2.9306293288164365E-2</v>
      </c>
      <c r="N189" s="20">
        <f t="shared" si="96"/>
        <v>2.8514504184624324E-3</v>
      </c>
      <c r="O189" s="21">
        <f t="shared" si="97"/>
        <v>3.1106013096079202E-2</v>
      </c>
      <c r="P189" s="22">
        <f t="shared" si="98"/>
        <v>3.2522130586957236</v>
      </c>
      <c r="Q189" s="22">
        <f t="shared" si="99"/>
        <v>0.10116338199502897</v>
      </c>
      <c r="R189" s="17">
        <v>3.121</v>
      </c>
      <c r="S189" s="17">
        <v>3.1368</v>
      </c>
      <c r="T189" s="17">
        <v>153</v>
      </c>
      <c r="U189" s="17">
        <v>53248196</v>
      </c>
      <c r="V189" s="17">
        <v>51059188</v>
      </c>
    </row>
    <row r="190" spans="1:22">
      <c r="A190" s="123">
        <v>168</v>
      </c>
      <c r="B190" s="10" t="s">
        <v>155</v>
      </c>
      <c r="C190" s="10" t="s">
        <v>106</v>
      </c>
      <c r="D190" s="29">
        <v>2353253322.1799998</v>
      </c>
      <c r="E190" s="29">
        <v>61051597.07</v>
      </c>
      <c r="F190" s="29">
        <v>7005800.7400000002</v>
      </c>
      <c r="G190" s="10">
        <v>3636925.48</v>
      </c>
      <c r="H190" s="12">
        <f t="shared" si="100"/>
        <v>64420472.330000006</v>
      </c>
      <c r="I190" s="171">
        <v>2142235671.29</v>
      </c>
      <c r="J190" s="13">
        <f t="shared" si="87"/>
        <v>1.4399524951323657E-2</v>
      </c>
      <c r="K190" s="10">
        <v>2324228601.5900002</v>
      </c>
      <c r="L190" s="13">
        <f t="shared" si="94"/>
        <v>1.4915784876151863E-2</v>
      </c>
      <c r="M190" s="13">
        <f t="shared" si="95"/>
        <v>8.4954672699670178E-2</v>
      </c>
      <c r="N190" s="20">
        <f t="shared" si="96"/>
        <v>1.5647881957532002E-3</v>
      </c>
      <c r="O190" s="21">
        <f t="shared" si="97"/>
        <v>2.7716926074281199E-2</v>
      </c>
      <c r="P190" s="22">
        <f t="shared" si="98"/>
        <v>496.05185647822583</v>
      </c>
      <c r="Q190" s="22">
        <f t="shared" si="99"/>
        <v>13.749032635016933</v>
      </c>
      <c r="R190" s="10">
        <v>487.82</v>
      </c>
      <c r="S190" s="10">
        <v>492.36</v>
      </c>
      <c r="T190" s="10">
        <v>284</v>
      </c>
      <c r="U190" s="10">
        <v>4450665.5199999996</v>
      </c>
      <c r="V190" s="10">
        <v>4685454.9000000004</v>
      </c>
    </row>
    <row r="191" spans="1:22">
      <c r="A191" s="114">
        <v>169</v>
      </c>
      <c r="B191" s="72" t="s">
        <v>319</v>
      </c>
      <c r="C191" s="73" t="s">
        <v>318</v>
      </c>
      <c r="D191" s="29">
        <v>45501730.18</v>
      </c>
      <c r="E191" s="29">
        <v>1359224.11</v>
      </c>
      <c r="F191" s="29">
        <v>0</v>
      </c>
      <c r="G191" s="10">
        <v>982294.02</v>
      </c>
      <c r="H191" s="12">
        <f t="shared" si="100"/>
        <v>376930.09000000008</v>
      </c>
      <c r="I191" s="171">
        <v>48637181.700000003</v>
      </c>
      <c r="J191" s="13">
        <f t="shared" si="87"/>
        <v>3.269258937460779E-4</v>
      </c>
      <c r="K191" s="10">
        <v>57511347.07</v>
      </c>
      <c r="L191" s="13">
        <f t="shared" si="94"/>
        <v>3.6908025322766831E-4</v>
      </c>
      <c r="M191" s="13">
        <f t="shared" si="95"/>
        <v>0.1824564059804476</v>
      </c>
      <c r="N191" s="20">
        <f t="shared" si="96"/>
        <v>1.7080003687001102E-2</v>
      </c>
      <c r="O191" s="21">
        <f t="shared" si="97"/>
        <v>6.5540125419287993E-3</v>
      </c>
      <c r="P191" s="22">
        <f t="shared" si="98"/>
        <v>0.97493347383393081</v>
      </c>
      <c r="Q191" s="22">
        <f t="shared" si="99"/>
        <v>6.3897262150537952E-3</v>
      </c>
      <c r="R191" s="10">
        <v>1</v>
      </c>
      <c r="S191" s="10">
        <v>1</v>
      </c>
      <c r="T191" s="10">
        <v>8</v>
      </c>
      <c r="U191" s="10">
        <v>371306.26</v>
      </c>
      <c r="V191" s="10">
        <v>58990022</v>
      </c>
    </row>
    <row r="192" spans="1:22">
      <c r="A192" s="123">
        <v>170</v>
      </c>
      <c r="B192" s="25" t="s">
        <v>156</v>
      </c>
      <c r="C192" s="10" t="s">
        <v>30</v>
      </c>
      <c r="D192" s="29">
        <v>3097059674.0100002</v>
      </c>
      <c r="E192" s="29">
        <v>19863709.219999999</v>
      </c>
      <c r="F192" s="29">
        <v>147008118.27000001</v>
      </c>
      <c r="G192" s="10">
        <v>8505322.7599999998</v>
      </c>
      <c r="H192" s="12">
        <f t="shared" si="100"/>
        <v>158366504.73000002</v>
      </c>
      <c r="I192" s="171">
        <v>2939384941.9899998</v>
      </c>
      <c r="J192" s="13">
        <f t="shared" si="87"/>
        <v>1.9757745322316733E-2</v>
      </c>
      <c r="K192" s="10">
        <v>2988983637.96</v>
      </c>
      <c r="L192" s="13">
        <f t="shared" si="94"/>
        <v>1.9181864000662404E-2</v>
      </c>
      <c r="M192" s="13">
        <f t="shared" si="95"/>
        <v>1.6873834815395544E-2</v>
      </c>
      <c r="N192" s="20">
        <f t="shared" si="96"/>
        <v>2.8455568146920122E-3</v>
      </c>
      <c r="O192" s="21">
        <f t="shared" si="97"/>
        <v>5.2983396335379788E-2</v>
      </c>
      <c r="P192" s="22">
        <f t="shared" si="98"/>
        <v>4006.9490421073797</v>
      </c>
      <c r="Q192" s="22">
        <f t="shared" si="99"/>
        <v>212.30176919364573</v>
      </c>
      <c r="R192" s="10">
        <v>552.20000000000005</v>
      </c>
      <c r="S192" s="10">
        <v>552.20000000000005</v>
      </c>
      <c r="T192" s="10">
        <v>745</v>
      </c>
      <c r="U192" s="10">
        <v>745950</v>
      </c>
      <c r="V192" s="10">
        <v>745950</v>
      </c>
    </row>
    <row r="193" spans="1:22">
      <c r="A193" s="114">
        <v>171</v>
      </c>
      <c r="B193" s="25" t="s">
        <v>157</v>
      </c>
      <c r="C193" s="10" t="s">
        <v>76</v>
      </c>
      <c r="D193" s="29">
        <v>91316274.650000006</v>
      </c>
      <c r="E193" s="29">
        <v>1743610.89</v>
      </c>
      <c r="F193" s="29">
        <v>33663868.210000001</v>
      </c>
      <c r="G193" s="10">
        <v>36064.11</v>
      </c>
      <c r="H193" s="12">
        <f t="shared" si="100"/>
        <v>35371414.990000002</v>
      </c>
      <c r="I193" s="171">
        <v>88704407.950000003</v>
      </c>
      <c r="J193" s="13">
        <f t="shared" si="87"/>
        <v>5.962468801573354E-4</v>
      </c>
      <c r="K193" s="10">
        <v>91724432.594999999</v>
      </c>
      <c r="L193" s="13">
        <f t="shared" si="94"/>
        <v>5.8864343358401528E-4</v>
      </c>
      <c r="M193" s="13">
        <f t="shared" si="95"/>
        <v>3.4045936552581382E-2</v>
      </c>
      <c r="N193" s="20">
        <f t="shared" si="96"/>
        <v>3.9317888352863897E-4</v>
      </c>
      <c r="O193" s="21">
        <f t="shared" si="97"/>
        <v>0.38562696971022897</v>
      </c>
      <c r="P193" s="22">
        <f t="shared" si="98"/>
        <v>3.7200000009490162</v>
      </c>
      <c r="Q193" s="22">
        <f t="shared" si="99"/>
        <v>1.434532327688018</v>
      </c>
      <c r="R193" s="10">
        <v>3.72</v>
      </c>
      <c r="S193" s="10">
        <v>3.72</v>
      </c>
      <c r="T193" s="10">
        <v>10</v>
      </c>
      <c r="U193" s="10">
        <v>25637112.120000001</v>
      </c>
      <c r="V193" s="10">
        <v>24657105.530000001</v>
      </c>
    </row>
    <row r="194" spans="1:22">
      <c r="A194" s="123">
        <v>172</v>
      </c>
      <c r="B194" s="10" t="s">
        <v>158</v>
      </c>
      <c r="C194" s="10" t="s">
        <v>39</v>
      </c>
      <c r="D194" s="29">
        <v>639269975.40999997</v>
      </c>
      <c r="E194" s="29">
        <v>13992778.970000001</v>
      </c>
      <c r="F194" s="29">
        <v>306455920.93000001</v>
      </c>
      <c r="G194" s="10">
        <v>962684.59</v>
      </c>
      <c r="H194" s="12">
        <f t="shared" si="100"/>
        <v>319486015.31000006</v>
      </c>
      <c r="I194" s="171">
        <v>681807689.33000004</v>
      </c>
      <c r="J194" s="13">
        <f t="shared" si="87"/>
        <v>4.5829256631693049E-3</v>
      </c>
      <c r="K194" s="10">
        <v>676997676.63999999</v>
      </c>
      <c r="L194" s="13">
        <f t="shared" si="94"/>
        <v>4.3446465203590004E-3</v>
      </c>
      <c r="M194" s="13">
        <f t="shared" si="95"/>
        <v>-7.0547938447669441E-3</v>
      </c>
      <c r="N194" s="20">
        <f t="shared" si="96"/>
        <v>1.4219909804977318E-3</v>
      </c>
      <c r="O194" s="21">
        <f t="shared" si="97"/>
        <v>0.47191597007487196</v>
      </c>
      <c r="P194" s="22">
        <f t="shared" si="98"/>
        <v>4.6749657332640178</v>
      </c>
      <c r="Q194" s="22">
        <f t="shared" si="99"/>
        <v>2.2061909890800737</v>
      </c>
      <c r="R194" s="10">
        <v>4.87</v>
      </c>
      <c r="S194" s="10">
        <v>4.92</v>
      </c>
      <c r="T194" s="10">
        <v>149</v>
      </c>
      <c r="U194" s="10">
        <v>151995807.69999999</v>
      </c>
      <c r="V194" s="10">
        <v>144813398.69999999</v>
      </c>
    </row>
    <row r="195" spans="1:22">
      <c r="A195" s="114">
        <v>173</v>
      </c>
      <c r="B195" s="10" t="s">
        <v>292</v>
      </c>
      <c r="C195" s="10" t="s">
        <v>281</v>
      </c>
      <c r="D195" s="29">
        <v>233562191.91999999</v>
      </c>
      <c r="E195" s="29">
        <v>1742182.29</v>
      </c>
      <c r="F195" s="29">
        <v>24899861.399999999</v>
      </c>
      <c r="G195" s="10">
        <v>331790</v>
      </c>
      <c r="H195" s="12">
        <f t="shared" ref="H195" si="102">(E195+F195)-G195</f>
        <v>26310253.689999998</v>
      </c>
      <c r="I195" s="10">
        <v>282656458.86000001</v>
      </c>
      <c r="J195" s="13">
        <f t="shared" si="87"/>
        <v>1.8999397622561465E-3</v>
      </c>
      <c r="K195" s="10">
        <v>233811647.09</v>
      </c>
      <c r="L195" s="13">
        <f t="shared" si="94"/>
        <v>1.5004910563218255E-3</v>
      </c>
      <c r="M195" s="13">
        <f t="shared" si="95"/>
        <v>-0.1728062821100893</v>
      </c>
      <c r="N195" s="20">
        <f t="shared" si="96"/>
        <v>1.419048213078477E-3</v>
      </c>
      <c r="O195" s="21">
        <f t="shared" si="97"/>
        <v>0.11252755804706563</v>
      </c>
      <c r="P195" s="22">
        <f t="shared" si="98"/>
        <v>138.4634230341523</v>
      </c>
      <c r="Q195" s="22">
        <f t="shared" si="99"/>
        <v>15.580950872870977</v>
      </c>
      <c r="R195" s="10">
        <v>137.9</v>
      </c>
      <c r="S195" s="10">
        <v>138.85</v>
      </c>
      <c r="T195" s="10">
        <v>114</v>
      </c>
      <c r="U195" s="10">
        <v>1666254.12</v>
      </c>
      <c r="V195" s="10">
        <v>1688616.69</v>
      </c>
    </row>
    <row r="196" spans="1:22">
      <c r="A196" s="123">
        <v>174</v>
      </c>
      <c r="B196" s="25" t="s">
        <v>159</v>
      </c>
      <c r="C196" s="25" t="s">
        <v>43</v>
      </c>
      <c r="D196" s="29">
        <v>14356208121.43</v>
      </c>
      <c r="E196" s="29">
        <v>239276894.69</v>
      </c>
      <c r="F196" s="29">
        <v>322628121.37</v>
      </c>
      <c r="G196" s="10">
        <v>28760224.940000001</v>
      </c>
      <c r="H196" s="12">
        <f t="shared" si="100"/>
        <v>533144791.11999995</v>
      </c>
      <c r="I196" s="171">
        <v>13823288163.860001</v>
      </c>
      <c r="J196" s="13">
        <f t="shared" si="87"/>
        <v>9.2916379599344887E-2</v>
      </c>
      <c r="K196" s="10">
        <v>14616465902.700001</v>
      </c>
      <c r="L196" s="13">
        <f t="shared" si="94"/>
        <v>9.3801470692313871E-2</v>
      </c>
      <c r="M196" s="13">
        <f t="shared" si="95"/>
        <v>5.7379816541313716E-2</v>
      </c>
      <c r="N196" s="20">
        <f t="shared" si="96"/>
        <v>1.9676592913398664E-3</v>
      </c>
      <c r="O196" s="21">
        <f t="shared" si="97"/>
        <v>3.6475629243695337E-2</v>
      </c>
      <c r="P196" s="22">
        <f t="shared" si="98"/>
        <v>13515.78872571702</v>
      </c>
      <c r="Q196" s="22">
        <f t="shared" si="99"/>
        <v>492.99689849537151</v>
      </c>
      <c r="R196" s="10">
        <v>13433.49</v>
      </c>
      <c r="S196" s="10">
        <v>13572.19</v>
      </c>
      <c r="T196" s="10">
        <v>9172</v>
      </c>
      <c r="U196" s="10">
        <v>1074519.58</v>
      </c>
      <c r="V196" s="10">
        <v>1081436.3999999999</v>
      </c>
    </row>
    <row r="197" spans="1:22">
      <c r="A197" s="114">
        <v>175</v>
      </c>
      <c r="B197" s="25" t="s">
        <v>276</v>
      </c>
      <c r="C197" s="25" t="s">
        <v>274</v>
      </c>
      <c r="D197" s="29">
        <v>271818615.39999998</v>
      </c>
      <c r="E197" s="29">
        <v>13610348.949999999</v>
      </c>
      <c r="F197" s="29">
        <v>44785606.159999996</v>
      </c>
      <c r="G197" s="10">
        <v>2632254.5099999998</v>
      </c>
      <c r="H197" s="12">
        <f t="shared" si="100"/>
        <v>55763700.600000001</v>
      </c>
      <c r="I197" s="10">
        <v>283453867.33999997</v>
      </c>
      <c r="J197" s="13">
        <f t="shared" si="87"/>
        <v>1.9052997249614833E-3</v>
      </c>
      <c r="K197" s="10">
        <v>320594212.72000003</v>
      </c>
      <c r="L197" s="13">
        <f t="shared" si="94"/>
        <v>2.0574199569695904E-3</v>
      </c>
      <c r="M197" s="13">
        <f t="shared" si="95"/>
        <v>0.13102783083728611</v>
      </c>
      <c r="N197" s="20">
        <f t="shared" si="96"/>
        <v>8.2105490541058302E-3</v>
      </c>
      <c r="O197" s="21">
        <f t="shared" si="97"/>
        <v>0.17393857526898901</v>
      </c>
      <c r="P197" s="22">
        <f t="shared" si="98"/>
        <v>1926.067777662161</v>
      </c>
      <c r="Q197" s="22">
        <f t="shared" si="99"/>
        <v>335.0174851180642</v>
      </c>
      <c r="R197" s="10">
        <v>1910.03</v>
      </c>
      <c r="S197" s="10">
        <v>1936.38</v>
      </c>
      <c r="T197" s="10">
        <v>172</v>
      </c>
      <c r="U197" s="10">
        <v>153580.91</v>
      </c>
      <c r="V197" s="10">
        <v>166450.12</v>
      </c>
    </row>
    <row r="198" spans="1:22">
      <c r="A198" s="123">
        <v>176</v>
      </c>
      <c r="B198" s="119" t="s">
        <v>203</v>
      </c>
      <c r="C198" s="25" t="s">
        <v>204</v>
      </c>
      <c r="D198" s="29">
        <v>813585790.63</v>
      </c>
      <c r="E198" s="29">
        <v>13257148.140000001</v>
      </c>
      <c r="F198" s="29">
        <v>0</v>
      </c>
      <c r="G198" s="10">
        <v>1341654.3500000001</v>
      </c>
      <c r="H198" s="12">
        <f t="shared" si="100"/>
        <v>11915493.790000001</v>
      </c>
      <c r="I198" s="10">
        <v>812420560.55999994</v>
      </c>
      <c r="J198" s="13">
        <f t="shared" si="87"/>
        <v>5.4608698237703932E-3</v>
      </c>
      <c r="K198" s="10">
        <v>866852803.42999995</v>
      </c>
      <c r="L198" s="13">
        <f t="shared" si="94"/>
        <v>5.5630457031661138E-3</v>
      </c>
      <c r="M198" s="13">
        <f t="shared" si="95"/>
        <v>6.7000080392450881E-2</v>
      </c>
      <c r="N198" s="20">
        <f t="shared" si="96"/>
        <v>1.5477303005669305E-3</v>
      </c>
      <c r="O198" s="21">
        <f t="shared" si="97"/>
        <v>1.3745694474139404E-2</v>
      </c>
      <c r="P198" s="22">
        <f t="shared" si="98"/>
        <v>1.6508337524852408</v>
      </c>
      <c r="Q198" s="22">
        <f t="shared" si="99"/>
        <v>2.2691856389259191E-2</v>
      </c>
      <c r="R198" s="10">
        <v>1.67</v>
      </c>
      <c r="S198" s="10">
        <v>1.67</v>
      </c>
      <c r="T198" s="10">
        <v>44</v>
      </c>
      <c r="U198" s="10">
        <v>526300000</v>
      </c>
      <c r="V198" s="10">
        <v>525100000</v>
      </c>
    </row>
    <row r="199" spans="1:22">
      <c r="A199" s="114">
        <v>177</v>
      </c>
      <c r="B199" s="25" t="s">
        <v>160</v>
      </c>
      <c r="C199" s="25" t="s">
        <v>47</v>
      </c>
      <c r="D199" s="29">
        <v>8107061739.7636995</v>
      </c>
      <c r="E199" s="29">
        <v>75704608.790000007</v>
      </c>
      <c r="F199" s="29">
        <v>278148700.69</v>
      </c>
      <c r="G199" s="10">
        <v>15795672.630000001</v>
      </c>
      <c r="H199" s="12">
        <f t="shared" si="100"/>
        <v>338057636.85000002</v>
      </c>
      <c r="I199" s="10">
        <v>9294339939.1200008</v>
      </c>
      <c r="J199" s="13">
        <f t="shared" si="87"/>
        <v>6.2474022654496725E-2</v>
      </c>
      <c r="K199" s="10">
        <v>9821068902.6037006</v>
      </c>
      <c r="L199" s="13">
        <f t="shared" si="94"/>
        <v>6.3026911769732477E-2</v>
      </c>
      <c r="M199" s="13">
        <f t="shared" si="95"/>
        <v>5.6672014035842454E-2</v>
      </c>
      <c r="N199" s="20">
        <f t="shared" si="96"/>
        <v>1.6083455667246515E-3</v>
      </c>
      <c r="O199" s="21">
        <f t="shared" si="97"/>
        <v>3.4421674483963376E-2</v>
      </c>
      <c r="P199" s="22">
        <f t="shared" si="98"/>
        <v>2.8020560252902209</v>
      </c>
      <c r="Q199" s="22">
        <f t="shared" si="99"/>
        <v>9.6451460388368243E-2</v>
      </c>
      <c r="R199" s="10">
        <v>2.8</v>
      </c>
      <c r="S199" s="10">
        <v>2.8</v>
      </c>
      <c r="T199" s="10">
        <v>1840</v>
      </c>
      <c r="U199" s="10">
        <v>3178464117.6900001</v>
      </c>
      <c r="V199" s="10">
        <v>3504950941.0100002</v>
      </c>
    </row>
    <row r="200" spans="1:22">
      <c r="A200" s="123">
        <v>178</v>
      </c>
      <c r="B200" s="25" t="s">
        <v>304</v>
      </c>
      <c r="C200" s="25" t="s">
        <v>47</v>
      </c>
      <c r="D200" s="29">
        <v>3551382669.6900001</v>
      </c>
      <c r="E200" s="29">
        <v>29194523.140000001</v>
      </c>
      <c r="F200" s="29">
        <v>177869544.63999999</v>
      </c>
      <c r="G200" s="10">
        <v>7918936.3300000001</v>
      </c>
      <c r="H200" s="12">
        <f>(E200+F200)-G200</f>
        <v>199145131.44999996</v>
      </c>
      <c r="I200" s="10">
        <v>4671342795</v>
      </c>
      <c r="J200" s="13">
        <f t="shared" si="87"/>
        <v>3.1399494478720515E-2</v>
      </c>
      <c r="K200" s="10">
        <v>5097138282.0699997</v>
      </c>
      <c r="L200" s="13">
        <f t="shared" si="94"/>
        <v>3.2710989808551492E-2</v>
      </c>
      <c r="M200" s="13">
        <f t="shared" si="95"/>
        <v>9.1150554723954849E-2</v>
      </c>
      <c r="N200" s="20">
        <f t="shared" si="96"/>
        <v>1.5536043740182854E-3</v>
      </c>
      <c r="O200" s="21">
        <f t="shared" si="97"/>
        <v>3.9069987987283936E-2</v>
      </c>
      <c r="P200" s="22">
        <f t="shared" si="98"/>
        <v>2.2104725600783435</v>
      </c>
      <c r="Q200" s="22">
        <f t="shared" si="99"/>
        <v>8.6363136368481641E-2</v>
      </c>
      <c r="R200" s="10">
        <v>2.21</v>
      </c>
      <c r="S200" s="10">
        <v>2.21</v>
      </c>
      <c r="T200" s="10">
        <v>902</v>
      </c>
      <c r="U200" s="10">
        <v>1996872225.3699999</v>
      </c>
      <c r="V200" s="10">
        <v>2305904345.5799999</v>
      </c>
    </row>
    <row r="201" spans="1:22">
      <c r="A201" s="114">
        <v>179</v>
      </c>
      <c r="B201" s="129" t="s">
        <v>161</v>
      </c>
      <c r="C201" s="25" t="s">
        <v>83</v>
      </c>
      <c r="D201" s="29">
        <v>10873138862.219999</v>
      </c>
      <c r="E201" s="29">
        <v>228031732.80000001</v>
      </c>
      <c r="F201" s="29">
        <v>242097277.86000001</v>
      </c>
      <c r="G201" s="10">
        <v>25513948.18</v>
      </c>
      <c r="H201" s="12">
        <f t="shared" si="100"/>
        <v>444615062.48000002</v>
      </c>
      <c r="I201" s="171">
        <v>13226684999.530001</v>
      </c>
      <c r="J201" s="13">
        <f t="shared" si="87"/>
        <v>8.8906175555998293E-2</v>
      </c>
      <c r="K201" s="10">
        <v>12362217839.41</v>
      </c>
      <c r="L201" s="13">
        <f t="shared" si="94"/>
        <v>7.9334787360685652E-2</v>
      </c>
      <c r="M201" s="13">
        <f t="shared" si="95"/>
        <v>-6.5357809621285984E-2</v>
      </c>
      <c r="N201" s="20">
        <f t="shared" si="96"/>
        <v>2.0638649562267929E-3</v>
      </c>
      <c r="O201" s="21">
        <f t="shared" si="97"/>
        <v>3.5965638872872324E-2</v>
      </c>
      <c r="P201" s="22">
        <f t="shared" si="98"/>
        <v>843.71629511314768</v>
      </c>
      <c r="Q201" s="22">
        <f t="shared" si="99"/>
        <v>30.344795581197243</v>
      </c>
      <c r="R201" s="10">
        <v>837.28</v>
      </c>
      <c r="S201" s="10">
        <v>847.01</v>
      </c>
      <c r="T201" s="10">
        <v>43</v>
      </c>
      <c r="U201" s="10">
        <v>15722589.18</v>
      </c>
      <c r="V201" s="10">
        <v>14652102.74</v>
      </c>
    </row>
    <row r="202" spans="1:22">
      <c r="A202" s="123">
        <v>180</v>
      </c>
      <c r="B202" s="25" t="s">
        <v>162</v>
      </c>
      <c r="C202" s="25" t="s">
        <v>86</v>
      </c>
      <c r="D202" s="29">
        <v>7447088564.71</v>
      </c>
      <c r="E202" s="29">
        <v>44238138.039999999</v>
      </c>
      <c r="F202" s="29">
        <v>218877403.55000001</v>
      </c>
      <c r="G202" s="10">
        <v>64363386.32</v>
      </c>
      <c r="H202" s="12">
        <f t="shared" si="100"/>
        <v>198752155.27000001</v>
      </c>
      <c r="I202" s="171">
        <v>7460027201.46</v>
      </c>
      <c r="J202" s="13">
        <f t="shared" si="87"/>
        <v>5.0144271829947802E-2</v>
      </c>
      <c r="K202" s="10">
        <v>7865333037.1899996</v>
      </c>
      <c r="L202" s="13">
        <f t="shared" si="94"/>
        <v>5.0475936610434723E-2</v>
      </c>
      <c r="M202" s="13">
        <f t="shared" si="95"/>
        <v>5.4330342877392891E-2</v>
      </c>
      <c r="N202" s="20">
        <f t="shared" si="96"/>
        <v>8.1831736832588993E-3</v>
      </c>
      <c r="O202" s="21">
        <f t="shared" si="97"/>
        <v>2.5269388381932649E-2</v>
      </c>
      <c r="P202" s="22">
        <f t="shared" si="98"/>
        <v>45.659283742275797</v>
      </c>
      <c r="Q202" s="22">
        <f t="shared" si="99"/>
        <v>1.1537821741244303</v>
      </c>
      <c r="R202" s="10">
        <v>45.659399999999998</v>
      </c>
      <c r="S202" s="10">
        <v>46.171700000000001</v>
      </c>
      <c r="T202" s="10">
        <v>6329</v>
      </c>
      <c r="U202" s="10">
        <v>172030284.58000001</v>
      </c>
      <c r="V202" s="10">
        <v>172261419.63999999</v>
      </c>
    </row>
    <row r="203" spans="1:22" ht="15" customHeight="1">
      <c r="A203" s="147" t="s">
        <v>48</v>
      </c>
      <c r="B203" s="147"/>
      <c r="C203" s="147"/>
      <c r="D203" s="147"/>
      <c r="E203" s="147"/>
      <c r="F203" s="147"/>
      <c r="G203" s="147"/>
      <c r="H203" s="147"/>
      <c r="I203" s="36">
        <f>SUM(I173:I202)</f>
        <v>148771273950.47</v>
      </c>
      <c r="J203" s="34">
        <f>(I203/$I$248)</f>
        <v>1.6183378424095365E-2</v>
      </c>
      <c r="K203" s="36">
        <f>SUM(K173:K202)</f>
        <v>155823419343.2287</v>
      </c>
      <c r="L203" s="34">
        <f>(K203/$K$248)</f>
        <v>1.6490303498838628E-2</v>
      </c>
      <c r="M203" s="34">
        <f t="shared" si="89"/>
        <v>4.7402601359094014E-2</v>
      </c>
      <c r="N203" s="20"/>
      <c r="O203" s="20"/>
      <c r="P203" s="35"/>
      <c r="Q203" s="35"/>
      <c r="R203" s="36"/>
      <c r="S203" s="36"/>
      <c r="T203" s="36">
        <f>SUM(T173:T202)</f>
        <v>102060</v>
      </c>
      <c r="U203" s="36"/>
      <c r="V203" s="39"/>
    </row>
    <row r="204" spans="1:22" ht="6" customHeight="1">
      <c r="A204" s="153"/>
      <c r="B204" s="153"/>
      <c r="C204" s="153"/>
      <c r="D204" s="153"/>
      <c r="E204" s="153"/>
      <c r="F204" s="153"/>
      <c r="G204" s="153"/>
      <c r="H204" s="153"/>
      <c r="I204" s="153"/>
      <c r="J204" s="153"/>
      <c r="K204" s="153"/>
      <c r="L204" s="153"/>
      <c r="M204" s="153"/>
      <c r="N204" s="153"/>
      <c r="O204" s="153"/>
      <c r="P204" s="153"/>
      <c r="Q204" s="153"/>
      <c r="R204" s="153"/>
      <c r="S204" s="153"/>
      <c r="T204" s="153"/>
      <c r="U204" s="153"/>
      <c r="V204" s="153"/>
    </row>
    <row r="205" spans="1:22">
      <c r="A205" s="146" t="s">
        <v>163</v>
      </c>
      <c r="B205" s="146"/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  <c r="P205" s="146"/>
      <c r="Q205" s="146"/>
      <c r="R205" s="146"/>
      <c r="S205" s="146"/>
      <c r="T205" s="146"/>
      <c r="U205" s="146"/>
      <c r="V205" s="146"/>
    </row>
    <row r="206" spans="1:22">
      <c r="A206" s="114">
        <v>181</v>
      </c>
      <c r="B206" s="10" t="s">
        <v>305</v>
      </c>
      <c r="C206" s="25" t="s">
        <v>306</v>
      </c>
      <c r="D206" s="10">
        <v>475395612.42000002</v>
      </c>
      <c r="E206" s="10">
        <v>10048759.02</v>
      </c>
      <c r="F206" s="25">
        <v>0</v>
      </c>
      <c r="G206" s="10">
        <v>1718813.41</v>
      </c>
      <c r="H206" s="12">
        <f>(E206+F206)-G206</f>
        <v>8329945.6099999994</v>
      </c>
      <c r="I206" s="171">
        <v>621422852.86000001</v>
      </c>
      <c r="J206" s="13">
        <f t="shared" ref="J206:J208" si="103">(I206/$I$209)</f>
        <v>3.3748074701733313E-2</v>
      </c>
      <c r="K206" s="10">
        <v>626959463.32000005</v>
      </c>
      <c r="L206" s="13">
        <f t="shared" ref="L206" si="104">(K206/$K$209)</f>
        <v>3.1791499342832749E-2</v>
      </c>
      <c r="M206" s="13">
        <f t="shared" ref="M206" si="105">((K206-I206)/I206)</f>
        <v>8.909570085037375E-3</v>
      </c>
      <c r="N206" s="20">
        <f t="shared" ref="N206" si="106">(G206/K206)</f>
        <v>2.7415064458843931E-3</v>
      </c>
      <c r="O206" s="21">
        <f t="shared" ref="O206" si="107">H206/K206</f>
        <v>1.328625867753813E-2</v>
      </c>
      <c r="P206" s="22">
        <f t="shared" ref="P206" si="108">K206/V206</f>
        <v>1084.0485230742631</v>
      </c>
      <c r="Q206" s="22">
        <f t="shared" ref="Q206" si="109">H206/V206</f>
        <v>14.402949096567822</v>
      </c>
      <c r="R206" s="10">
        <v>1081.8499999999999</v>
      </c>
      <c r="S206" s="10">
        <v>1081.8499999999999</v>
      </c>
      <c r="T206" s="10">
        <v>30</v>
      </c>
      <c r="U206" s="10">
        <v>581266</v>
      </c>
      <c r="V206" s="10">
        <v>578350</v>
      </c>
    </row>
    <row r="207" spans="1:22">
      <c r="A207" s="114">
        <v>182</v>
      </c>
      <c r="B207" s="10" t="s">
        <v>164</v>
      </c>
      <c r="C207" s="25" t="s">
        <v>43</v>
      </c>
      <c r="D207" s="10">
        <v>16628946428.02</v>
      </c>
      <c r="E207" s="10">
        <v>92559904.390000001</v>
      </c>
      <c r="F207" s="25">
        <v>817565245.46000004</v>
      </c>
      <c r="G207" s="10">
        <v>51758467.509999998</v>
      </c>
      <c r="H207" s="12">
        <f>(E207+F207)-G207</f>
        <v>858366682.34000003</v>
      </c>
      <c r="I207" s="171">
        <v>15891403094.26</v>
      </c>
      <c r="J207" s="13">
        <f t="shared" si="103"/>
        <v>0.86302628922027447</v>
      </c>
      <c r="K207" s="10">
        <v>17142362940.6</v>
      </c>
      <c r="L207" s="13">
        <f t="shared" ref="L207:L208" si="110">(K207/$K$209)</f>
        <v>0.86924506613998886</v>
      </c>
      <c r="M207" s="13">
        <f t="shared" ref="M207:M208" si="111">((K207-I207)/I207)</f>
        <v>7.8719282301249333E-2</v>
      </c>
      <c r="N207" s="20">
        <f t="shared" ref="N207:N208" si="112">(G207/K207)</f>
        <v>3.0193309807608356E-3</v>
      </c>
      <c r="O207" s="21">
        <f t="shared" ref="O207:O208" si="113">H207/K207</f>
        <v>5.0072833326089659E-2</v>
      </c>
      <c r="P207" s="22">
        <f t="shared" ref="P207:P208" si="114">K207/V207</f>
        <v>6.830436563296467</v>
      </c>
      <c r="Q207" s="22">
        <f t="shared" ref="Q207:Q208" si="115">H207/V207</f>
        <v>0.34201931157837268</v>
      </c>
      <c r="R207" s="10">
        <v>6.77</v>
      </c>
      <c r="S207" s="10">
        <v>6.77</v>
      </c>
      <c r="T207" s="10">
        <v>17673</v>
      </c>
      <c r="U207" s="10">
        <v>2468287590.8600001</v>
      </c>
      <c r="V207" s="10">
        <v>2509702386.04</v>
      </c>
    </row>
    <row r="208" spans="1:22">
      <c r="A208" s="114">
        <v>183</v>
      </c>
      <c r="B208" s="10" t="s">
        <v>165</v>
      </c>
      <c r="C208" s="25" t="s">
        <v>86</v>
      </c>
      <c r="D208" s="10">
        <v>1851321398.6700001</v>
      </c>
      <c r="E208" s="10">
        <v>13872495.109999999</v>
      </c>
      <c r="F208" s="10">
        <v>16495423.199999999</v>
      </c>
      <c r="G208" s="10">
        <v>15312158.550000001</v>
      </c>
      <c r="H208" s="12">
        <f>(E208+F208)-G208</f>
        <v>15055759.759999998</v>
      </c>
      <c r="I208" s="171">
        <v>1900753445.25</v>
      </c>
      <c r="J208" s="13">
        <f t="shared" si="103"/>
        <v>0.10322563607799205</v>
      </c>
      <c r="K208" s="10">
        <v>1951655727.97</v>
      </c>
      <c r="L208" s="13">
        <f t="shared" si="110"/>
        <v>9.896343451717822E-2</v>
      </c>
      <c r="M208" s="13">
        <f t="shared" si="111"/>
        <v>2.6780055481264702E-2</v>
      </c>
      <c r="N208" s="20">
        <f t="shared" si="112"/>
        <v>7.8457272615016106E-3</v>
      </c>
      <c r="O208" s="21">
        <f t="shared" si="113"/>
        <v>7.714352251900561E-3</v>
      </c>
      <c r="P208" s="22">
        <f t="shared" si="114"/>
        <v>53.698216961145988</v>
      </c>
      <c r="Q208" s="22">
        <f t="shared" si="115"/>
        <v>0.41424696093726149</v>
      </c>
      <c r="R208" s="10">
        <v>53.148699999999998</v>
      </c>
      <c r="S208" s="10">
        <v>53.629199999999997</v>
      </c>
      <c r="T208" s="10">
        <v>1552</v>
      </c>
      <c r="U208" s="10">
        <v>36344888.869999997</v>
      </c>
      <c r="V208" s="10">
        <v>36344888.869999997</v>
      </c>
    </row>
    <row r="209" spans="1:22" ht="15" customHeight="1">
      <c r="A209" s="147" t="s">
        <v>48</v>
      </c>
      <c r="B209" s="147"/>
      <c r="C209" s="147"/>
      <c r="D209" s="147"/>
      <c r="E209" s="147"/>
      <c r="F209" s="147"/>
      <c r="G209" s="147"/>
      <c r="H209" s="147"/>
      <c r="I209" s="36">
        <f>SUM(I206:I208)</f>
        <v>18413579392.370003</v>
      </c>
      <c r="J209" s="34">
        <f>(I209/$I$248)</f>
        <v>2.0030340235444779E-3</v>
      </c>
      <c r="K209" s="36">
        <f>SUM(K206:K208)</f>
        <v>19720978131.890003</v>
      </c>
      <c r="L209" s="34">
        <f>(K209/$K$248)</f>
        <v>2.0870092317285399E-3</v>
      </c>
      <c r="M209" s="34">
        <f t="shared" ref="M209" si="116">((K209-I209)/I209)</f>
        <v>7.1001879192578096E-2</v>
      </c>
      <c r="N209" s="20"/>
      <c r="O209" s="40"/>
      <c r="P209" s="35"/>
      <c r="Q209" s="35"/>
      <c r="R209" s="36"/>
      <c r="S209" s="36"/>
      <c r="T209" s="36">
        <f>SUM(T206:T208)</f>
        <v>19255</v>
      </c>
      <c r="U209" s="36"/>
      <c r="V209" s="39"/>
    </row>
    <row r="210" spans="1:22" ht="4.95" customHeight="1">
      <c r="A210" s="149"/>
      <c r="B210" s="149"/>
      <c r="C210" s="149"/>
      <c r="D210" s="149"/>
      <c r="E210" s="149"/>
      <c r="F210" s="149"/>
      <c r="G210" s="149"/>
      <c r="H210" s="149"/>
      <c r="I210" s="149"/>
      <c r="J210" s="149"/>
      <c r="K210" s="149"/>
      <c r="L210" s="149"/>
      <c r="M210" s="149"/>
      <c r="N210" s="149"/>
      <c r="O210" s="149"/>
      <c r="P210" s="149"/>
      <c r="Q210" s="149"/>
      <c r="R210" s="149"/>
      <c r="S210" s="149"/>
      <c r="T210" s="149"/>
      <c r="U210" s="149"/>
      <c r="V210" s="149"/>
    </row>
    <row r="211" spans="1:22">
      <c r="A211" s="146" t="s">
        <v>166</v>
      </c>
      <c r="B211" s="146"/>
      <c r="C211" s="146"/>
      <c r="D211" s="146"/>
      <c r="E211" s="146"/>
      <c r="F211" s="146"/>
      <c r="G211" s="146"/>
      <c r="H211" s="146"/>
      <c r="I211" s="146"/>
      <c r="J211" s="146"/>
      <c r="K211" s="146"/>
      <c r="L211" s="146"/>
      <c r="M211" s="146"/>
      <c r="N211" s="146"/>
      <c r="O211" s="146"/>
      <c r="P211" s="146"/>
      <c r="Q211" s="146"/>
      <c r="R211" s="146"/>
      <c r="S211" s="146"/>
      <c r="T211" s="146"/>
      <c r="U211" s="146"/>
      <c r="V211" s="146"/>
    </row>
    <row r="212" spans="1:22" ht="13.2" customHeight="1">
      <c r="A212" s="150" t="s">
        <v>167</v>
      </c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</row>
    <row r="213" spans="1:22" ht="15" customHeight="1">
      <c r="A213" s="115">
        <v>184</v>
      </c>
      <c r="B213" s="77" t="s">
        <v>168</v>
      </c>
      <c r="C213" s="19" t="s">
        <v>108</v>
      </c>
      <c r="D213" s="69">
        <v>12387182345.610001</v>
      </c>
      <c r="E213" s="29">
        <v>812857269.77999997</v>
      </c>
      <c r="F213" s="29">
        <v>3321874662.2399998</v>
      </c>
      <c r="G213" s="17">
        <v>341771188.11000001</v>
      </c>
      <c r="H213" s="12">
        <f>(E213+F213)-G213</f>
        <v>3792960743.9099994</v>
      </c>
      <c r="I213" s="168">
        <v>16816035411.309999</v>
      </c>
      <c r="J213" s="13">
        <f>(I213/$I$237)</f>
        <v>0.12366301185985751</v>
      </c>
      <c r="K213" s="29">
        <v>17240876684.060001</v>
      </c>
      <c r="L213" s="13">
        <f>(K213/$K$237)</f>
        <v>0.11869674336792431</v>
      </c>
      <c r="M213" s="13">
        <f>((K213-I213)/I213)</f>
        <v>2.5264056738621365E-2</v>
      </c>
      <c r="N213" s="20">
        <f>(G213/K213)</f>
        <v>1.9823306805853064E-2</v>
      </c>
      <c r="O213" s="21">
        <f>H213/K213</f>
        <v>0.21999813660385201</v>
      </c>
      <c r="P213" s="22">
        <f>K213/V213</f>
        <v>3.8418565626378212</v>
      </c>
      <c r="Q213" s="22">
        <f>H213/V213</f>
        <v>0.84520128487960067</v>
      </c>
      <c r="R213" s="29">
        <v>3.8</v>
      </c>
      <c r="S213" s="29">
        <v>3.88</v>
      </c>
      <c r="T213" s="29">
        <v>17032</v>
      </c>
      <c r="U213" s="10">
        <v>4319490774.9099998</v>
      </c>
      <c r="V213" s="10">
        <v>4487641952</v>
      </c>
    </row>
    <row r="214" spans="1:22">
      <c r="A214" s="113">
        <v>185</v>
      </c>
      <c r="B214" s="19" t="s">
        <v>169</v>
      </c>
      <c r="C214" s="19" t="s">
        <v>43</v>
      </c>
      <c r="D214" s="17">
        <v>28153781310.68</v>
      </c>
      <c r="E214" s="17">
        <v>453557221.01999998</v>
      </c>
      <c r="F214" s="17">
        <v>420999391.20999998</v>
      </c>
      <c r="G214" s="17">
        <v>83591761.689999998</v>
      </c>
      <c r="H214" s="12">
        <f>(E214+F214)-G214</f>
        <v>790964850.53999996</v>
      </c>
      <c r="I214" s="169">
        <v>29673081858.439999</v>
      </c>
      <c r="J214" s="13">
        <f>(I214/$I$237)</f>
        <v>0.2182121162346512</v>
      </c>
      <c r="K214" s="17">
        <v>34885677409.699997</v>
      </c>
      <c r="L214" s="13">
        <f>(K214/$K$237)</f>
        <v>0.24017434696599468</v>
      </c>
      <c r="M214" s="13">
        <f>((K214-I214)/I214)</f>
        <v>0.17566748125885567</v>
      </c>
      <c r="N214" s="20">
        <f>(G214/K214)</f>
        <v>2.3961627778727674E-3</v>
      </c>
      <c r="O214" s="21">
        <f>H214/K214</f>
        <v>2.2673054080356525E-2</v>
      </c>
      <c r="P214" s="22">
        <f>K214/V214</f>
        <v>1483.2359793244991</v>
      </c>
      <c r="Q214" s="22">
        <f>H214/V214</f>
        <v>33.629489573154942</v>
      </c>
      <c r="R214" s="17">
        <v>1471.72</v>
      </c>
      <c r="S214" s="17">
        <v>1491.13</v>
      </c>
      <c r="T214" s="17">
        <v>11087</v>
      </c>
      <c r="U214" s="17">
        <v>20757415.5</v>
      </c>
      <c r="V214" s="17">
        <v>23519977.870000001</v>
      </c>
    </row>
    <row r="215" spans="1:22" ht="7.2" customHeight="1">
      <c r="A215" s="149"/>
      <c r="B215" s="149"/>
      <c r="C215" s="149"/>
      <c r="D215" s="149"/>
      <c r="E215" s="149"/>
      <c r="F215" s="149"/>
      <c r="G215" s="149"/>
      <c r="H215" s="149"/>
      <c r="I215" s="149"/>
      <c r="J215" s="149"/>
      <c r="K215" s="149"/>
      <c r="L215" s="149"/>
      <c r="M215" s="149"/>
      <c r="N215" s="149"/>
      <c r="O215" s="149"/>
      <c r="P215" s="149"/>
      <c r="Q215" s="149"/>
      <c r="R215" s="149"/>
      <c r="S215" s="149"/>
      <c r="T215" s="149"/>
      <c r="U215" s="149"/>
      <c r="V215" s="149"/>
    </row>
    <row r="216" spans="1:22">
      <c r="A216" s="151" t="s">
        <v>128</v>
      </c>
      <c r="B216" s="151"/>
      <c r="C216" s="151"/>
      <c r="D216" s="151"/>
      <c r="E216" s="151"/>
      <c r="F216" s="151"/>
      <c r="G216" s="151"/>
      <c r="H216" s="151"/>
      <c r="I216" s="151"/>
      <c r="J216" s="151"/>
      <c r="K216" s="151"/>
      <c r="L216" s="151"/>
      <c r="M216" s="151"/>
      <c r="N216" s="151"/>
      <c r="O216" s="151"/>
      <c r="P216" s="151"/>
      <c r="Q216" s="151"/>
      <c r="R216" s="151"/>
      <c r="S216" s="151"/>
      <c r="T216" s="151"/>
      <c r="U216" s="151"/>
      <c r="V216" s="151"/>
    </row>
    <row r="217" spans="1:22">
      <c r="A217" s="116">
        <v>186</v>
      </c>
      <c r="B217" s="75" t="s">
        <v>248</v>
      </c>
      <c r="C217" s="76" t="s">
        <v>55</v>
      </c>
      <c r="D217" s="50">
        <v>922758755</v>
      </c>
      <c r="E217" s="50">
        <v>22706646</v>
      </c>
      <c r="F217" s="10">
        <v>0</v>
      </c>
      <c r="G217" s="50">
        <v>24828519</v>
      </c>
      <c r="H217" s="50">
        <f>(E217+F217)-G217</f>
        <v>-2121873</v>
      </c>
      <c r="I217" s="173">
        <v>1551214684</v>
      </c>
      <c r="J217" s="13">
        <f t="shared" ref="J217:J230" si="117">(I217/$I$237)</f>
        <v>1.1407437911058334E-2</v>
      </c>
      <c r="K217" s="50">
        <v>1873261669</v>
      </c>
      <c r="L217" s="13">
        <f t="shared" ref="L217" si="118">(K217/$K$237)</f>
        <v>1.2896679424187032E-2</v>
      </c>
      <c r="M217" s="13">
        <f t="shared" ref="M217:M237" si="119">((K217-I217)/I217)</f>
        <v>0.20760955161252201</v>
      </c>
      <c r="N217" s="20">
        <f>(G217/K217)</f>
        <v>1.3254164867022643E-2</v>
      </c>
      <c r="O217" s="21">
        <f>H217/K217</f>
        <v>-1.1327157519497614E-3</v>
      </c>
      <c r="P217" s="22">
        <f>K217/V217</f>
        <v>1.1996484445168261</v>
      </c>
      <c r="Q217" s="22">
        <f t="shared" ref="Q217:Q230" si="120">H217/V217</f>
        <v>-1.3588606899062382E-3</v>
      </c>
      <c r="R217" s="50">
        <v>1.1996</v>
      </c>
      <c r="S217" s="50">
        <v>1.1996</v>
      </c>
      <c r="T217" s="50">
        <v>923</v>
      </c>
      <c r="U217" s="50">
        <v>1268324646</v>
      </c>
      <c r="V217" s="50">
        <v>1561508855</v>
      </c>
    </row>
    <row r="218" spans="1:22">
      <c r="A218" s="134">
        <v>187</v>
      </c>
      <c r="B218" s="135" t="s">
        <v>170</v>
      </c>
      <c r="C218" s="76" t="s">
        <v>171</v>
      </c>
      <c r="D218" s="50">
        <v>231982897.1394805</v>
      </c>
      <c r="E218" s="50">
        <v>2656495.9764205953</v>
      </c>
      <c r="F218" s="10">
        <v>0</v>
      </c>
      <c r="G218" s="50">
        <v>744089.45862627996</v>
      </c>
      <c r="H218" s="50">
        <f>(E218+F218)-G218</f>
        <v>1912406.5177943152</v>
      </c>
      <c r="I218" s="50">
        <v>296784448</v>
      </c>
      <c r="J218" s="13">
        <f t="shared" si="117"/>
        <v>2.1825155463315099E-3</v>
      </c>
      <c r="K218" s="50">
        <v>273751335.41574347</v>
      </c>
      <c r="L218" s="13">
        <f t="shared" ref="L218:L230" si="121">(K218/$K$237)</f>
        <v>1.884671678935604E-3</v>
      </c>
      <c r="M218" s="13">
        <f t="shared" ref="M218:M230" si="122">((K218-I218)/I218)</f>
        <v>-7.7608893388701181E-2</v>
      </c>
      <c r="N218" s="20">
        <f t="shared" ref="N218:N230" si="123">(G218/K218)</f>
        <v>2.7181217490546252E-3</v>
      </c>
      <c r="O218" s="21">
        <f t="shared" ref="O218:O230" si="124">H218/K218</f>
        <v>6.9859258033936611E-3</v>
      </c>
      <c r="P218" s="22">
        <f t="shared" ref="P218:P230" si="125">K218/V218</f>
        <v>1151.4396915524437</v>
      </c>
      <c r="Q218" s="22">
        <f t="shared" ref="Q218:Q230" si="126">H218/V218</f>
        <v>8.043872252267855</v>
      </c>
      <c r="R218" s="50">
        <v>1151.4396915524437</v>
      </c>
      <c r="S218" s="50">
        <v>1151.4396915524437</v>
      </c>
      <c r="T218" s="50">
        <v>15</v>
      </c>
      <c r="U218" s="50">
        <v>259536.00266468548</v>
      </c>
      <c r="V218" s="50">
        <v>237747.00266468548</v>
      </c>
    </row>
    <row r="219" spans="1:22" ht="15" customHeight="1">
      <c r="A219" s="116">
        <v>188</v>
      </c>
      <c r="B219" s="75" t="s">
        <v>172</v>
      </c>
      <c r="C219" s="76" t="s">
        <v>59</v>
      </c>
      <c r="D219" s="50">
        <v>158074967.86000001</v>
      </c>
      <c r="E219" s="50">
        <v>5319251.4800000004</v>
      </c>
      <c r="F219" s="10">
        <v>0</v>
      </c>
      <c r="G219" s="50">
        <v>637142.49</v>
      </c>
      <c r="H219" s="50">
        <f t="shared" ref="H219:H229" si="127">(E219+F219)-G219</f>
        <v>4682108.99</v>
      </c>
      <c r="I219" s="173">
        <v>339787212.36000001</v>
      </c>
      <c r="J219" s="13">
        <f t="shared" si="117"/>
        <v>2.4987524731091915E-3</v>
      </c>
      <c r="K219" s="50">
        <v>400050770.08999997</v>
      </c>
      <c r="L219" s="13">
        <f t="shared" si="121"/>
        <v>2.7541942594726094E-3</v>
      </c>
      <c r="M219" s="13">
        <f t="shared" si="122"/>
        <v>0.17735675604575585</v>
      </c>
      <c r="N219" s="20">
        <f t="shared" si="123"/>
        <v>1.5926540770229269E-3</v>
      </c>
      <c r="O219" s="21">
        <f t="shared" si="124"/>
        <v>1.1703786969205583E-2</v>
      </c>
      <c r="P219" s="22">
        <f t="shared" si="125"/>
        <v>128.07140934623359</v>
      </c>
      <c r="Q219" s="22">
        <f t="shared" si="126"/>
        <v>1.4989204918342429</v>
      </c>
      <c r="R219" s="50">
        <v>128.08000000000001</v>
      </c>
      <c r="S219" s="50">
        <v>128.08000000000001</v>
      </c>
      <c r="T219" s="50">
        <v>91</v>
      </c>
      <c r="U219" s="50">
        <v>2768832</v>
      </c>
      <c r="V219" s="50">
        <v>3123654</v>
      </c>
    </row>
    <row r="220" spans="1:22" ht="15" customHeight="1">
      <c r="A220" s="134">
        <v>189</v>
      </c>
      <c r="B220" s="75" t="s">
        <v>289</v>
      </c>
      <c r="C220" s="76" t="s">
        <v>290</v>
      </c>
      <c r="D220" s="50">
        <v>49980000</v>
      </c>
      <c r="E220" s="50">
        <v>791215.67</v>
      </c>
      <c r="F220" s="10"/>
      <c r="G220" s="50">
        <v>119895.56</v>
      </c>
      <c r="H220" s="50">
        <f t="shared" ref="H220" si="128">(E220+F220)-G220</f>
        <v>671320.1100000001</v>
      </c>
      <c r="I220" s="173">
        <v>53836387.920000002</v>
      </c>
      <c r="J220" s="13">
        <f t="shared" si="117"/>
        <v>3.959060334378906E-4</v>
      </c>
      <c r="K220" s="50">
        <v>56006450.579999998</v>
      </c>
      <c r="L220" s="13">
        <f t="shared" si="121"/>
        <v>3.8558267153484036E-4</v>
      </c>
      <c r="M220" s="13">
        <f t="shared" si="122"/>
        <v>4.0308474320838061E-2</v>
      </c>
      <c r="N220" s="20">
        <f t="shared" si="123"/>
        <v>2.1407455526705867E-3</v>
      </c>
      <c r="O220" s="21">
        <f t="shared" si="124"/>
        <v>1.1986478397538903E-2</v>
      </c>
      <c r="P220" s="22">
        <f t="shared" si="125"/>
        <v>109.94030650182755</v>
      </c>
      <c r="Q220" s="22">
        <f t="shared" si="126"/>
        <v>1.3177971089029616</v>
      </c>
      <c r="R220" s="50">
        <v>109.94</v>
      </c>
      <c r="S220" s="50">
        <v>109.94</v>
      </c>
      <c r="T220" s="50">
        <v>11</v>
      </c>
      <c r="U220" s="50">
        <v>509726</v>
      </c>
      <c r="V220" s="50">
        <v>509426</v>
      </c>
    </row>
    <row r="221" spans="1:22" ht="15" customHeight="1">
      <c r="A221" s="116">
        <v>190</v>
      </c>
      <c r="B221" s="75" t="s">
        <v>173</v>
      </c>
      <c r="C221" s="76" t="s">
        <v>150</v>
      </c>
      <c r="D221" s="50">
        <v>155612419.25999999</v>
      </c>
      <c r="E221" s="50">
        <v>1453001.67</v>
      </c>
      <c r="F221" s="10">
        <v>0</v>
      </c>
      <c r="G221" s="50">
        <v>429595.82</v>
      </c>
      <c r="H221" s="50">
        <f t="shared" si="127"/>
        <v>1023405.8499999999</v>
      </c>
      <c r="I221" s="173">
        <v>203747910.69999999</v>
      </c>
      <c r="J221" s="13">
        <f t="shared" si="117"/>
        <v>1.4983365389662001E-3</v>
      </c>
      <c r="K221" s="50">
        <v>234749853.68000001</v>
      </c>
      <c r="L221" s="13">
        <f t="shared" si="121"/>
        <v>1.6161616168668706E-3</v>
      </c>
      <c r="M221" s="13">
        <f t="shared" si="122"/>
        <v>0.15215833562900932</v>
      </c>
      <c r="N221" s="20">
        <f t="shared" si="123"/>
        <v>1.8300152833560649E-3</v>
      </c>
      <c r="O221" s="21">
        <f t="shared" si="124"/>
        <v>4.3595590538474151E-3</v>
      </c>
      <c r="P221" s="22">
        <f t="shared" si="125"/>
        <v>106.03678459229226</v>
      </c>
      <c r="Q221" s="22">
        <f t="shared" si="126"/>
        <v>0.46227362431019581</v>
      </c>
      <c r="R221" s="50">
        <v>101.29</v>
      </c>
      <c r="S221" s="50">
        <v>101.86</v>
      </c>
      <c r="T221" s="50">
        <v>34</v>
      </c>
      <c r="U221" s="50">
        <v>2093600</v>
      </c>
      <c r="V221" s="50">
        <v>2213853</v>
      </c>
    </row>
    <row r="222" spans="1:22" ht="15" customHeight="1">
      <c r="A222" s="134">
        <v>191</v>
      </c>
      <c r="B222" s="19" t="s">
        <v>235</v>
      </c>
      <c r="C222" s="77" t="s">
        <v>66</v>
      </c>
      <c r="D222" s="16">
        <v>364418887.20999998</v>
      </c>
      <c r="E222" s="29">
        <v>4872722</v>
      </c>
      <c r="F222" s="29">
        <v>0</v>
      </c>
      <c r="G222" s="10">
        <v>88086</v>
      </c>
      <c r="H222" s="12">
        <f t="shared" si="127"/>
        <v>4784636</v>
      </c>
      <c r="I222" s="169">
        <v>408441050</v>
      </c>
      <c r="J222" s="13">
        <f t="shared" si="117"/>
        <v>3.0036241703101829E-3</v>
      </c>
      <c r="K222" s="17">
        <v>384009300</v>
      </c>
      <c r="L222" s="13">
        <f t="shared" si="121"/>
        <v>2.6437549649164713E-3</v>
      </c>
      <c r="M222" s="13">
        <f t="shared" si="122"/>
        <v>-5.9817077641926543E-2</v>
      </c>
      <c r="N222" s="20">
        <f t="shared" si="123"/>
        <v>2.293850695803461E-4</v>
      </c>
      <c r="O222" s="21">
        <f t="shared" si="124"/>
        <v>1.2459687825268816E-2</v>
      </c>
      <c r="P222" s="22">
        <f t="shared" si="125"/>
        <v>1.3220768753540038</v>
      </c>
      <c r="Q222" s="22">
        <f t="shared" si="126"/>
        <v>1.6472665147917717E-2</v>
      </c>
      <c r="R222" s="10">
        <v>1.2462</v>
      </c>
      <c r="S222" s="10">
        <v>1.2462</v>
      </c>
      <c r="T222" s="10">
        <v>74</v>
      </c>
      <c r="U222" s="10">
        <v>288246812.75999999</v>
      </c>
      <c r="V222" s="10">
        <v>290459130.75</v>
      </c>
    </row>
    <row r="223" spans="1:22" ht="15" customHeight="1">
      <c r="A223" s="116">
        <v>192</v>
      </c>
      <c r="B223" s="143" t="s">
        <v>314</v>
      </c>
      <c r="C223" s="12" t="s">
        <v>324</v>
      </c>
      <c r="D223" s="50">
        <v>6317156346.5299997</v>
      </c>
      <c r="E223" s="50">
        <v>78783643.359999999</v>
      </c>
      <c r="F223" s="10">
        <v>0</v>
      </c>
      <c r="G223" s="50">
        <v>10014294.82</v>
      </c>
      <c r="H223" s="50">
        <f t="shared" si="127"/>
        <v>68769348.539999992</v>
      </c>
      <c r="I223" s="173">
        <v>5910575973.4499998</v>
      </c>
      <c r="J223" s="13">
        <f t="shared" si="117"/>
        <v>4.3465633178420872E-2</v>
      </c>
      <c r="K223" s="50">
        <v>6301571872.79</v>
      </c>
      <c r="L223" s="13">
        <f t="shared" si="121"/>
        <v>4.3383876185984424E-2</v>
      </c>
      <c r="M223" s="13">
        <f t="shared" si="122"/>
        <v>6.615191160664094E-2</v>
      </c>
      <c r="N223" s="20">
        <f t="shared" si="123"/>
        <v>1.5891741016620675E-3</v>
      </c>
      <c r="O223" s="21">
        <f t="shared" si="124"/>
        <v>1.0913046764878457E-2</v>
      </c>
      <c r="P223" s="22">
        <f t="shared" si="125"/>
        <v>153.7483243853797</v>
      </c>
      <c r="Q223" s="22">
        <f t="shared" si="126"/>
        <v>1.6778626540393515</v>
      </c>
      <c r="R223" s="50">
        <v>153.74</v>
      </c>
      <c r="S223" s="95">
        <v>153.74</v>
      </c>
      <c r="T223" s="50">
        <v>1823</v>
      </c>
      <c r="U223" s="50">
        <v>38863929</v>
      </c>
      <c r="V223" s="50">
        <v>40986280</v>
      </c>
    </row>
    <row r="224" spans="1:22" ht="15" customHeight="1">
      <c r="A224" s="134">
        <v>193</v>
      </c>
      <c r="B224" s="76" t="s">
        <v>199</v>
      </c>
      <c r="C224" s="76" t="s">
        <v>57</v>
      </c>
      <c r="D224" s="50">
        <v>1007483992.61</v>
      </c>
      <c r="E224" s="50">
        <v>12656225.73</v>
      </c>
      <c r="F224" s="10">
        <v>0</v>
      </c>
      <c r="G224" s="50">
        <v>1794680.96</v>
      </c>
      <c r="H224" s="50">
        <f t="shared" si="127"/>
        <v>10861544.77</v>
      </c>
      <c r="I224" s="173">
        <v>1007997040.52</v>
      </c>
      <c r="J224" s="13">
        <f t="shared" si="117"/>
        <v>7.4126836039301262E-3</v>
      </c>
      <c r="K224" s="50">
        <v>1018457597.63</v>
      </c>
      <c r="L224" s="13">
        <f t="shared" si="121"/>
        <v>7.0116852125487955E-3</v>
      </c>
      <c r="M224" s="13">
        <f t="shared" si="122"/>
        <v>1.037756728393139E-2</v>
      </c>
      <c r="N224" s="20">
        <f t="shared" si="123"/>
        <v>1.7621557973314837E-3</v>
      </c>
      <c r="O224" s="21">
        <f t="shared" si="124"/>
        <v>1.0664700028037828E-2</v>
      </c>
      <c r="P224" s="22">
        <f t="shared" si="125"/>
        <v>1422.2034509105379</v>
      </c>
      <c r="Q224" s="22">
        <f t="shared" si="126"/>
        <v>15.167373182801109</v>
      </c>
      <c r="R224" s="50">
        <v>1422.2</v>
      </c>
      <c r="S224" s="50">
        <v>1422.2</v>
      </c>
      <c r="T224" s="50">
        <v>334</v>
      </c>
      <c r="U224" s="50">
        <v>716494.49</v>
      </c>
      <c r="V224" s="50">
        <v>716112.45</v>
      </c>
    </row>
    <row r="225" spans="1:22" ht="15" customHeight="1">
      <c r="A225" s="116">
        <v>194</v>
      </c>
      <c r="B225" s="75" t="s">
        <v>107</v>
      </c>
      <c r="C225" s="76" t="s">
        <v>108</v>
      </c>
      <c r="D225" s="50">
        <v>23578310524.419998</v>
      </c>
      <c r="E225" s="50">
        <v>925176349.36000001</v>
      </c>
      <c r="F225" s="10">
        <v>73000000</v>
      </c>
      <c r="G225" s="50"/>
      <c r="H225" s="50">
        <f t="shared" si="127"/>
        <v>998176349.36000001</v>
      </c>
      <c r="I225" s="173">
        <v>48314120528.470001</v>
      </c>
      <c r="J225" s="13">
        <f t="shared" si="117"/>
        <v>0.35529597278870939</v>
      </c>
      <c r="K225" s="50">
        <v>51144673849.800003</v>
      </c>
      <c r="L225" s="13">
        <f t="shared" si="121"/>
        <v>0.35211122600270978</v>
      </c>
      <c r="M225" s="13">
        <f t="shared" si="122"/>
        <v>5.8586460653093024E-2</v>
      </c>
      <c r="N225" s="20">
        <f t="shared" si="123"/>
        <v>0</v>
      </c>
      <c r="O225" s="21">
        <f t="shared" si="124"/>
        <v>1.9516721375355945E-2</v>
      </c>
      <c r="P225" s="22">
        <f t="shared" si="125"/>
        <v>1299.881481969984</v>
      </c>
      <c r="Q225" s="22">
        <f t="shared" si="126"/>
        <v>25.369424704592952</v>
      </c>
      <c r="R225" s="50">
        <v>1299.8800000000001</v>
      </c>
      <c r="S225" s="50">
        <v>1299.8800000000001</v>
      </c>
      <c r="T225" s="50">
        <v>14271</v>
      </c>
      <c r="U225" s="50">
        <v>36611071.420000002</v>
      </c>
      <c r="V225" s="50">
        <v>39345643.859999999</v>
      </c>
    </row>
    <row r="226" spans="1:22" ht="15" customHeight="1">
      <c r="A226" s="134">
        <v>195</v>
      </c>
      <c r="B226" s="78" t="s">
        <v>196</v>
      </c>
      <c r="C226" s="78" t="s">
        <v>197</v>
      </c>
      <c r="D226" s="50">
        <v>473983173.50999999</v>
      </c>
      <c r="E226" s="50">
        <v>442071</v>
      </c>
      <c r="F226" s="10">
        <v>107656316.81</v>
      </c>
      <c r="G226" s="50">
        <v>906552.29</v>
      </c>
      <c r="H226" s="50">
        <f t="shared" si="127"/>
        <v>107191835.52</v>
      </c>
      <c r="I226" s="173">
        <v>595615269.84000003</v>
      </c>
      <c r="J226" s="13">
        <f t="shared" si="117"/>
        <v>4.3800798688017418E-3</v>
      </c>
      <c r="K226" s="50">
        <v>501974419.07999998</v>
      </c>
      <c r="L226" s="13">
        <f t="shared" si="121"/>
        <v>3.4558990178201708E-3</v>
      </c>
      <c r="M226" s="13">
        <f t="shared" si="122"/>
        <v>-0.15721700819583548</v>
      </c>
      <c r="N226" s="20">
        <f t="shared" si="123"/>
        <v>1.8059730845677261E-3</v>
      </c>
      <c r="O226" s="21">
        <f t="shared" si="124"/>
        <v>0.21354043442384416</v>
      </c>
      <c r="P226" s="22">
        <f t="shared" si="125"/>
        <v>141.58092456440303</v>
      </c>
      <c r="Q226" s="22">
        <f t="shared" si="126"/>
        <v>30.23325213761213</v>
      </c>
      <c r="R226" s="50">
        <v>142.16</v>
      </c>
      <c r="S226" s="50">
        <v>142.66999999999999</v>
      </c>
      <c r="T226" s="50">
        <v>146</v>
      </c>
      <c r="U226" s="50">
        <v>4184151.74</v>
      </c>
      <c r="V226" s="50">
        <v>3545494.71</v>
      </c>
    </row>
    <row r="227" spans="1:22" ht="15" customHeight="1">
      <c r="A227" s="116">
        <v>196</v>
      </c>
      <c r="B227" s="78" t="s">
        <v>198</v>
      </c>
      <c r="C227" s="78" t="s">
        <v>197</v>
      </c>
      <c r="D227" s="50">
        <v>1115406001.6400001</v>
      </c>
      <c r="E227" s="50">
        <v>0</v>
      </c>
      <c r="F227" s="10">
        <v>127106252.03</v>
      </c>
      <c r="G227" s="50">
        <v>1837764.84</v>
      </c>
      <c r="H227" s="50">
        <f>(E227+F227)-G227</f>
        <v>125268487.19</v>
      </c>
      <c r="I227" s="50">
        <v>954257670.78999996</v>
      </c>
      <c r="J227" s="13">
        <f t="shared" si="117"/>
        <v>7.0174910300733516E-3</v>
      </c>
      <c r="K227" s="50">
        <v>1134828612.26</v>
      </c>
      <c r="L227" s="13">
        <f t="shared" si="121"/>
        <v>7.8128544751172539E-3</v>
      </c>
      <c r="M227" s="13">
        <f t="shared" si="122"/>
        <v>0.18922660723335974</v>
      </c>
      <c r="N227" s="20">
        <f t="shared" si="123"/>
        <v>1.6194206069056625E-3</v>
      </c>
      <c r="O227" s="21">
        <f t="shared" si="124"/>
        <v>0.1103853796394233</v>
      </c>
      <c r="P227" s="22">
        <f t="shared" si="125"/>
        <v>154.76005646826792</v>
      </c>
      <c r="Q227" s="22">
        <f t="shared" si="126"/>
        <v>17.083247586268339</v>
      </c>
      <c r="R227" s="50">
        <v>153.84</v>
      </c>
      <c r="S227" s="50">
        <v>153.84</v>
      </c>
      <c r="T227" s="50">
        <v>153</v>
      </c>
      <c r="U227" s="50">
        <v>6951227.2800000003</v>
      </c>
      <c r="V227" s="50">
        <v>7332826.2999999998</v>
      </c>
    </row>
    <row r="228" spans="1:22" ht="13.95" customHeight="1">
      <c r="A228" s="134">
        <v>197</v>
      </c>
      <c r="B228" s="76" t="s">
        <v>174</v>
      </c>
      <c r="C228" s="76" t="s">
        <v>126</v>
      </c>
      <c r="D228" s="50">
        <v>2956210051.21</v>
      </c>
      <c r="E228" s="50">
        <v>67691156.859999999</v>
      </c>
      <c r="F228" s="10">
        <v>0</v>
      </c>
      <c r="G228" s="50">
        <v>10783494.07</v>
      </c>
      <c r="H228" s="50">
        <f t="shared" si="127"/>
        <v>56907662.789999999</v>
      </c>
      <c r="I228" s="173">
        <v>4031546474</v>
      </c>
      <c r="J228" s="13">
        <f t="shared" si="117"/>
        <v>2.9647486297068312E-2</v>
      </c>
      <c r="K228" s="50">
        <v>4428627850</v>
      </c>
      <c r="L228" s="13">
        <f t="shared" si="121"/>
        <v>3.048938363264863E-2</v>
      </c>
      <c r="M228" s="13">
        <f t="shared" si="122"/>
        <v>9.849356284513465E-2</v>
      </c>
      <c r="N228" s="20">
        <f t="shared" si="123"/>
        <v>2.4349515098677798E-3</v>
      </c>
      <c r="O228" s="21">
        <f t="shared" si="124"/>
        <v>1.2849953691638371E-2</v>
      </c>
      <c r="P228" s="22">
        <f t="shared" si="125"/>
        <v>106.97395328881726</v>
      </c>
      <c r="Q228" s="22">
        <f t="shared" si="126"/>
        <v>1.3746103459727879</v>
      </c>
      <c r="R228" s="50">
        <v>106.97</v>
      </c>
      <c r="S228" s="50">
        <v>106.97</v>
      </c>
      <c r="T228" s="50">
        <v>1071</v>
      </c>
      <c r="U228" s="50">
        <v>36831158</v>
      </c>
      <c r="V228" s="50">
        <v>41399123</v>
      </c>
    </row>
    <row r="229" spans="1:22">
      <c r="A229" s="116">
        <v>198</v>
      </c>
      <c r="B229" s="75" t="s">
        <v>175</v>
      </c>
      <c r="C229" s="75" t="s">
        <v>43</v>
      </c>
      <c r="D229" s="50">
        <v>2362977931.9299998</v>
      </c>
      <c r="E229" s="50">
        <v>24666866.940000001</v>
      </c>
      <c r="F229" s="10">
        <v>0</v>
      </c>
      <c r="G229" s="50">
        <v>4128075.16</v>
      </c>
      <c r="H229" s="50">
        <f t="shared" si="127"/>
        <v>20538791.780000001</v>
      </c>
      <c r="I229" s="173">
        <v>2313017156.5300002</v>
      </c>
      <c r="J229" s="13">
        <f t="shared" si="117"/>
        <v>1.7009637590775072E-2</v>
      </c>
      <c r="K229" s="50">
        <v>2456842721.6900001</v>
      </c>
      <c r="L229" s="13">
        <f t="shared" si="121"/>
        <v>1.6914408436167649E-2</v>
      </c>
      <c r="M229" s="13">
        <f t="shared" si="122"/>
        <v>6.2180933139193692E-2</v>
      </c>
      <c r="N229" s="20">
        <f t="shared" si="123"/>
        <v>1.6802358260688342E-3</v>
      </c>
      <c r="O229" s="21">
        <f t="shared" si="124"/>
        <v>8.3598317461167741E-3</v>
      </c>
      <c r="P229" s="22">
        <f t="shared" si="125"/>
        <v>157.10122033252867</v>
      </c>
      <c r="Q229" s="22">
        <f t="shared" si="126"/>
        <v>1.3133397690895592</v>
      </c>
      <c r="R229" s="50">
        <v>157.29</v>
      </c>
      <c r="S229" s="50">
        <v>157.29</v>
      </c>
      <c r="T229" s="50">
        <v>3817</v>
      </c>
      <c r="U229" s="50">
        <v>15216601.41</v>
      </c>
      <c r="V229" s="50">
        <v>15638597.310000001</v>
      </c>
    </row>
    <row r="230" spans="1:22" ht="15" customHeight="1">
      <c r="A230" s="134">
        <v>199</v>
      </c>
      <c r="B230" s="76" t="s">
        <v>176</v>
      </c>
      <c r="C230" s="76" t="s">
        <v>47</v>
      </c>
      <c r="D230" s="50">
        <v>2411662679.4299998</v>
      </c>
      <c r="E230" s="50">
        <v>47557584.32</v>
      </c>
      <c r="F230" s="10">
        <v>0</v>
      </c>
      <c r="G230" s="50">
        <v>6796420.2800000003</v>
      </c>
      <c r="H230" s="50">
        <f>(E230+F230)-G230</f>
        <v>40761164.039999999</v>
      </c>
      <c r="I230" s="50">
        <v>4020371098</v>
      </c>
      <c r="J230" s="13">
        <f t="shared" si="117"/>
        <v>2.9565303985897816E-2</v>
      </c>
      <c r="K230" s="50">
        <v>4029406844.6399999</v>
      </c>
      <c r="L230" s="13">
        <f t="shared" si="121"/>
        <v>2.7740901981242152E-2</v>
      </c>
      <c r="M230" s="13">
        <f t="shared" si="122"/>
        <v>2.2474906966908721E-3</v>
      </c>
      <c r="N230" s="20">
        <f t="shared" si="123"/>
        <v>1.6867049027428785E-3</v>
      </c>
      <c r="O230" s="21">
        <f t="shared" si="124"/>
        <v>1.0115921675722903E-2</v>
      </c>
      <c r="P230" s="22">
        <f t="shared" si="125"/>
        <v>1.1424987423889827</v>
      </c>
      <c r="Q230" s="22">
        <f t="shared" si="126"/>
        <v>1.1557427792618867E-2</v>
      </c>
      <c r="R230" s="50">
        <v>1.1399999999999999</v>
      </c>
      <c r="S230" s="50">
        <v>1.1399999999999999</v>
      </c>
      <c r="T230" s="50">
        <v>242</v>
      </c>
      <c r="U230" s="50">
        <v>3174136287.6900001</v>
      </c>
      <c r="V230" s="50">
        <v>3526837006.5900002</v>
      </c>
    </row>
    <row r="231" spans="1:22" ht="4.95" customHeight="1">
      <c r="A231" s="60"/>
      <c r="B231" s="19"/>
      <c r="C231" s="19"/>
      <c r="D231" s="11"/>
      <c r="E231" s="11"/>
      <c r="F231" s="11"/>
      <c r="G231" s="31"/>
      <c r="H231" s="12"/>
      <c r="I231" s="23"/>
      <c r="J231" s="13"/>
      <c r="K231" s="32"/>
      <c r="L231" s="13"/>
      <c r="M231" s="13"/>
      <c r="N231" s="20"/>
      <c r="O231" s="21"/>
      <c r="P231" s="22"/>
      <c r="Q231" s="22"/>
      <c r="R231" s="12"/>
      <c r="S231" s="12"/>
      <c r="T231" s="41"/>
      <c r="U231" s="31"/>
      <c r="V231" s="41"/>
    </row>
    <row r="232" spans="1:22" ht="15" customHeight="1">
      <c r="A232" s="150" t="s">
        <v>194</v>
      </c>
      <c r="B232" s="152"/>
      <c r="C232" s="152"/>
      <c r="D232" s="150"/>
      <c r="E232" s="150"/>
      <c r="F232" s="150"/>
      <c r="G232" s="150"/>
      <c r="H232" s="150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S232" s="150"/>
      <c r="T232" s="150"/>
      <c r="U232" s="150"/>
      <c r="V232" s="150"/>
    </row>
    <row r="233" spans="1:22" ht="15" customHeight="1">
      <c r="A233" s="130">
        <v>200</v>
      </c>
      <c r="B233" s="74" t="s">
        <v>278</v>
      </c>
      <c r="C233" s="74" t="s">
        <v>279</v>
      </c>
      <c r="D233" s="58">
        <v>669285893.04999995</v>
      </c>
      <c r="E233" s="16">
        <v>8963116.4399999995</v>
      </c>
      <c r="F233" s="16">
        <v>29917488.120000001</v>
      </c>
      <c r="G233" s="16">
        <v>1678838.98</v>
      </c>
      <c r="H233" s="16">
        <f>(E233+F233)-G233</f>
        <v>37201765.580000006</v>
      </c>
      <c r="I233" s="174">
        <v>645475929.45000005</v>
      </c>
      <c r="J233" s="53">
        <f t="shared" ref="J233:J236" si="129">(I233/$I$237)</f>
        <v>4.746748895708329E-3</v>
      </c>
      <c r="K233" s="52">
        <v>669174821.71000004</v>
      </c>
      <c r="L233" s="13">
        <f t="shared" ref="L233" si="130">(K233/$K$237)</f>
        <v>4.6070088857038281E-3</v>
      </c>
      <c r="M233" s="13">
        <f>((K233-I233)/I233)</f>
        <v>3.6715377256892362E-2</v>
      </c>
      <c r="N233" s="20">
        <f t="shared" ref="N233" si="131">(G233/K233)</f>
        <v>2.5088197067993654E-3</v>
      </c>
      <c r="O233" s="21">
        <f t="shared" ref="O233" si="132">H233/K233</f>
        <v>5.559349272128191E-2</v>
      </c>
      <c r="P233" s="22">
        <f t="shared" ref="P233" si="133">K233/V233</f>
        <v>119.67709249373559</v>
      </c>
      <c r="Q233" s="22">
        <f t="shared" ref="Q233" si="134">H233/V233</f>
        <v>6.6532675704546715</v>
      </c>
      <c r="R233" s="52">
        <v>119.68</v>
      </c>
      <c r="S233" s="52">
        <v>119.68</v>
      </c>
      <c r="T233" s="52">
        <v>105</v>
      </c>
      <c r="U233" s="52">
        <v>5536169</v>
      </c>
      <c r="V233" s="52">
        <v>5591503</v>
      </c>
    </row>
    <row r="234" spans="1:22" ht="12.6" customHeight="1">
      <c r="A234" s="138">
        <v>201</v>
      </c>
      <c r="B234" s="139" t="s">
        <v>257</v>
      </c>
      <c r="C234" s="79" t="s">
        <v>55</v>
      </c>
      <c r="D234" s="16">
        <v>10317091341</v>
      </c>
      <c r="E234" s="16">
        <v>185151054</v>
      </c>
      <c r="F234" s="16">
        <v>384383287</v>
      </c>
      <c r="G234" s="16">
        <v>75648827</v>
      </c>
      <c r="H234" s="16">
        <f>(E234+F234)-G234</f>
        <v>493885514</v>
      </c>
      <c r="I234" s="52">
        <v>18317751214</v>
      </c>
      <c r="J234" s="53">
        <f t="shared" si="129"/>
        <v>0.1347064412161782</v>
      </c>
      <c r="K234" s="52">
        <v>17724557716</v>
      </c>
      <c r="L234" s="13">
        <f t="shared" ref="L234:L236" si="135">(K234/$K$237)</f>
        <v>0.12202669951645324</v>
      </c>
      <c r="M234" s="13">
        <f t="shared" ref="M234:M236" si="136">((K234-I234)/I234)</f>
        <v>-3.2383532840353814E-2</v>
      </c>
      <c r="N234" s="20">
        <f t="shared" ref="N234:N236" si="137">(G234/K234)</f>
        <v>4.2680233951175898E-3</v>
      </c>
      <c r="O234" s="21">
        <f t="shared" ref="O234:O236" si="138">H234/K234</f>
        <v>2.7864476051448574E-2</v>
      </c>
      <c r="P234" s="22">
        <f t="shared" ref="P234:P236" si="139">K234/V234</f>
        <v>147.84816137944833</v>
      </c>
      <c r="Q234" s="22">
        <f t="shared" ref="Q234:Q236" si="140">H234/V234</f>
        <v>4.1197115520083418</v>
      </c>
      <c r="R234" s="52">
        <v>147.10900000000001</v>
      </c>
      <c r="S234" s="52">
        <v>151.5444</v>
      </c>
      <c r="T234" s="52">
        <v>7961</v>
      </c>
      <c r="U234" s="52">
        <v>128064359</v>
      </c>
      <c r="V234" s="52">
        <v>119883518</v>
      </c>
    </row>
    <row r="235" spans="1:22" ht="15" customHeight="1">
      <c r="A235" s="141">
        <v>202</v>
      </c>
      <c r="B235" s="142" t="s">
        <v>195</v>
      </c>
      <c r="C235" s="25" t="s">
        <v>108</v>
      </c>
      <c r="D235" s="16">
        <v>373013032.13</v>
      </c>
      <c r="E235" s="16">
        <v>373013032.13</v>
      </c>
      <c r="F235" s="16">
        <v>3063097.4</v>
      </c>
      <c r="G235" s="10">
        <v>930087.46</v>
      </c>
      <c r="H235" s="12">
        <f>(E235+F235)-G235</f>
        <v>375146042.06999999</v>
      </c>
      <c r="I235" s="17">
        <v>346979424.66000003</v>
      </c>
      <c r="J235" s="53">
        <f t="shared" si="129"/>
        <v>2.5516430988244136E-3</v>
      </c>
      <c r="K235" s="17">
        <v>406397796.93000001</v>
      </c>
      <c r="L235" s="13">
        <f t="shared" si="135"/>
        <v>2.797891075463025E-3</v>
      </c>
      <c r="M235" s="13">
        <f t="shared" si="136"/>
        <v>0.17124465615856951</v>
      </c>
      <c r="N235" s="20">
        <f t="shared" si="137"/>
        <v>2.2886134399006178E-3</v>
      </c>
      <c r="O235" s="21">
        <f t="shared" si="138"/>
        <v>0.92310058003246764</v>
      </c>
      <c r="P235" s="22">
        <f t="shared" si="139"/>
        <v>1594.7078209070626</v>
      </c>
      <c r="Q235" s="22">
        <f t="shared" si="140"/>
        <v>1472.0757144616218</v>
      </c>
      <c r="R235" s="12">
        <v>1594.71</v>
      </c>
      <c r="S235" s="12">
        <v>1594.71</v>
      </c>
      <c r="T235" s="10">
        <v>181</v>
      </c>
      <c r="U235" s="10">
        <v>152440.79999999999</v>
      </c>
      <c r="V235" s="10">
        <v>254841.54</v>
      </c>
    </row>
    <row r="236" spans="1:22" ht="15" customHeight="1">
      <c r="A236" s="141">
        <v>203</v>
      </c>
      <c r="B236" s="142" t="s">
        <v>255</v>
      </c>
      <c r="C236" s="10" t="s">
        <v>256</v>
      </c>
      <c r="D236" s="17">
        <f>45000000+36500000</f>
        <v>81500000</v>
      </c>
      <c r="E236" s="17">
        <v>1017736.22</v>
      </c>
      <c r="F236" s="17">
        <v>0</v>
      </c>
      <c r="G236" s="17">
        <v>20756.46</v>
      </c>
      <c r="H236" s="17">
        <f>(E236+F236)-G236</f>
        <v>996979.76</v>
      </c>
      <c r="I236" s="169">
        <v>182105052.38999999</v>
      </c>
      <c r="J236" s="53">
        <f t="shared" si="129"/>
        <v>1.3391776778906186E-3</v>
      </c>
      <c r="K236" s="17">
        <v>86574326.060000002</v>
      </c>
      <c r="L236" s="13">
        <f t="shared" si="135"/>
        <v>5.9603062830879995E-4</v>
      </c>
      <c r="M236" s="13">
        <f t="shared" si="136"/>
        <v>-0.52459130087950212</v>
      </c>
      <c r="N236" s="20">
        <f t="shared" si="137"/>
        <v>2.3975306473208714E-4</v>
      </c>
      <c r="O236" s="21">
        <f t="shared" si="138"/>
        <v>1.151588242580193E-2</v>
      </c>
      <c r="P236" s="22">
        <f t="shared" si="139"/>
        <v>107.38060728965888</v>
      </c>
      <c r="Q236" s="22">
        <f t="shared" si="140"/>
        <v>1.2365824483589214</v>
      </c>
      <c r="R236" s="17">
        <v>106.29</v>
      </c>
      <c r="S236" s="17">
        <v>108.48</v>
      </c>
      <c r="T236" s="17">
        <v>222</v>
      </c>
      <c r="U236" s="17">
        <v>559632</v>
      </c>
      <c r="V236" s="17">
        <v>806238</v>
      </c>
    </row>
    <row r="237" spans="1:22" ht="15" customHeight="1">
      <c r="A237" s="147" t="s">
        <v>48</v>
      </c>
      <c r="B237" s="147"/>
      <c r="C237" s="147"/>
      <c r="D237" s="147"/>
      <c r="E237" s="147"/>
      <c r="F237" s="147"/>
      <c r="G237" s="147"/>
      <c r="H237" s="147"/>
      <c r="I237" s="36">
        <f>SUM(I213:I236)</f>
        <v>135982741794.82997</v>
      </c>
      <c r="J237" s="34">
        <f>(I237/$I$248)</f>
        <v>1.4792238522770475E-2</v>
      </c>
      <c r="K237" s="36">
        <f>SUM(K213:K236)</f>
        <v>145251471901.11572</v>
      </c>
      <c r="L237" s="34">
        <f>(K237/$K$248)</f>
        <v>1.5371507475564292E-2</v>
      </c>
      <c r="M237" s="34">
        <f t="shared" si="119"/>
        <v>6.8161076795100667E-2</v>
      </c>
      <c r="N237" s="20"/>
      <c r="O237" s="20"/>
      <c r="P237" s="35"/>
      <c r="Q237" s="35"/>
      <c r="R237" s="36"/>
      <c r="S237" s="36"/>
      <c r="T237" s="36">
        <f>SUM(T213:T236)</f>
        <v>59593</v>
      </c>
      <c r="U237" s="36"/>
      <c r="V237" s="36"/>
    </row>
    <row r="238" spans="1:22" ht="15" customHeight="1">
      <c r="A238" s="148" t="s">
        <v>270</v>
      </c>
      <c r="B238" s="148"/>
      <c r="C238" s="148"/>
      <c r="D238" s="148"/>
      <c r="E238" s="148"/>
      <c r="F238" s="148"/>
      <c r="G238" s="148"/>
      <c r="H238" s="148"/>
      <c r="I238" s="65">
        <f>SUM(I25,I76,I117,I161,I170,I203,I209,I237)</f>
        <v>9161422453444.5977</v>
      </c>
      <c r="J238" s="66"/>
      <c r="K238" s="65">
        <f>SUM(K25,K76,K117,K161,K170,K203,K209,K237)</f>
        <v>9396548596755.2676</v>
      </c>
      <c r="L238" s="66"/>
      <c r="M238" s="66"/>
      <c r="N238" s="67"/>
      <c r="O238" s="67"/>
      <c r="P238" s="68"/>
      <c r="Q238" s="68"/>
      <c r="R238" s="65"/>
      <c r="S238" s="65"/>
      <c r="T238" s="65">
        <f>SUM(T25,T76,T117,T161,T170,T203,T209,T237)</f>
        <v>1435242</v>
      </c>
      <c r="U238" s="65"/>
      <c r="V238" s="65"/>
    </row>
    <row r="239" spans="1:22" s="6" customFormat="1" ht="6.6" customHeight="1">
      <c r="A239" s="59"/>
      <c r="B239" s="59"/>
      <c r="C239" s="59"/>
      <c r="D239" s="59"/>
      <c r="E239" s="59"/>
      <c r="F239" s="59"/>
      <c r="G239" s="59"/>
      <c r="H239" s="59"/>
      <c r="I239" s="36"/>
      <c r="J239" s="55"/>
      <c r="K239" s="36"/>
      <c r="L239" s="55"/>
      <c r="M239" s="55"/>
      <c r="N239" s="56"/>
      <c r="O239" s="56"/>
      <c r="P239" s="57"/>
      <c r="Q239" s="57"/>
      <c r="R239" s="36"/>
      <c r="S239" s="36"/>
      <c r="T239" s="36"/>
      <c r="U239" s="36"/>
      <c r="V239" s="36"/>
    </row>
    <row r="240" spans="1:22" s="6" customFormat="1" ht="15" customHeight="1">
      <c r="A240" s="161" t="s">
        <v>259</v>
      </c>
      <c r="B240" s="161"/>
      <c r="C240" s="161"/>
      <c r="D240" s="161"/>
      <c r="E240" s="161"/>
      <c r="F240" s="161"/>
      <c r="G240" s="161"/>
      <c r="H240" s="161"/>
      <c r="I240" s="161"/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</row>
    <row r="241" spans="1:22" s="6" customFormat="1" ht="15" customHeight="1">
      <c r="A241" s="127">
        <v>1</v>
      </c>
      <c r="B241" s="25" t="s">
        <v>260</v>
      </c>
      <c r="C241" s="25" t="s">
        <v>55</v>
      </c>
      <c r="D241" s="17">
        <f>1378224*FX_RATE</f>
        <v>1885718051.5967999</v>
      </c>
      <c r="E241" s="16">
        <f>12682*FX_RATE</f>
        <v>17351806.622399997</v>
      </c>
      <c r="F241" s="16">
        <f>-412*FX_RATE</f>
        <v>-563707.9584</v>
      </c>
      <c r="G241" s="16">
        <f>12325*FX_RATE</f>
        <v>16863350.939999998</v>
      </c>
      <c r="H241" s="17">
        <f t="shared" ref="H241:H246" si="141">(E241+F241)-G241</f>
        <v>-75252.276000000536</v>
      </c>
      <c r="I241" s="10">
        <v>2711514053.5229998</v>
      </c>
      <c r="J241" s="13">
        <f t="shared" ref="J241:J246" si="142">(I241/$I$247)</f>
        <v>8.6294616038765246E-2</v>
      </c>
      <c r="K241" s="10">
        <f>2028447*C250</f>
        <v>2775368245.3704</v>
      </c>
      <c r="L241" s="13">
        <f t="shared" ref="L241" si="143">(K241/$K$247)</f>
        <v>5.2515955338865918E-2</v>
      </c>
      <c r="M241" s="13">
        <f>((K241-I241)/I241)</f>
        <v>2.3549275639724639E-2</v>
      </c>
      <c r="N241" s="20">
        <f t="shared" ref="N241" si="144">(G241/K241)</f>
        <v>6.0760769199293832E-3</v>
      </c>
      <c r="O241" s="21">
        <f t="shared" ref="O241" si="145">H241/K241</f>
        <v>-2.7114339196439638E-5</v>
      </c>
      <c r="P241" s="22">
        <f t="shared" ref="P241" si="146">K241/V241</f>
        <v>1448.677804278748</v>
      </c>
      <c r="Q241" s="22">
        <f t="shared" ref="Q241" si="147">H241/V241</f>
        <v>-3.9279941371567366E-2</v>
      </c>
      <c r="R241" s="10">
        <f>1.058*FX_RATE</f>
        <v>1447.5801455999999</v>
      </c>
      <c r="S241" s="10">
        <f>1.058*FX_RATE</f>
        <v>1447.5801455999999</v>
      </c>
      <c r="T241" s="10">
        <v>62</v>
      </c>
      <c r="U241" s="10">
        <v>1856198</v>
      </c>
      <c r="V241" s="10">
        <v>1915794</v>
      </c>
    </row>
    <row r="242" spans="1:22" s="6" customFormat="1" ht="15" customHeight="1">
      <c r="A242" s="127">
        <v>2</v>
      </c>
      <c r="B242" s="25" t="s">
        <v>261</v>
      </c>
      <c r="C242" s="25" t="s">
        <v>262</v>
      </c>
      <c r="D242" s="16">
        <v>12732820841.700001</v>
      </c>
      <c r="E242" s="16">
        <v>265357799.97999999</v>
      </c>
      <c r="F242" s="83">
        <v>0</v>
      </c>
      <c r="G242" s="16">
        <v>23351608.649999999</v>
      </c>
      <c r="H242" s="17">
        <f t="shared" si="141"/>
        <v>242006191.32999998</v>
      </c>
      <c r="I242" s="10">
        <v>15400102147.98</v>
      </c>
      <c r="J242" s="13">
        <f t="shared" si="142"/>
        <v>0.49011212023446205</v>
      </c>
      <c r="K242" s="10">
        <v>15578010561.889999</v>
      </c>
      <c r="L242" s="13">
        <f t="shared" ref="L242:L246" si="148">(K242/$K$247)</f>
        <v>0.29476957095738987</v>
      </c>
      <c r="M242" s="13">
        <f t="shared" ref="M242:M246" si="149">((K242-I242)/I242)</f>
        <v>1.1552417782718132E-2</v>
      </c>
      <c r="N242" s="20">
        <f t="shared" ref="N242:N246" si="150">(G242/K242)</f>
        <v>1.4990109653107637E-3</v>
      </c>
      <c r="O242" s="21">
        <f t="shared" ref="O242:O246" si="151">H242/K242</f>
        <v>1.5535115371024541E-2</v>
      </c>
      <c r="P242" s="22">
        <f t="shared" ref="P242:P246" si="152">K242/V242</f>
        <v>109.01419305951232</v>
      </c>
      <c r="Q242" s="22">
        <f t="shared" ref="Q242:Q246" si="153">H242/V242</f>
        <v>1.6935480662586668</v>
      </c>
      <c r="R242" s="10">
        <v>123.3</v>
      </c>
      <c r="S242" s="10">
        <v>123.3</v>
      </c>
      <c r="T242" s="10">
        <v>12</v>
      </c>
      <c r="U242" s="10">
        <v>142898921</v>
      </c>
      <c r="V242" s="10">
        <v>142898921</v>
      </c>
    </row>
    <row r="243" spans="1:22" s="6" customFormat="1" ht="15" customHeight="1">
      <c r="A243" s="118">
        <v>3</v>
      </c>
      <c r="B243" s="119" t="s">
        <v>263</v>
      </c>
      <c r="C243" s="25" t="s">
        <v>264</v>
      </c>
      <c r="D243" s="16">
        <v>32303835231</v>
      </c>
      <c r="E243" s="16">
        <v>426330454.89999998</v>
      </c>
      <c r="F243" s="83">
        <v>0</v>
      </c>
      <c r="G243" s="16">
        <v>51054003</v>
      </c>
      <c r="H243" s="17">
        <f t="shared" si="141"/>
        <v>375276451.89999998</v>
      </c>
      <c r="I243" s="10">
        <v>10995969358.889999</v>
      </c>
      <c r="J243" s="13">
        <f t="shared" si="142"/>
        <v>0.34994948765490191</v>
      </c>
      <c r="K243" s="10">
        <v>31857219716.400002</v>
      </c>
      <c r="L243" s="13">
        <f t="shared" si="148"/>
        <v>0.60280733219372173</v>
      </c>
      <c r="M243" s="13">
        <f t="shared" si="149"/>
        <v>1.8971724708057811</v>
      </c>
      <c r="N243" s="20">
        <f t="shared" si="150"/>
        <v>1.6025881559814071E-3</v>
      </c>
      <c r="O243" s="21">
        <f t="shared" si="151"/>
        <v>1.1779949890191101E-2</v>
      </c>
      <c r="P243" s="22">
        <f t="shared" si="152"/>
        <v>1.1023640858299595</v>
      </c>
      <c r="Q243" s="22">
        <f t="shared" si="153"/>
        <v>1.2985793691823245E-2</v>
      </c>
      <c r="R243" s="10">
        <v>2.29</v>
      </c>
      <c r="S243" s="10">
        <v>2.29</v>
      </c>
      <c r="T243" s="10">
        <v>61</v>
      </c>
      <c r="U243" s="10">
        <v>28899000000</v>
      </c>
      <c r="V243" s="10">
        <v>28899000000</v>
      </c>
    </row>
    <row r="244" spans="1:22" s="6" customFormat="1" ht="15" customHeight="1">
      <c r="A244" s="118">
        <v>4</v>
      </c>
      <c r="B244" s="119" t="s">
        <v>315</v>
      </c>
      <c r="C244" s="12" t="s">
        <v>324</v>
      </c>
      <c r="D244" s="16">
        <v>1270189425.1400001</v>
      </c>
      <c r="E244" s="16">
        <v>4573481.8499999996</v>
      </c>
      <c r="F244" s="16">
        <v>2209383.0499999998</v>
      </c>
      <c r="G244" s="16">
        <v>1153103.8500000001</v>
      </c>
      <c r="H244" s="17">
        <f t="shared" si="141"/>
        <v>5629761.0499999989</v>
      </c>
      <c r="I244" s="10">
        <v>1275742966.24</v>
      </c>
      <c r="J244" s="13">
        <f t="shared" si="142"/>
        <v>4.0600840439237076E-2</v>
      </c>
      <c r="K244" s="10">
        <v>1268962598.0999999</v>
      </c>
      <c r="L244" s="13">
        <f t="shared" si="148"/>
        <v>2.4011510270636895E-2</v>
      </c>
      <c r="M244" s="13">
        <f t="shared" si="149"/>
        <v>-5.3148387405841623E-3</v>
      </c>
      <c r="N244" s="20">
        <f t="shared" si="150"/>
        <v>9.0869805912839868E-4</v>
      </c>
      <c r="O244" s="21">
        <f t="shared" si="151"/>
        <v>4.4365066854053555E-3</v>
      </c>
      <c r="P244" s="22">
        <f t="shared" si="152"/>
        <v>153938.10487994534</v>
      </c>
      <c r="Q244" s="22">
        <f t="shared" si="153"/>
        <v>682.94743143850837</v>
      </c>
      <c r="R244" s="10">
        <f>112.32*FX_RATE</f>
        <v>153678.82982399999</v>
      </c>
      <c r="S244" s="10">
        <f>112.32*FX_RATE</f>
        <v>153678.82982399999</v>
      </c>
      <c r="T244" s="10">
        <v>18</v>
      </c>
      <c r="U244" s="10">
        <v>8243.33</v>
      </c>
      <c r="V244" s="10">
        <v>8243.33</v>
      </c>
    </row>
    <row r="245" spans="1:22" s="6" customFormat="1" ht="15" customHeight="1">
      <c r="A245" s="118">
        <v>5</v>
      </c>
      <c r="B245" s="119" t="s">
        <v>265</v>
      </c>
      <c r="C245" s="25" t="s">
        <v>47</v>
      </c>
      <c r="D245" s="17">
        <v>312974761.48821902</v>
      </c>
      <c r="E245" s="16">
        <v>3032791.39</v>
      </c>
      <c r="F245" s="16">
        <v>16307096.98</v>
      </c>
      <c r="G245" s="16">
        <v>1178398.0900000001</v>
      </c>
      <c r="H245" s="17">
        <f t="shared" si="141"/>
        <v>18161490.280000001</v>
      </c>
      <c r="I245" s="10">
        <v>442313791</v>
      </c>
      <c r="J245" s="13">
        <f t="shared" si="142"/>
        <v>1.4076747532768004E-2</v>
      </c>
      <c r="K245" s="10">
        <v>500695387.638219</v>
      </c>
      <c r="L245" s="13">
        <f t="shared" si="148"/>
        <v>9.4742370348319706E-3</v>
      </c>
      <c r="M245" s="13">
        <f t="shared" si="149"/>
        <v>0.13199135506543364</v>
      </c>
      <c r="N245" s="20">
        <f t="shared" si="150"/>
        <v>2.3535229584568493E-3</v>
      </c>
      <c r="O245" s="21">
        <f t="shared" si="151"/>
        <v>3.6272533617031671E-2</v>
      </c>
      <c r="P245" s="22">
        <f t="shared" si="152"/>
        <v>1.5296914406268152</v>
      </c>
      <c r="Q245" s="22">
        <f t="shared" si="153"/>
        <v>5.5485784203821761E-2</v>
      </c>
      <c r="R245" s="10">
        <v>1.5296914406268201</v>
      </c>
      <c r="S245" s="10">
        <v>1.5296914406268201</v>
      </c>
      <c r="T245" s="10">
        <v>62</v>
      </c>
      <c r="U245" s="10">
        <v>302757039.44</v>
      </c>
      <c r="V245" s="10">
        <v>327317898.45999998</v>
      </c>
    </row>
    <row r="246" spans="1:22" ht="15" customHeight="1">
      <c r="A246" s="127">
        <v>6</v>
      </c>
      <c r="B246" s="131" t="s">
        <v>321</v>
      </c>
      <c r="C246" s="96" t="s">
        <v>83</v>
      </c>
      <c r="D246" s="17">
        <f>637304.21*C250</f>
        <v>871974405.57967186</v>
      </c>
      <c r="E246" s="16">
        <f>3496.01*C250</f>
        <v>4783321.9894319996</v>
      </c>
      <c r="F246" s="16">
        <v>0</v>
      </c>
      <c r="G246" s="16">
        <f>1147.99*C250</f>
        <v>1570706.551368</v>
      </c>
      <c r="H246" s="17">
        <f t="shared" si="141"/>
        <v>3212615.4380639996</v>
      </c>
      <c r="I246" s="10">
        <v>595947788.34689403</v>
      </c>
      <c r="J246" s="13">
        <f t="shared" si="142"/>
        <v>1.8966188099865711E-2</v>
      </c>
      <c r="K246" s="10">
        <f>634282.05*C250</f>
        <v>867839416.15356004</v>
      </c>
      <c r="L246" s="13">
        <f t="shared" si="148"/>
        <v>1.6421394204553692E-2</v>
      </c>
      <c r="M246" s="13">
        <f t="shared" si="149"/>
        <v>0.45623397405478949</v>
      </c>
      <c r="N246" s="20">
        <f t="shared" si="150"/>
        <v>1.8099046000119347E-3</v>
      </c>
      <c r="O246" s="21">
        <f t="shared" si="151"/>
        <v>3.701854719048095E-3</v>
      </c>
      <c r="P246" s="22">
        <f t="shared" si="152"/>
        <v>13633.543846450979</v>
      </c>
      <c r="Q246" s="22">
        <f t="shared" si="153"/>
        <v>50.469398625333667</v>
      </c>
      <c r="R246" s="10">
        <f>9.96*C250</f>
        <v>13627.503072</v>
      </c>
      <c r="S246" s="10">
        <f>9.96*C250</f>
        <v>13627.503072</v>
      </c>
      <c r="T246" s="10">
        <v>13</v>
      </c>
      <c r="U246" s="10">
        <v>43582.46</v>
      </c>
      <c r="V246" s="10">
        <v>63654.720000000001</v>
      </c>
    </row>
    <row r="247" spans="1:22" ht="15" customHeight="1">
      <c r="A247" s="147" t="s">
        <v>48</v>
      </c>
      <c r="B247" s="147"/>
      <c r="C247" s="147"/>
      <c r="D247" s="147"/>
      <c r="E247" s="147"/>
      <c r="F247" s="147"/>
      <c r="G247" s="147"/>
      <c r="H247" s="147"/>
      <c r="I247" s="36">
        <f>SUM(I241:I246)</f>
        <v>31421590105.979893</v>
      </c>
      <c r="J247" s="34">
        <f>(I247/$I$248)</f>
        <v>3.4180488603006739E-3</v>
      </c>
      <c r="K247" s="70">
        <f>SUM(K241:K246)</f>
        <v>52848095925.552177</v>
      </c>
      <c r="L247" s="34">
        <f>(K247/$K$248)</f>
        <v>5.5927481557088727E-3</v>
      </c>
      <c r="M247" s="55"/>
      <c r="N247" s="56"/>
      <c r="O247" s="56"/>
      <c r="P247" s="57"/>
      <c r="Q247" s="57"/>
      <c r="R247" s="36"/>
      <c r="S247" s="36"/>
      <c r="T247" s="36">
        <f>SUM(T241:T246)</f>
        <v>228</v>
      </c>
      <c r="U247" s="36"/>
      <c r="V247" s="36"/>
    </row>
    <row r="248" spans="1:22" ht="15.6" customHeight="1">
      <c r="A248" s="160" t="s">
        <v>177</v>
      </c>
      <c r="B248" s="160"/>
      <c r="C248" s="160"/>
      <c r="D248" s="160"/>
      <c r="E248" s="160"/>
      <c r="F248" s="160"/>
      <c r="G248" s="160"/>
      <c r="H248" s="160"/>
      <c r="I248" s="63">
        <f>I238+I247</f>
        <v>9192844043550.5781</v>
      </c>
      <c r="J248" s="62"/>
      <c r="K248" s="63">
        <f>K238+K247</f>
        <v>9449396692680.8203</v>
      </c>
      <c r="L248" s="62"/>
      <c r="M248" s="62"/>
      <c r="N248" s="62"/>
      <c r="O248" s="62"/>
      <c r="P248" s="62"/>
      <c r="Q248" s="62"/>
      <c r="R248" s="64"/>
      <c r="S248" s="64"/>
      <c r="T248" s="63">
        <f>T238+T247</f>
        <v>1435470</v>
      </c>
      <c r="U248" s="64"/>
      <c r="V248" s="64"/>
    </row>
    <row r="249" spans="1:22" ht="4.95" customHeight="1">
      <c r="A249" s="51"/>
      <c r="B249" s="51"/>
      <c r="C249" s="14"/>
      <c r="D249" s="6"/>
      <c r="E249" s="6"/>
      <c r="F249" s="6"/>
      <c r="G249" s="6"/>
      <c r="H249" s="7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>
      <c r="A250" s="91" t="s">
        <v>178</v>
      </c>
      <c r="B250" s="92" t="s">
        <v>330</v>
      </c>
      <c r="C250" s="54">
        <v>1368.2231999999999</v>
      </c>
      <c r="D250" s="71"/>
      <c r="E250" s="6"/>
      <c r="F250" s="6"/>
      <c r="G250" s="6"/>
      <c r="H250" s="7"/>
      <c r="I250" s="8"/>
      <c r="J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9"/>
    </row>
    <row r="253" spans="1:22">
      <c r="B253" s="94"/>
    </row>
    <row r="255" spans="1:22">
      <c r="B255" s="93"/>
    </row>
  </sheetData>
  <sheetProtection algorithmName="SHA-512" hashValue="2rPefXQKPxZP+BzugbtV3tfatmICG0qume9CJiT8Vv1gXxJzFFy9dvLkzQ3+28sCZPrqC/Plgvx122dAyqZDLg==" saltValue="41LYgdTIQ9WPuqYOfrvpIQ==" spinCount="100000" sheet="1" objects="1" scenarios="1"/>
  <mergeCells count="36">
    <mergeCell ref="A247:H247"/>
    <mergeCell ref="A248:H248"/>
    <mergeCell ref="A240:V240"/>
    <mergeCell ref="A1:V1"/>
    <mergeCell ref="A3:V3"/>
    <mergeCell ref="A4:V4"/>
    <mergeCell ref="A25:H25"/>
    <mergeCell ref="A26:V26"/>
    <mergeCell ref="A27:V27"/>
    <mergeCell ref="A76:H76"/>
    <mergeCell ref="A77:V77"/>
    <mergeCell ref="A78:V78"/>
    <mergeCell ref="A117:H117"/>
    <mergeCell ref="A118:V118"/>
    <mergeCell ref="A119:V119"/>
    <mergeCell ref="A120:V120"/>
    <mergeCell ref="A139:V139"/>
    <mergeCell ref="A140:V140"/>
    <mergeCell ref="A161:H161"/>
    <mergeCell ref="A162:V162"/>
    <mergeCell ref="A163:V163"/>
    <mergeCell ref="A170:H170"/>
    <mergeCell ref="A171:V171"/>
    <mergeCell ref="A172:V172"/>
    <mergeCell ref="A203:H203"/>
    <mergeCell ref="A204:V204"/>
    <mergeCell ref="A205:V205"/>
    <mergeCell ref="A209:H209"/>
    <mergeCell ref="A237:H237"/>
    <mergeCell ref="A238:H238"/>
    <mergeCell ref="A210:V210"/>
    <mergeCell ref="A211:V211"/>
    <mergeCell ref="A212:V212"/>
    <mergeCell ref="A215:V215"/>
    <mergeCell ref="A216:V216"/>
    <mergeCell ref="A232:V232"/>
  </mergeCells>
  <pageMargins left="0.7" right="0.7" top="0.75" bottom="0.75" header="0.3" footer="0.3"/>
  <pageSetup scale="83" orientation="portrait" r:id="rId1"/>
  <colBreaks count="1" manualBreakCount="1">
    <brk id="3" max="1048575" man="1"/>
  </colBreaks>
  <ignoredErrors>
    <ignoredError sqref="J25 J76 J117 J161 J170 J203 J209 J237 J24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J9" sqref="J9"/>
    </sheetView>
  </sheetViews>
  <sheetFormatPr defaultColWidth="9" defaultRowHeight="14.4"/>
  <cols>
    <col min="1" max="1" width="30.33203125" customWidth="1"/>
    <col min="2" max="2" width="9.33203125" customWidth="1"/>
    <col min="3" max="3" width="9.44140625" customWidth="1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82"/>
      <c r="B3" s="82"/>
      <c r="C3" s="82"/>
      <c r="D3" s="2"/>
      <c r="E3" s="2"/>
      <c r="F3" s="2"/>
      <c r="G3" s="2"/>
      <c r="H3" s="2"/>
    </row>
    <row r="4" spans="1:8" ht="33" customHeight="1">
      <c r="A4" s="97" t="s">
        <v>179</v>
      </c>
      <c r="B4" s="98" t="s">
        <v>335</v>
      </c>
      <c r="C4" s="98" t="s">
        <v>334</v>
      </c>
      <c r="D4" s="84"/>
      <c r="E4" s="2"/>
      <c r="F4" s="2"/>
      <c r="G4" s="2"/>
      <c r="H4" s="2"/>
    </row>
    <row r="5" spans="1:8" ht="19.2" customHeight="1">
      <c r="A5" s="99" t="s">
        <v>20</v>
      </c>
      <c r="B5" s="100">
        <f>[1]June!I25/1000000000</f>
        <v>262.04603652085001</v>
      </c>
      <c r="C5" s="100">
        <f>July!K25/1000000000</f>
        <v>241.38586553741001</v>
      </c>
      <c r="D5" s="84"/>
      <c r="E5" s="2"/>
      <c r="F5" s="2"/>
      <c r="G5" s="2"/>
      <c r="H5" s="2"/>
    </row>
    <row r="6" spans="1:8">
      <c r="A6" s="97" t="s">
        <v>49</v>
      </c>
      <c r="B6" s="100">
        <f>[1]June!I75/1000000000</f>
        <v>5836.1190802569317</v>
      </c>
      <c r="C6" s="100">
        <f>July!K76/1000000000</f>
        <v>6263.1142898272392</v>
      </c>
      <c r="D6" s="84"/>
      <c r="E6" s="2"/>
      <c r="F6" s="2"/>
      <c r="G6" s="2"/>
      <c r="H6" s="2"/>
    </row>
    <row r="7" spans="1:8">
      <c r="A7" s="97" t="s">
        <v>180</v>
      </c>
      <c r="B7" s="100">
        <f>[1]June!I116/1000000000</f>
        <v>233.72032571471999</v>
      </c>
      <c r="C7" s="100">
        <f>July!K117/1000000000</f>
        <v>232.74981180539999</v>
      </c>
      <c r="D7" s="84"/>
      <c r="E7" s="2"/>
      <c r="F7" s="2"/>
      <c r="G7" s="2"/>
      <c r="H7" s="2"/>
    </row>
    <row r="8" spans="1:8">
      <c r="A8" s="97" t="s">
        <v>181</v>
      </c>
      <c r="B8" s="100">
        <f>[1]June!I160/1000000000</f>
        <v>1841.4176133460965</v>
      </c>
      <c r="C8" s="100">
        <f>July!K161/1000000000</f>
        <v>1819.3970402694449</v>
      </c>
      <c r="D8" s="84"/>
      <c r="E8" s="2"/>
      <c r="F8" s="2"/>
      <c r="G8" s="2"/>
      <c r="H8" s="2"/>
    </row>
    <row r="9" spans="1:8">
      <c r="A9" s="97" t="s">
        <v>182</v>
      </c>
      <c r="B9" s="100">
        <f>[1]June!I169/1000000000</f>
        <v>527.75099154406996</v>
      </c>
      <c r="C9" s="100">
        <f>July!K170/1000000000</f>
        <v>519.10571993953999</v>
      </c>
      <c r="D9" s="84"/>
      <c r="E9" s="2"/>
      <c r="F9" s="2"/>
      <c r="G9" s="2"/>
      <c r="H9" s="2"/>
    </row>
    <row r="10" spans="1:8">
      <c r="A10" s="97" t="s">
        <v>142</v>
      </c>
      <c r="B10" s="100">
        <f>[1]June!I202/1000000000</f>
        <v>157.21304944591</v>
      </c>
      <c r="C10" s="100">
        <f>July!K203/1000000000</f>
        <v>155.82341934322869</v>
      </c>
      <c r="D10" s="84"/>
      <c r="E10" s="2"/>
      <c r="F10" s="2"/>
      <c r="G10" s="2"/>
      <c r="H10" s="2"/>
    </row>
    <row r="11" spans="1:8">
      <c r="A11" s="97" t="s">
        <v>163</v>
      </c>
      <c r="B11" s="100">
        <f>[1]June!I208/1000000000</f>
        <v>21.33055565894</v>
      </c>
      <c r="C11" s="100">
        <f>July!K209/1000000000</f>
        <v>19.720978131890003</v>
      </c>
      <c r="D11" s="84"/>
      <c r="E11" s="2"/>
      <c r="F11" s="2"/>
      <c r="G11" s="2"/>
      <c r="H11" s="2"/>
    </row>
    <row r="12" spans="1:8">
      <c r="A12" s="97" t="s">
        <v>183</v>
      </c>
      <c r="B12" s="100">
        <f>[1]June!I236/1000000000</f>
        <v>143.95374458200001</v>
      </c>
      <c r="C12" s="100">
        <f>July!K237/1000000000</f>
        <v>145.25147190111574</v>
      </c>
      <c r="D12" s="84"/>
      <c r="E12" s="2"/>
      <c r="F12" s="2"/>
      <c r="G12" s="2"/>
      <c r="H12" s="2"/>
    </row>
    <row r="13" spans="1:8">
      <c r="A13" s="101" t="s">
        <v>259</v>
      </c>
      <c r="B13" s="100">
        <f>[1]June!I246/1000000000</f>
        <v>31.096845296421385</v>
      </c>
      <c r="C13" s="100">
        <f>July!K247/1000000000</f>
        <v>52.84809592555218</v>
      </c>
      <c r="D13" s="84"/>
      <c r="E13" s="2"/>
      <c r="F13" s="2"/>
      <c r="G13" s="2"/>
      <c r="H13" s="2"/>
    </row>
    <row r="14" spans="1:8">
      <c r="A14" s="102"/>
      <c r="B14" s="102"/>
      <c r="C14" s="102"/>
      <c r="D14" s="84"/>
      <c r="E14" s="2"/>
      <c r="F14" s="2"/>
      <c r="G14" s="2"/>
      <c r="H14" s="2"/>
    </row>
    <row r="15" spans="1:8">
      <c r="A15" s="102"/>
      <c r="B15" s="102"/>
      <c r="C15" s="102"/>
      <c r="D15" s="84"/>
      <c r="E15" s="2"/>
      <c r="F15" s="2"/>
      <c r="G15" s="2"/>
      <c r="H15" s="2"/>
    </row>
    <row r="16" spans="1:8">
      <c r="A16" s="102"/>
      <c r="B16" s="103"/>
      <c r="C16" s="102"/>
      <c r="D16" s="84"/>
      <c r="E16" s="2"/>
      <c r="F16" s="2"/>
      <c r="G16" s="2"/>
      <c r="H16" s="2"/>
    </row>
    <row r="17" spans="1:8">
      <c r="A17" s="181"/>
      <c r="B17" s="182"/>
      <c r="C17" s="102"/>
      <c r="D17" s="84"/>
      <c r="E17" s="2"/>
      <c r="F17" s="2"/>
      <c r="G17" s="2"/>
      <c r="H17" s="2"/>
    </row>
    <row r="18" spans="1:8" ht="15.6">
      <c r="A18" s="61"/>
      <c r="B18" s="46"/>
      <c r="C18" s="2"/>
      <c r="D18" s="2"/>
      <c r="E18" s="2"/>
      <c r="F18" s="2"/>
      <c r="G18" s="2"/>
      <c r="H18" s="2"/>
    </row>
    <row r="19" spans="1:8">
      <c r="A19" s="47"/>
      <c r="B19" s="45"/>
      <c r="C19" s="2"/>
      <c r="D19" s="2"/>
      <c r="E19" s="2"/>
      <c r="F19" s="2"/>
      <c r="G19" s="2"/>
      <c r="H19" s="2"/>
    </row>
    <row r="20" spans="1:8">
      <c r="A20" s="47"/>
      <c r="B20" s="46"/>
      <c r="C20" s="2"/>
      <c r="D20" s="2"/>
      <c r="E20" s="2"/>
      <c r="F20" s="2"/>
      <c r="G20" s="2"/>
      <c r="H20" s="2"/>
    </row>
    <row r="21" spans="1:8">
      <c r="A21" s="47"/>
      <c r="B21" s="45"/>
      <c r="C21" s="2"/>
      <c r="D21" s="2"/>
      <c r="E21" s="2"/>
      <c r="F21" s="2"/>
      <c r="G21" s="2"/>
      <c r="H21" s="2"/>
    </row>
    <row r="22" spans="1:8">
      <c r="A22" s="47"/>
      <c r="B22" s="48"/>
      <c r="C22" s="2"/>
      <c r="D22" s="2"/>
      <c r="E22" s="2"/>
      <c r="F22" s="2"/>
      <c r="G22" s="2"/>
      <c r="H22" s="2"/>
    </row>
    <row r="23" spans="1:8">
      <c r="A23" s="47"/>
      <c r="B23" s="45"/>
      <c r="C23" s="2"/>
      <c r="D23" s="2"/>
      <c r="E23" s="2"/>
      <c r="F23" s="2"/>
      <c r="G23" s="2"/>
      <c r="H23" s="2"/>
    </row>
    <row r="24" spans="1:8">
      <c r="A24" s="47"/>
      <c r="B24" s="45"/>
      <c r="C24" s="2"/>
      <c r="D24" s="2"/>
      <c r="E24" s="2"/>
      <c r="F24" s="2"/>
      <c r="G24" s="2"/>
      <c r="H24" s="2"/>
    </row>
    <row r="25" spans="1:8">
      <c r="A25" s="47"/>
      <c r="B25" s="45"/>
      <c r="C25" s="2"/>
      <c r="D25" s="2"/>
      <c r="E25" s="2"/>
      <c r="F25" s="2"/>
      <c r="G25" s="2"/>
      <c r="H25" s="2"/>
    </row>
    <row r="26" spans="1:8">
      <c r="A26" s="47"/>
      <c r="B26" s="45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</sheetData>
  <sheetProtection algorithmName="SHA-512" hashValue="d1hTD56JbZEJOHSd9OK+GdKYmFW06m5J5bnW8t08FLZ14uBK+Xs/N6s+vuaJKg2D02Hya3r0+mIn9xzV+UCXmw==" saltValue="Z+0BnYeIZgK5cz7RTUBZbg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L12" sqref="L12"/>
    </sheetView>
  </sheetViews>
  <sheetFormatPr defaultColWidth="9" defaultRowHeight="14.4"/>
  <cols>
    <col min="1" max="1" width="26.6640625" customWidth="1"/>
    <col min="2" max="2" width="21.33203125" customWidth="1"/>
  </cols>
  <sheetData>
    <row r="1" spans="1:6">
      <c r="A1" s="104" t="s">
        <v>179</v>
      </c>
      <c r="B1" s="105" t="s">
        <v>333</v>
      </c>
      <c r="C1" s="84"/>
      <c r="D1" s="84"/>
      <c r="E1" s="2"/>
      <c r="F1" s="2"/>
    </row>
    <row r="2" spans="1:6">
      <c r="A2" s="104" t="s">
        <v>163</v>
      </c>
      <c r="B2" s="106">
        <f>July!K209</f>
        <v>19720978131.890003</v>
      </c>
      <c r="C2" s="84"/>
      <c r="D2" s="84"/>
      <c r="E2" s="2"/>
      <c r="F2" s="2"/>
    </row>
    <row r="3" spans="1:6">
      <c r="A3" s="104" t="s">
        <v>259</v>
      </c>
      <c r="B3" s="106">
        <f>July!K247</f>
        <v>52848095925.552177</v>
      </c>
      <c r="C3" s="84"/>
      <c r="D3" s="84"/>
      <c r="E3" s="2"/>
      <c r="F3" s="2"/>
    </row>
    <row r="4" spans="1:6">
      <c r="A4" s="104" t="s">
        <v>183</v>
      </c>
      <c r="B4" s="107">
        <f>July!K237</f>
        <v>145251471901.11572</v>
      </c>
      <c r="C4" s="84"/>
      <c r="D4" s="84"/>
      <c r="E4" s="2"/>
      <c r="F4" s="2"/>
    </row>
    <row r="5" spans="1:6">
      <c r="A5" s="104" t="s">
        <v>20</v>
      </c>
      <c r="B5" s="108">
        <f>July!K25</f>
        <v>241385865537.41</v>
      </c>
      <c r="C5" s="84"/>
      <c r="D5" s="84"/>
      <c r="E5" s="2"/>
      <c r="F5" s="2"/>
    </row>
    <row r="6" spans="1:6">
      <c r="A6" s="104" t="s">
        <v>142</v>
      </c>
      <c r="B6" s="108">
        <f>July!K203</f>
        <v>155823419343.2287</v>
      </c>
      <c r="C6" s="84"/>
      <c r="D6" s="84"/>
      <c r="E6" s="2"/>
      <c r="F6" s="2"/>
    </row>
    <row r="7" spans="1:6">
      <c r="A7" s="104" t="s">
        <v>180</v>
      </c>
      <c r="B7" s="109">
        <f>July!K117</f>
        <v>232749811805.39999</v>
      </c>
      <c r="C7" s="84"/>
      <c r="D7" s="84"/>
      <c r="E7" s="2"/>
      <c r="F7" s="2"/>
    </row>
    <row r="8" spans="1:6">
      <c r="A8" s="104" t="s">
        <v>182</v>
      </c>
      <c r="B8" s="109">
        <f>July!K170</f>
        <v>519105719939.53998</v>
      </c>
      <c r="C8" s="84"/>
      <c r="D8" s="84"/>
      <c r="E8" s="2"/>
      <c r="F8" s="2"/>
    </row>
    <row r="9" spans="1:6">
      <c r="A9" s="104" t="s">
        <v>181</v>
      </c>
      <c r="B9" s="108">
        <f>July!K161</f>
        <v>1819397040269.4448</v>
      </c>
      <c r="C9" s="84"/>
      <c r="D9" s="84"/>
      <c r="E9" s="2"/>
      <c r="F9" s="2"/>
    </row>
    <row r="10" spans="1:6">
      <c r="A10" s="104" t="s">
        <v>49</v>
      </c>
      <c r="B10" s="108">
        <f>July!K76</f>
        <v>6263114289827.2393</v>
      </c>
      <c r="C10" s="84"/>
      <c r="D10" s="84"/>
      <c r="E10" s="2"/>
      <c r="F10" s="2"/>
    </row>
    <row r="11" spans="1:6">
      <c r="A11" s="84"/>
      <c r="B11" s="84"/>
      <c r="C11" s="84"/>
      <c r="D11" s="84"/>
      <c r="E11" s="2"/>
      <c r="F11" s="2"/>
    </row>
    <row r="12" spans="1:6">
      <c r="A12" s="89"/>
      <c r="B12" s="84"/>
      <c r="C12" s="84"/>
      <c r="D12" s="84"/>
      <c r="E12" s="2"/>
      <c r="F12" s="2"/>
    </row>
    <row r="13" spans="1:6">
      <c r="A13" s="110"/>
      <c r="B13" s="84"/>
      <c r="C13" s="84"/>
      <c r="D13" s="84"/>
      <c r="E13" s="2"/>
      <c r="F13" s="2"/>
    </row>
    <row r="14" spans="1:6" ht="15" customHeight="1">
      <c r="A14" s="84"/>
      <c r="B14" s="111"/>
      <c r="C14" s="84"/>
      <c r="D14" s="84"/>
      <c r="E14" s="2"/>
      <c r="F14" s="2"/>
    </row>
    <row r="15" spans="1:6">
      <c r="A15" s="84"/>
      <c r="B15" s="111"/>
      <c r="C15" s="84"/>
      <c r="D15" s="84"/>
      <c r="E15" s="2"/>
      <c r="F15" s="2"/>
    </row>
    <row r="16" spans="1:6">
      <c r="A16" s="177"/>
      <c r="B16" s="176"/>
      <c r="C16" s="2"/>
      <c r="D16" s="2"/>
      <c r="E16" s="2"/>
      <c r="F16" s="2"/>
    </row>
    <row r="17" spans="1:6">
      <c r="A17" s="178"/>
      <c r="B17" s="176"/>
      <c r="C17" s="2"/>
      <c r="D17" s="2"/>
      <c r="E17" s="2"/>
      <c r="F17" s="2"/>
    </row>
    <row r="18" spans="1:6">
      <c r="A18" s="178"/>
      <c r="B18" s="176"/>
      <c r="C18" s="2"/>
      <c r="D18" s="2"/>
      <c r="E18" s="2"/>
      <c r="F18" s="2"/>
    </row>
    <row r="19" spans="1:6">
      <c r="A19" s="177"/>
      <c r="B19" s="176"/>
      <c r="C19" s="2"/>
      <c r="D19" s="2"/>
      <c r="E19" s="2"/>
      <c r="F19" s="2"/>
    </row>
    <row r="20" spans="1:6">
      <c r="A20" s="179"/>
      <c r="B20" s="176"/>
      <c r="C20" s="2"/>
      <c r="D20" s="2"/>
      <c r="E20" s="2"/>
      <c r="F20" s="2"/>
    </row>
    <row r="21" spans="1:6">
      <c r="A21" s="180"/>
      <c r="B21" s="176"/>
      <c r="C21" s="2"/>
      <c r="D21" s="2"/>
      <c r="E21" s="2"/>
      <c r="F21" s="2"/>
    </row>
    <row r="22" spans="1:6">
      <c r="A22" s="47"/>
      <c r="B22" s="46"/>
      <c r="C22" s="2"/>
      <c r="D22" s="2"/>
      <c r="E22" s="2"/>
      <c r="F22" s="2"/>
    </row>
    <row r="23" spans="1:6">
      <c r="A23" s="2"/>
      <c r="B23" s="46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3" spans="1:17" ht="16.2" customHeight="1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"/>
    </row>
    <row r="34" spans="1:17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"/>
    </row>
  </sheetData>
  <sheetProtection algorithmName="SHA-512" hashValue="md3trnKYuIHMkavb4suL+7peDFfAe0KDd+XFUt15oZFthk7iODXDx37DJd4PzpV4QcVMvf5OnlhYN+/SvGeG/g==" saltValue="sAq9T04IG740++qVM5u3aA==" spinCount="100000" sheet="1" objects="1" scenarios="1"/>
  <sortState ref="A13:A19">
    <sortCondition ref="A12:A19"/>
  </sortState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G8" sqref="G8"/>
    </sheetView>
  </sheetViews>
  <sheetFormatPr defaultColWidth="9" defaultRowHeight="14.4"/>
  <cols>
    <col min="1" max="1" width="34.6640625" customWidth="1"/>
    <col min="2" max="2" width="15" customWidth="1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84"/>
      <c r="B3" s="84"/>
      <c r="C3" s="84"/>
      <c r="D3" s="2"/>
      <c r="E3" s="2"/>
      <c r="F3" s="2"/>
      <c r="G3" s="2"/>
      <c r="H3" s="2"/>
    </row>
    <row r="4" spans="1:8">
      <c r="A4" s="84"/>
      <c r="B4" s="84"/>
      <c r="C4" s="84"/>
      <c r="D4" s="2"/>
      <c r="E4" s="2"/>
      <c r="F4" s="2"/>
      <c r="G4" s="2"/>
      <c r="H4" s="2"/>
    </row>
    <row r="5" spans="1:8" ht="15.6">
      <c r="A5" s="85" t="s">
        <v>179</v>
      </c>
      <c r="B5" s="86" t="s">
        <v>184</v>
      </c>
      <c r="C5" s="84"/>
      <c r="D5" s="2"/>
      <c r="E5" s="2"/>
      <c r="F5" s="2"/>
      <c r="G5" s="2"/>
      <c r="H5" s="2"/>
    </row>
    <row r="6" spans="1:8">
      <c r="A6" s="87" t="s">
        <v>20</v>
      </c>
      <c r="B6" s="88">
        <f>July!T25</f>
        <v>108429</v>
      </c>
      <c r="C6" s="84"/>
      <c r="D6" s="2"/>
      <c r="E6" s="2"/>
      <c r="F6" s="2"/>
      <c r="G6" s="2"/>
      <c r="H6" s="2"/>
    </row>
    <row r="7" spans="1:8">
      <c r="A7" s="87" t="s">
        <v>49</v>
      </c>
      <c r="B7" s="88">
        <f>July!T76</f>
        <v>816437</v>
      </c>
      <c r="C7" s="84"/>
      <c r="D7" s="2"/>
      <c r="E7" s="2"/>
      <c r="F7" s="2"/>
      <c r="G7" s="2"/>
      <c r="H7" s="2"/>
    </row>
    <row r="8" spans="1:8">
      <c r="A8" s="87" t="s">
        <v>180</v>
      </c>
      <c r="B8" s="88">
        <f>July!T117</f>
        <v>67113</v>
      </c>
      <c r="C8" s="84"/>
      <c r="D8" s="2"/>
      <c r="E8" s="2"/>
      <c r="F8" s="2"/>
      <c r="G8" s="2"/>
      <c r="H8" s="2"/>
    </row>
    <row r="9" spans="1:8">
      <c r="A9" s="87" t="s">
        <v>181</v>
      </c>
      <c r="B9" s="88">
        <f>July!T161</f>
        <v>30493</v>
      </c>
      <c r="C9" s="84"/>
      <c r="D9" s="2"/>
      <c r="E9" s="2"/>
      <c r="F9" s="2"/>
      <c r="G9" s="2"/>
      <c r="H9" s="2"/>
    </row>
    <row r="10" spans="1:8">
      <c r="A10" s="87" t="s">
        <v>182</v>
      </c>
      <c r="B10" s="88">
        <f>July!T170</f>
        <v>231862</v>
      </c>
      <c r="C10" s="84"/>
      <c r="D10" s="2"/>
      <c r="E10" s="2"/>
      <c r="F10" s="2"/>
      <c r="G10" s="2"/>
      <c r="H10" s="2"/>
    </row>
    <row r="11" spans="1:8">
      <c r="A11" s="87" t="s">
        <v>142</v>
      </c>
      <c r="B11" s="88">
        <f>July!T203</f>
        <v>102060</v>
      </c>
      <c r="C11" s="84"/>
      <c r="D11" s="2"/>
      <c r="E11" s="2"/>
      <c r="F11" s="2"/>
      <c r="G11" s="2"/>
      <c r="H11" s="2"/>
    </row>
    <row r="12" spans="1:8">
      <c r="A12" s="87" t="s">
        <v>163</v>
      </c>
      <c r="B12" s="88">
        <f>July!T209</f>
        <v>19255</v>
      </c>
      <c r="C12" s="84"/>
      <c r="D12" s="2"/>
      <c r="E12" s="2"/>
      <c r="F12" s="2"/>
      <c r="G12" s="2"/>
      <c r="H12" s="2"/>
    </row>
    <row r="13" spans="1:8">
      <c r="A13" s="87" t="s">
        <v>183</v>
      </c>
      <c r="B13" s="88">
        <f>July!T237</f>
        <v>59593</v>
      </c>
      <c r="C13" s="84"/>
      <c r="D13" s="2"/>
      <c r="E13" s="2"/>
      <c r="F13" s="2"/>
      <c r="G13" s="2"/>
      <c r="H13" s="2"/>
    </row>
    <row r="14" spans="1:8">
      <c r="A14" s="89" t="s">
        <v>259</v>
      </c>
      <c r="B14" s="90">
        <f>July!T247</f>
        <v>228</v>
      </c>
      <c r="C14" s="84"/>
      <c r="D14" s="2"/>
      <c r="E14" s="2"/>
      <c r="F14" s="2"/>
      <c r="G14" s="2"/>
      <c r="H14" s="2"/>
    </row>
    <row r="15" spans="1:8">
      <c r="A15" s="84"/>
      <c r="B15" s="84"/>
      <c r="C15" s="84"/>
      <c r="D15" s="2"/>
      <c r="E15" s="2"/>
      <c r="F15" s="2"/>
      <c r="G15" s="2"/>
      <c r="H15" s="2"/>
    </row>
    <row r="16" spans="1:8">
      <c r="A16" s="84"/>
      <c r="B16" s="84"/>
      <c r="C16" s="84"/>
      <c r="D16" s="2"/>
      <c r="E16" s="2"/>
      <c r="F16" s="2"/>
      <c r="G16" s="2"/>
      <c r="H16" s="2"/>
    </row>
    <row r="17" spans="1:8">
      <c r="A17" s="84"/>
      <c r="B17" s="84"/>
      <c r="C17" s="84"/>
      <c r="D17" s="2"/>
      <c r="E17" s="2"/>
      <c r="F17" s="2"/>
      <c r="G17" s="2"/>
      <c r="H17" s="2"/>
    </row>
    <row r="18" spans="1:8">
      <c r="A18" s="84"/>
      <c r="B18" s="84"/>
      <c r="C18" s="84"/>
      <c r="D18" s="2"/>
      <c r="E18" s="2"/>
      <c r="F18" s="2"/>
      <c r="G18" s="2"/>
      <c r="H18" s="2"/>
    </row>
    <row r="19" spans="1:8">
      <c r="A19" s="84"/>
      <c r="B19" s="84"/>
      <c r="C19" s="84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</sheetData>
  <sheetProtection algorithmName="SHA-512" hashValue="KK189g96ywf50Czg07Lbt+o0Kuhz4LJvfnm4W8Yq2c5J+tlLT0kFt+oWbNS1qeebkRYhxi/p6yyS3PvdKH7svg==" saltValue="77Gz2mS3fB8P/sXnETHqp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July</vt:lpstr>
      <vt:lpstr>NAV Comparison</vt:lpstr>
      <vt:lpstr>Market Share</vt:lpstr>
      <vt:lpstr>Unitholders</vt:lpstr>
      <vt:lpstr>July!_Hlk34300669</vt:lpstr>
      <vt:lpstr>FX_RATE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RV;Mohammed N. Abdulaziz</dc:creator>
  <cp:lastModifiedBy>Isaac, Tunde</cp:lastModifiedBy>
  <cp:lastPrinted>2025-09-10T13:51:24Z</cp:lastPrinted>
  <dcterms:created xsi:type="dcterms:W3CDTF">2023-10-09T09:40:00Z</dcterms:created>
  <dcterms:modified xsi:type="dcterms:W3CDTF">2026-10-08T21:59:15Z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054E73640F5C4E6A998570FE791E2000_13</vt:lpwstr>
  </property>
  <property fmtid="{D5CDD505-2E9C-101B-9397-08002B2CF9AE}" pid="3" name="KSOProductBuildVer">
    <vt:lpwstr>1033-12.2.0.13266</vt:lpwstr>
  </property>
</Properties>
</file>