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isaac\Desktop\Monthly Mutual Fund Update 2026\"/>
    </mc:Choice>
  </mc:AlternateContent>
  <bookViews>
    <workbookView xWindow="0" yWindow="0" windowWidth="28800" windowHeight="11256"/>
  </bookViews>
  <sheets>
    <sheet name="August" sheetId="7" r:id="rId1"/>
    <sheet name="NAV Comparison" sheetId="2" r:id="rId2"/>
    <sheet name="Market Share" sheetId="3" r:id="rId3"/>
    <sheet name="Unitholders" sheetId="6" r:id="rId4"/>
  </sheets>
  <definedNames>
    <definedName name="_xlnm._FilterDatabase" localSheetId="0" hidden="1">August!$A$1:$X$256</definedName>
    <definedName name="_Hlk34300669" localSheetId="0">August!$K$70</definedName>
    <definedName name="Component">"Group"</definedName>
    <definedName name="FX_RATE">August!$C$251</definedName>
    <definedName name="pbCountingPages">FALSE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5" i="7" l="1"/>
  <c r="M245" i="7"/>
  <c r="N245" i="7"/>
  <c r="O245" i="7"/>
  <c r="P245" i="7"/>
  <c r="Q245" i="7"/>
  <c r="H245" i="7"/>
  <c r="D245" i="7"/>
  <c r="K148" i="7"/>
  <c r="M242" i="7"/>
  <c r="N242" i="7"/>
  <c r="O242" i="7"/>
  <c r="P242" i="7"/>
  <c r="Q242" i="7"/>
  <c r="M243" i="7"/>
  <c r="N243" i="7"/>
  <c r="O243" i="7"/>
  <c r="P243" i="7"/>
  <c r="Q243" i="7"/>
  <c r="M244" i="7"/>
  <c r="N244" i="7"/>
  <c r="O244" i="7"/>
  <c r="P244" i="7"/>
  <c r="Q244" i="7"/>
  <c r="M246" i="7"/>
  <c r="N246" i="7"/>
  <c r="O246" i="7"/>
  <c r="P246" i="7"/>
  <c r="Q246" i="7"/>
  <c r="M247" i="7"/>
  <c r="N247" i="7"/>
  <c r="O247" i="7"/>
  <c r="P247" i="7"/>
  <c r="Q247" i="7"/>
  <c r="L234" i="7"/>
  <c r="M234" i="7"/>
  <c r="N234" i="7"/>
  <c r="O234" i="7"/>
  <c r="P234" i="7"/>
  <c r="Q234" i="7"/>
  <c r="L235" i="7"/>
  <c r="M235" i="7"/>
  <c r="N235" i="7"/>
  <c r="O235" i="7"/>
  <c r="P235" i="7"/>
  <c r="Q235" i="7"/>
  <c r="L236" i="7"/>
  <c r="M236" i="7"/>
  <c r="N236" i="7"/>
  <c r="O236" i="7"/>
  <c r="P236" i="7"/>
  <c r="Q236" i="7"/>
  <c r="J234" i="7"/>
  <c r="J235" i="7"/>
  <c r="J236" i="7"/>
  <c r="L218" i="7"/>
  <c r="M218" i="7"/>
  <c r="N218" i="7"/>
  <c r="O218" i="7"/>
  <c r="P218" i="7"/>
  <c r="Q218" i="7"/>
  <c r="L219" i="7"/>
  <c r="M219" i="7"/>
  <c r="N219" i="7"/>
  <c r="O219" i="7"/>
  <c r="P219" i="7"/>
  <c r="Q219" i="7"/>
  <c r="L220" i="7"/>
  <c r="M220" i="7"/>
  <c r="N220" i="7"/>
  <c r="O220" i="7"/>
  <c r="P220" i="7"/>
  <c r="Q220" i="7"/>
  <c r="L221" i="7"/>
  <c r="M221" i="7"/>
  <c r="N221" i="7"/>
  <c r="O221" i="7"/>
  <c r="P221" i="7"/>
  <c r="Q221" i="7"/>
  <c r="L222" i="7"/>
  <c r="M222" i="7"/>
  <c r="N222" i="7"/>
  <c r="O222" i="7"/>
  <c r="P222" i="7"/>
  <c r="Q222" i="7"/>
  <c r="L223" i="7"/>
  <c r="M223" i="7"/>
  <c r="N223" i="7"/>
  <c r="O223" i="7"/>
  <c r="P223" i="7"/>
  <c r="Q223" i="7"/>
  <c r="L224" i="7"/>
  <c r="M224" i="7"/>
  <c r="N224" i="7"/>
  <c r="O224" i="7"/>
  <c r="P224" i="7"/>
  <c r="Q224" i="7"/>
  <c r="L225" i="7"/>
  <c r="M225" i="7"/>
  <c r="N225" i="7"/>
  <c r="O225" i="7"/>
  <c r="P225" i="7"/>
  <c r="Q225" i="7"/>
  <c r="L226" i="7"/>
  <c r="M226" i="7"/>
  <c r="N226" i="7"/>
  <c r="O226" i="7"/>
  <c r="P226" i="7"/>
  <c r="Q226" i="7"/>
  <c r="L227" i="7"/>
  <c r="M227" i="7"/>
  <c r="N227" i="7"/>
  <c r="O227" i="7"/>
  <c r="P227" i="7"/>
  <c r="Q227" i="7"/>
  <c r="L228" i="7"/>
  <c r="M228" i="7"/>
  <c r="N228" i="7"/>
  <c r="O228" i="7"/>
  <c r="P228" i="7"/>
  <c r="Q228" i="7"/>
  <c r="L229" i="7"/>
  <c r="M229" i="7"/>
  <c r="N229" i="7"/>
  <c r="O229" i="7"/>
  <c r="P229" i="7"/>
  <c r="Q229" i="7"/>
  <c r="L230" i="7"/>
  <c r="M230" i="7"/>
  <c r="N230" i="7"/>
  <c r="O230" i="7"/>
  <c r="P230" i="7"/>
  <c r="Q230" i="7"/>
  <c r="J218" i="7"/>
  <c r="J219" i="7"/>
  <c r="J220" i="7"/>
  <c r="J221" i="7"/>
  <c r="J222" i="7"/>
  <c r="J223" i="7"/>
  <c r="J224" i="7"/>
  <c r="J225" i="7"/>
  <c r="J226" i="7"/>
  <c r="J227" i="7"/>
  <c r="J228" i="7"/>
  <c r="J229" i="7"/>
  <c r="J230" i="7"/>
  <c r="L214" i="7"/>
  <c r="M214" i="7"/>
  <c r="N214" i="7"/>
  <c r="O214" i="7"/>
  <c r="P214" i="7"/>
  <c r="Q214" i="7"/>
  <c r="J214" i="7"/>
  <c r="L207" i="7"/>
  <c r="M207" i="7"/>
  <c r="N207" i="7"/>
  <c r="O207" i="7"/>
  <c r="P207" i="7"/>
  <c r="Q207" i="7"/>
  <c r="L208" i="7"/>
  <c r="M208" i="7"/>
  <c r="N208" i="7"/>
  <c r="O208" i="7"/>
  <c r="P208" i="7"/>
  <c r="Q208" i="7"/>
  <c r="J207" i="7"/>
  <c r="J208" i="7"/>
  <c r="L174" i="7"/>
  <c r="M174" i="7"/>
  <c r="N174" i="7"/>
  <c r="O174" i="7"/>
  <c r="P174" i="7"/>
  <c r="Q174" i="7"/>
  <c r="L175" i="7"/>
  <c r="M175" i="7"/>
  <c r="N175" i="7"/>
  <c r="O175" i="7"/>
  <c r="P175" i="7"/>
  <c r="Q175" i="7"/>
  <c r="L176" i="7"/>
  <c r="M176" i="7"/>
  <c r="N176" i="7"/>
  <c r="O176" i="7"/>
  <c r="P176" i="7"/>
  <c r="Q176" i="7"/>
  <c r="L177" i="7"/>
  <c r="M177" i="7"/>
  <c r="N177" i="7"/>
  <c r="O177" i="7"/>
  <c r="P177" i="7"/>
  <c r="Q177" i="7"/>
  <c r="L178" i="7"/>
  <c r="M178" i="7"/>
  <c r="N178" i="7"/>
  <c r="O178" i="7"/>
  <c r="P178" i="7"/>
  <c r="Q178" i="7"/>
  <c r="L179" i="7"/>
  <c r="M179" i="7"/>
  <c r="N179" i="7"/>
  <c r="O179" i="7"/>
  <c r="P179" i="7"/>
  <c r="Q179" i="7"/>
  <c r="L180" i="7"/>
  <c r="M180" i="7"/>
  <c r="N180" i="7"/>
  <c r="O180" i="7"/>
  <c r="P180" i="7"/>
  <c r="Q180" i="7"/>
  <c r="L181" i="7"/>
  <c r="M181" i="7"/>
  <c r="N181" i="7"/>
  <c r="O181" i="7"/>
  <c r="P181" i="7"/>
  <c r="Q181" i="7"/>
  <c r="L182" i="7"/>
  <c r="M182" i="7"/>
  <c r="N182" i="7"/>
  <c r="O182" i="7"/>
  <c r="P182" i="7"/>
  <c r="Q182" i="7"/>
  <c r="L183" i="7"/>
  <c r="M183" i="7"/>
  <c r="N183" i="7"/>
  <c r="O183" i="7"/>
  <c r="P183" i="7"/>
  <c r="Q183" i="7"/>
  <c r="L184" i="7"/>
  <c r="M184" i="7"/>
  <c r="N184" i="7"/>
  <c r="O184" i="7"/>
  <c r="P184" i="7"/>
  <c r="Q184" i="7"/>
  <c r="L185" i="7"/>
  <c r="M185" i="7"/>
  <c r="N185" i="7"/>
  <c r="O185" i="7"/>
  <c r="P185" i="7"/>
  <c r="Q185" i="7"/>
  <c r="L186" i="7"/>
  <c r="M186" i="7"/>
  <c r="N186" i="7"/>
  <c r="O186" i="7"/>
  <c r="P186" i="7"/>
  <c r="Q186" i="7"/>
  <c r="L187" i="7"/>
  <c r="M187" i="7"/>
  <c r="N187" i="7"/>
  <c r="O187" i="7"/>
  <c r="P187" i="7"/>
  <c r="Q187" i="7"/>
  <c r="L188" i="7"/>
  <c r="M188" i="7"/>
  <c r="N188" i="7"/>
  <c r="O188" i="7"/>
  <c r="P188" i="7"/>
  <c r="Q188" i="7"/>
  <c r="L189" i="7"/>
  <c r="M189" i="7"/>
  <c r="N189" i="7"/>
  <c r="O189" i="7"/>
  <c r="P189" i="7"/>
  <c r="Q189" i="7"/>
  <c r="L190" i="7"/>
  <c r="M190" i="7"/>
  <c r="N190" i="7"/>
  <c r="O190" i="7"/>
  <c r="P190" i="7"/>
  <c r="Q190" i="7"/>
  <c r="L191" i="7"/>
  <c r="M191" i="7"/>
  <c r="N191" i="7"/>
  <c r="O191" i="7"/>
  <c r="P191" i="7"/>
  <c r="Q191" i="7"/>
  <c r="L192" i="7"/>
  <c r="M192" i="7"/>
  <c r="N192" i="7"/>
  <c r="O192" i="7"/>
  <c r="P192" i="7"/>
  <c r="Q192" i="7"/>
  <c r="L193" i="7"/>
  <c r="M193" i="7"/>
  <c r="N193" i="7"/>
  <c r="O193" i="7"/>
  <c r="P193" i="7"/>
  <c r="Q193" i="7"/>
  <c r="L194" i="7"/>
  <c r="M194" i="7"/>
  <c r="N194" i="7"/>
  <c r="O194" i="7"/>
  <c r="P194" i="7"/>
  <c r="Q194" i="7"/>
  <c r="L195" i="7"/>
  <c r="M195" i="7"/>
  <c r="N195" i="7"/>
  <c r="O195" i="7"/>
  <c r="P195" i="7"/>
  <c r="Q195" i="7"/>
  <c r="L196" i="7"/>
  <c r="M196" i="7"/>
  <c r="N196" i="7"/>
  <c r="O196" i="7"/>
  <c r="P196" i="7"/>
  <c r="Q196" i="7"/>
  <c r="L197" i="7"/>
  <c r="M197" i="7"/>
  <c r="N197" i="7"/>
  <c r="O197" i="7"/>
  <c r="P197" i="7"/>
  <c r="Q197" i="7"/>
  <c r="L198" i="7"/>
  <c r="M198" i="7"/>
  <c r="N198" i="7"/>
  <c r="O198" i="7"/>
  <c r="P198" i="7"/>
  <c r="Q198" i="7"/>
  <c r="L199" i="7"/>
  <c r="M199" i="7"/>
  <c r="N199" i="7"/>
  <c r="O199" i="7"/>
  <c r="P199" i="7"/>
  <c r="Q199" i="7"/>
  <c r="L200" i="7"/>
  <c r="M200" i="7"/>
  <c r="N200" i="7"/>
  <c r="O200" i="7"/>
  <c r="P200" i="7"/>
  <c r="Q200" i="7"/>
  <c r="L201" i="7"/>
  <c r="M201" i="7"/>
  <c r="N201" i="7"/>
  <c r="O201" i="7"/>
  <c r="P201" i="7"/>
  <c r="Q201" i="7"/>
  <c r="L202" i="7"/>
  <c r="M202" i="7"/>
  <c r="N202" i="7"/>
  <c r="O202" i="7"/>
  <c r="P202" i="7"/>
  <c r="Q202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194" i="7"/>
  <c r="J195" i="7"/>
  <c r="J196" i="7"/>
  <c r="J197" i="7"/>
  <c r="J198" i="7"/>
  <c r="J199" i="7"/>
  <c r="J200" i="7"/>
  <c r="J201" i="7"/>
  <c r="J202" i="7"/>
  <c r="L165" i="7"/>
  <c r="M165" i="7"/>
  <c r="N165" i="7"/>
  <c r="O165" i="7"/>
  <c r="P165" i="7"/>
  <c r="Q165" i="7"/>
  <c r="L166" i="7"/>
  <c r="M166" i="7"/>
  <c r="N166" i="7"/>
  <c r="O166" i="7"/>
  <c r="P166" i="7"/>
  <c r="Q166" i="7"/>
  <c r="L167" i="7"/>
  <c r="M167" i="7"/>
  <c r="N167" i="7"/>
  <c r="O167" i="7"/>
  <c r="P167" i="7"/>
  <c r="Q167" i="7"/>
  <c r="L168" i="7"/>
  <c r="M168" i="7"/>
  <c r="N168" i="7"/>
  <c r="O168" i="7"/>
  <c r="P168" i="7"/>
  <c r="Q168" i="7"/>
  <c r="L169" i="7"/>
  <c r="M169" i="7"/>
  <c r="N169" i="7"/>
  <c r="O169" i="7"/>
  <c r="P169" i="7"/>
  <c r="Q169" i="7"/>
  <c r="J165" i="7"/>
  <c r="J166" i="7"/>
  <c r="J167" i="7"/>
  <c r="J168" i="7"/>
  <c r="J169" i="7"/>
  <c r="M142" i="7"/>
  <c r="N142" i="7"/>
  <c r="O142" i="7"/>
  <c r="P142" i="7"/>
  <c r="Q142" i="7"/>
  <c r="M143" i="7"/>
  <c r="N143" i="7"/>
  <c r="O143" i="7"/>
  <c r="P143" i="7"/>
  <c r="Q143" i="7"/>
  <c r="M144" i="7"/>
  <c r="N144" i="7"/>
  <c r="O144" i="7"/>
  <c r="P144" i="7"/>
  <c r="Q144" i="7"/>
  <c r="M145" i="7"/>
  <c r="N145" i="7"/>
  <c r="O145" i="7"/>
  <c r="P145" i="7"/>
  <c r="Q145" i="7"/>
  <c r="M146" i="7"/>
  <c r="N146" i="7"/>
  <c r="O146" i="7"/>
  <c r="P146" i="7"/>
  <c r="Q146" i="7"/>
  <c r="M147" i="7"/>
  <c r="N147" i="7"/>
  <c r="O147" i="7"/>
  <c r="P147" i="7"/>
  <c r="Q147" i="7"/>
  <c r="M148" i="7"/>
  <c r="N148" i="7"/>
  <c r="O148" i="7"/>
  <c r="P148" i="7"/>
  <c r="Q148" i="7"/>
  <c r="M149" i="7"/>
  <c r="N149" i="7"/>
  <c r="O149" i="7"/>
  <c r="P149" i="7"/>
  <c r="Q149" i="7"/>
  <c r="M150" i="7"/>
  <c r="N150" i="7"/>
  <c r="O150" i="7"/>
  <c r="P150" i="7"/>
  <c r="Q150" i="7"/>
  <c r="M151" i="7"/>
  <c r="N151" i="7"/>
  <c r="O151" i="7"/>
  <c r="P151" i="7"/>
  <c r="Q151" i="7"/>
  <c r="M152" i="7"/>
  <c r="N152" i="7"/>
  <c r="O152" i="7"/>
  <c r="P152" i="7"/>
  <c r="Q152" i="7"/>
  <c r="M153" i="7"/>
  <c r="N153" i="7"/>
  <c r="O153" i="7"/>
  <c r="P153" i="7"/>
  <c r="Q153" i="7"/>
  <c r="M154" i="7"/>
  <c r="N154" i="7"/>
  <c r="O154" i="7"/>
  <c r="P154" i="7"/>
  <c r="Q154" i="7"/>
  <c r="M155" i="7"/>
  <c r="N155" i="7"/>
  <c r="O155" i="7"/>
  <c r="P155" i="7"/>
  <c r="Q155" i="7"/>
  <c r="M156" i="7"/>
  <c r="N156" i="7"/>
  <c r="O156" i="7"/>
  <c r="P156" i="7"/>
  <c r="Q156" i="7"/>
  <c r="M157" i="7"/>
  <c r="N157" i="7"/>
  <c r="O157" i="7"/>
  <c r="P157" i="7"/>
  <c r="Q157" i="7"/>
  <c r="M158" i="7"/>
  <c r="N158" i="7"/>
  <c r="O158" i="7"/>
  <c r="P158" i="7"/>
  <c r="Q158" i="7"/>
  <c r="M159" i="7"/>
  <c r="N159" i="7"/>
  <c r="O159" i="7"/>
  <c r="P159" i="7"/>
  <c r="Q159" i="7"/>
  <c r="M160" i="7"/>
  <c r="N160" i="7"/>
  <c r="O160" i="7"/>
  <c r="P160" i="7"/>
  <c r="Q160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M122" i="7"/>
  <c r="N122" i="7"/>
  <c r="O122" i="7"/>
  <c r="P122" i="7"/>
  <c r="Q122" i="7"/>
  <c r="M123" i="7"/>
  <c r="N123" i="7"/>
  <c r="O123" i="7"/>
  <c r="P123" i="7"/>
  <c r="Q123" i="7"/>
  <c r="M124" i="7"/>
  <c r="N124" i="7"/>
  <c r="O124" i="7"/>
  <c r="P124" i="7"/>
  <c r="Q124" i="7"/>
  <c r="M125" i="7"/>
  <c r="N125" i="7"/>
  <c r="O125" i="7"/>
  <c r="P125" i="7"/>
  <c r="Q125" i="7"/>
  <c r="M126" i="7"/>
  <c r="N126" i="7"/>
  <c r="O126" i="7"/>
  <c r="P126" i="7"/>
  <c r="Q126" i="7"/>
  <c r="M127" i="7"/>
  <c r="N127" i="7"/>
  <c r="O127" i="7"/>
  <c r="P127" i="7"/>
  <c r="Q127" i="7"/>
  <c r="M128" i="7"/>
  <c r="N128" i="7"/>
  <c r="O128" i="7"/>
  <c r="P128" i="7"/>
  <c r="Q128" i="7"/>
  <c r="M129" i="7"/>
  <c r="N129" i="7"/>
  <c r="O129" i="7"/>
  <c r="P129" i="7"/>
  <c r="Q129" i="7"/>
  <c r="M130" i="7"/>
  <c r="N130" i="7"/>
  <c r="O130" i="7"/>
  <c r="P130" i="7"/>
  <c r="Q130" i="7"/>
  <c r="M131" i="7"/>
  <c r="N131" i="7"/>
  <c r="O131" i="7"/>
  <c r="P131" i="7"/>
  <c r="Q131" i="7"/>
  <c r="M132" i="7"/>
  <c r="N132" i="7"/>
  <c r="O132" i="7"/>
  <c r="P132" i="7"/>
  <c r="Q132" i="7"/>
  <c r="M133" i="7"/>
  <c r="N133" i="7"/>
  <c r="O133" i="7"/>
  <c r="P133" i="7"/>
  <c r="Q133" i="7"/>
  <c r="M134" i="7"/>
  <c r="N134" i="7"/>
  <c r="O134" i="7"/>
  <c r="P134" i="7"/>
  <c r="Q134" i="7"/>
  <c r="M135" i="7"/>
  <c r="N135" i="7"/>
  <c r="O135" i="7"/>
  <c r="P135" i="7"/>
  <c r="Q135" i="7"/>
  <c r="M136" i="7"/>
  <c r="N136" i="7"/>
  <c r="O136" i="7"/>
  <c r="P136" i="7"/>
  <c r="Q136" i="7"/>
  <c r="M137" i="7"/>
  <c r="N137" i="7"/>
  <c r="O137" i="7"/>
  <c r="P137" i="7"/>
  <c r="Q137" i="7"/>
  <c r="M138" i="7"/>
  <c r="N138" i="7"/>
  <c r="O138" i="7"/>
  <c r="P138" i="7"/>
  <c r="Q138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L80" i="7"/>
  <c r="M80" i="7"/>
  <c r="N80" i="7"/>
  <c r="O80" i="7"/>
  <c r="P80" i="7"/>
  <c r="Q80" i="7"/>
  <c r="L81" i="7"/>
  <c r="M81" i="7"/>
  <c r="N81" i="7"/>
  <c r="O81" i="7"/>
  <c r="P81" i="7"/>
  <c r="Q81" i="7"/>
  <c r="L82" i="7"/>
  <c r="M82" i="7"/>
  <c r="N82" i="7"/>
  <c r="O82" i="7"/>
  <c r="P82" i="7"/>
  <c r="Q82" i="7"/>
  <c r="L83" i="7"/>
  <c r="M83" i="7"/>
  <c r="N83" i="7"/>
  <c r="O83" i="7"/>
  <c r="P83" i="7"/>
  <c r="Q83" i="7"/>
  <c r="L84" i="7"/>
  <c r="M84" i="7"/>
  <c r="N84" i="7"/>
  <c r="O84" i="7"/>
  <c r="P84" i="7"/>
  <c r="Q84" i="7"/>
  <c r="L85" i="7"/>
  <c r="M85" i="7"/>
  <c r="N85" i="7"/>
  <c r="O85" i="7"/>
  <c r="P85" i="7"/>
  <c r="Q85" i="7"/>
  <c r="L86" i="7"/>
  <c r="M86" i="7"/>
  <c r="N86" i="7"/>
  <c r="O86" i="7"/>
  <c r="P86" i="7"/>
  <c r="Q86" i="7"/>
  <c r="L87" i="7"/>
  <c r="M87" i="7"/>
  <c r="N87" i="7"/>
  <c r="O87" i="7"/>
  <c r="P87" i="7"/>
  <c r="Q87" i="7"/>
  <c r="L88" i="7"/>
  <c r="M88" i="7"/>
  <c r="N88" i="7"/>
  <c r="O88" i="7"/>
  <c r="P88" i="7"/>
  <c r="Q88" i="7"/>
  <c r="L89" i="7"/>
  <c r="M89" i="7"/>
  <c r="N89" i="7"/>
  <c r="O89" i="7"/>
  <c r="P89" i="7"/>
  <c r="Q89" i="7"/>
  <c r="L90" i="7"/>
  <c r="M90" i="7"/>
  <c r="N90" i="7"/>
  <c r="O90" i="7"/>
  <c r="P90" i="7"/>
  <c r="Q90" i="7"/>
  <c r="L91" i="7"/>
  <c r="M91" i="7"/>
  <c r="N91" i="7"/>
  <c r="O91" i="7"/>
  <c r="P91" i="7"/>
  <c r="Q91" i="7"/>
  <c r="L92" i="7"/>
  <c r="M92" i="7"/>
  <c r="N92" i="7"/>
  <c r="O92" i="7"/>
  <c r="P92" i="7"/>
  <c r="Q92" i="7"/>
  <c r="L93" i="7"/>
  <c r="M93" i="7"/>
  <c r="N93" i="7"/>
  <c r="O93" i="7"/>
  <c r="P93" i="7"/>
  <c r="Q93" i="7"/>
  <c r="L94" i="7"/>
  <c r="M94" i="7"/>
  <c r="N94" i="7"/>
  <c r="O94" i="7"/>
  <c r="P94" i="7"/>
  <c r="Q94" i="7"/>
  <c r="L95" i="7"/>
  <c r="M95" i="7"/>
  <c r="N95" i="7"/>
  <c r="O95" i="7"/>
  <c r="P95" i="7"/>
  <c r="Q95" i="7"/>
  <c r="L96" i="7"/>
  <c r="M96" i="7"/>
  <c r="N96" i="7"/>
  <c r="O96" i="7"/>
  <c r="P96" i="7"/>
  <c r="Q96" i="7"/>
  <c r="L97" i="7"/>
  <c r="M97" i="7"/>
  <c r="N97" i="7"/>
  <c r="O97" i="7"/>
  <c r="P97" i="7"/>
  <c r="Q97" i="7"/>
  <c r="L98" i="7"/>
  <c r="M98" i="7"/>
  <c r="N98" i="7"/>
  <c r="O98" i="7"/>
  <c r="P98" i="7"/>
  <c r="Q98" i="7"/>
  <c r="L99" i="7"/>
  <c r="M99" i="7"/>
  <c r="N99" i="7"/>
  <c r="O99" i="7"/>
  <c r="P99" i="7"/>
  <c r="Q99" i="7"/>
  <c r="L100" i="7"/>
  <c r="M100" i="7"/>
  <c r="N100" i="7"/>
  <c r="O100" i="7"/>
  <c r="P100" i="7"/>
  <c r="Q100" i="7"/>
  <c r="L101" i="7"/>
  <c r="M101" i="7"/>
  <c r="N101" i="7"/>
  <c r="O101" i="7"/>
  <c r="P101" i="7"/>
  <c r="Q101" i="7"/>
  <c r="L102" i="7"/>
  <c r="M102" i="7"/>
  <c r="N102" i="7"/>
  <c r="O102" i="7"/>
  <c r="P102" i="7"/>
  <c r="Q102" i="7"/>
  <c r="L103" i="7"/>
  <c r="M103" i="7"/>
  <c r="N103" i="7"/>
  <c r="O103" i="7"/>
  <c r="P103" i="7"/>
  <c r="Q103" i="7"/>
  <c r="L104" i="7"/>
  <c r="M104" i="7"/>
  <c r="N104" i="7"/>
  <c r="O104" i="7"/>
  <c r="P104" i="7"/>
  <c r="Q104" i="7"/>
  <c r="L105" i="7"/>
  <c r="M105" i="7"/>
  <c r="N105" i="7"/>
  <c r="O105" i="7"/>
  <c r="P105" i="7"/>
  <c r="Q105" i="7"/>
  <c r="L106" i="7"/>
  <c r="M106" i="7"/>
  <c r="N106" i="7"/>
  <c r="O106" i="7"/>
  <c r="P106" i="7"/>
  <c r="Q106" i="7"/>
  <c r="L107" i="7"/>
  <c r="M107" i="7"/>
  <c r="N107" i="7"/>
  <c r="O107" i="7"/>
  <c r="P107" i="7"/>
  <c r="Q107" i="7"/>
  <c r="L108" i="7"/>
  <c r="M108" i="7"/>
  <c r="N108" i="7"/>
  <c r="O108" i="7"/>
  <c r="P108" i="7"/>
  <c r="Q108" i="7"/>
  <c r="L109" i="7"/>
  <c r="M109" i="7"/>
  <c r="N109" i="7"/>
  <c r="O109" i="7"/>
  <c r="P109" i="7"/>
  <c r="Q109" i="7"/>
  <c r="L110" i="7"/>
  <c r="M110" i="7"/>
  <c r="N110" i="7"/>
  <c r="O110" i="7"/>
  <c r="P110" i="7"/>
  <c r="Q110" i="7"/>
  <c r="L111" i="7"/>
  <c r="M111" i="7"/>
  <c r="N111" i="7"/>
  <c r="O111" i="7"/>
  <c r="P111" i="7"/>
  <c r="Q111" i="7"/>
  <c r="L112" i="7"/>
  <c r="M112" i="7"/>
  <c r="N112" i="7"/>
  <c r="O112" i="7"/>
  <c r="P112" i="7"/>
  <c r="Q112" i="7"/>
  <c r="L113" i="7"/>
  <c r="M113" i="7"/>
  <c r="N113" i="7"/>
  <c r="O113" i="7"/>
  <c r="P113" i="7"/>
  <c r="Q113" i="7"/>
  <c r="L114" i="7"/>
  <c r="M114" i="7"/>
  <c r="N114" i="7"/>
  <c r="O114" i="7"/>
  <c r="P114" i="7"/>
  <c r="Q114" i="7"/>
  <c r="L115" i="7"/>
  <c r="M115" i="7"/>
  <c r="N115" i="7"/>
  <c r="O115" i="7"/>
  <c r="P115" i="7"/>
  <c r="Q115" i="7"/>
  <c r="L116" i="7"/>
  <c r="M116" i="7"/>
  <c r="N116" i="7"/>
  <c r="O116" i="7"/>
  <c r="P116" i="7"/>
  <c r="Q116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L30" i="7"/>
  <c r="M30" i="7"/>
  <c r="N30" i="7"/>
  <c r="O30" i="7"/>
  <c r="P30" i="7"/>
  <c r="Q30" i="7"/>
  <c r="L31" i="7"/>
  <c r="M31" i="7"/>
  <c r="N31" i="7"/>
  <c r="O31" i="7"/>
  <c r="P31" i="7"/>
  <c r="Q31" i="7"/>
  <c r="L32" i="7"/>
  <c r="M32" i="7"/>
  <c r="N32" i="7"/>
  <c r="O32" i="7"/>
  <c r="P32" i="7"/>
  <c r="Q32" i="7"/>
  <c r="L33" i="7"/>
  <c r="M33" i="7"/>
  <c r="N33" i="7"/>
  <c r="O33" i="7"/>
  <c r="P33" i="7"/>
  <c r="Q33" i="7"/>
  <c r="L34" i="7"/>
  <c r="M34" i="7"/>
  <c r="N34" i="7"/>
  <c r="O34" i="7"/>
  <c r="P34" i="7"/>
  <c r="Q34" i="7"/>
  <c r="L35" i="7"/>
  <c r="M35" i="7"/>
  <c r="N35" i="7"/>
  <c r="O35" i="7"/>
  <c r="P35" i="7"/>
  <c r="Q35" i="7"/>
  <c r="L36" i="7"/>
  <c r="M36" i="7"/>
  <c r="N36" i="7"/>
  <c r="O36" i="7"/>
  <c r="P36" i="7"/>
  <c r="Q36" i="7"/>
  <c r="L37" i="7"/>
  <c r="M37" i="7"/>
  <c r="N37" i="7"/>
  <c r="O37" i="7"/>
  <c r="P37" i="7"/>
  <c r="Q37" i="7"/>
  <c r="L38" i="7"/>
  <c r="M38" i="7"/>
  <c r="N38" i="7"/>
  <c r="O38" i="7"/>
  <c r="P38" i="7"/>
  <c r="Q38" i="7"/>
  <c r="L39" i="7"/>
  <c r="M39" i="7"/>
  <c r="N39" i="7"/>
  <c r="O39" i="7"/>
  <c r="P39" i="7"/>
  <c r="Q39" i="7"/>
  <c r="L40" i="7"/>
  <c r="M40" i="7"/>
  <c r="N40" i="7"/>
  <c r="O40" i="7"/>
  <c r="P40" i="7"/>
  <c r="Q40" i="7"/>
  <c r="L41" i="7"/>
  <c r="M41" i="7"/>
  <c r="N41" i="7"/>
  <c r="O41" i="7"/>
  <c r="P41" i="7"/>
  <c r="Q41" i="7"/>
  <c r="L42" i="7"/>
  <c r="M42" i="7"/>
  <c r="N42" i="7"/>
  <c r="O42" i="7"/>
  <c r="P42" i="7"/>
  <c r="Q42" i="7"/>
  <c r="L43" i="7"/>
  <c r="M43" i="7"/>
  <c r="N43" i="7"/>
  <c r="O43" i="7"/>
  <c r="P43" i="7"/>
  <c r="Q43" i="7"/>
  <c r="L44" i="7"/>
  <c r="M44" i="7"/>
  <c r="N44" i="7"/>
  <c r="O44" i="7"/>
  <c r="P44" i="7"/>
  <c r="Q44" i="7"/>
  <c r="L45" i="7"/>
  <c r="M45" i="7"/>
  <c r="N45" i="7"/>
  <c r="O45" i="7"/>
  <c r="P45" i="7"/>
  <c r="Q45" i="7"/>
  <c r="L46" i="7"/>
  <c r="M46" i="7"/>
  <c r="N46" i="7"/>
  <c r="O46" i="7"/>
  <c r="P46" i="7"/>
  <c r="Q46" i="7"/>
  <c r="L47" i="7"/>
  <c r="M47" i="7"/>
  <c r="N47" i="7"/>
  <c r="O47" i="7"/>
  <c r="P47" i="7"/>
  <c r="Q47" i="7"/>
  <c r="L48" i="7"/>
  <c r="M48" i="7"/>
  <c r="N48" i="7"/>
  <c r="O48" i="7"/>
  <c r="P48" i="7"/>
  <c r="Q48" i="7"/>
  <c r="L49" i="7"/>
  <c r="M49" i="7"/>
  <c r="N49" i="7"/>
  <c r="O49" i="7"/>
  <c r="P49" i="7"/>
  <c r="Q49" i="7"/>
  <c r="L50" i="7"/>
  <c r="M50" i="7"/>
  <c r="N50" i="7"/>
  <c r="O50" i="7"/>
  <c r="P50" i="7"/>
  <c r="Q50" i="7"/>
  <c r="L51" i="7"/>
  <c r="M51" i="7"/>
  <c r="N51" i="7"/>
  <c r="O51" i="7"/>
  <c r="P51" i="7"/>
  <c r="Q51" i="7"/>
  <c r="L52" i="7"/>
  <c r="M52" i="7"/>
  <c r="N52" i="7"/>
  <c r="O52" i="7"/>
  <c r="P52" i="7"/>
  <c r="Q52" i="7"/>
  <c r="L53" i="7"/>
  <c r="M53" i="7"/>
  <c r="N53" i="7"/>
  <c r="O53" i="7"/>
  <c r="P53" i="7"/>
  <c r="Q53" i="7"/>
  <c r="L54" i="7"/>
  <c r="M54" i="7"/>
  <c r="N54" i="7"/>
  <c r="O54" i="7"/>
  <c r="P54" i="7"/>
  <c r="Q54" i="7"/>
  <c r="L55" i="7"/>
  <c r="M55" i="7"/>
  <c r="N55" i="7"/>
  <c r="O55" i="7"/>
  <c r="P55" i="7"/>
  <c r="Q55" i="7"/>
  <c r="L56" i="7"/>
  <c r="M56" i="7"/>
  <c r="N56" i="7"/>
  <c r="O56" i="7"/>
  <c r="P56" i="7"/>
  <c r="Q56" i="7"/>
  <c r="L57" i="7"/>
  <c r="M57" i="7"/>
  <c r="N57" i="7"/>
  <c r="O57" i="7"/>
  <c r="P57" i="7"/>
  <c r="Q57" i="7"/>
  <c r="L58" i="7"/>
  <c r="M58" i="7"/>
  <c r="N58" i="7"/>
  <c r="O58" i="7"/>
  <c r="P58" i="7"/>
  <c r="Q58" i="7"/>
  <c r="L59" i="7"/>
  <c r="M59" i="7"/>
  <c r="N59" i="7"/>
  <c r="O59" i="7"/>
  <c r="P59" i="7"/>
  <c r="Q59" i="7"/>
  <c r="L60" i="7"/>
  <c r="M60" i="7"/>
  <c r="N60" i="7"/>
  <c r="O60" i="7"/>
  <c r="P60" i="7"/>
  <c r="Q60" i="7"/>
  <c r="L61" i="7"/>
  <c r="M61" i="7"/>
  <c r="N61" i="7"/>
  <c r="O61" i="7"/>
  <c r="P61" i="7"/>
  <c r="Q61" i="7"/>
  <c r="L62" i="7"/>
  <c r="M62" i="7"/>
  <c r="N62" i="7"/>
  <c r="O62" i="7"/>
  <c r="P62" i="7"/>
  <c r="Q62" i="7"/>
  <c r="L63" i="7"/>
  <c r="M63" i="7"/>
  <c r="N63" i="7"/>
  <c r="O63" i="7"/>
  <c r="P63" i="7"/>
  <c r="Q63" i="7"/>
  <c r="L64" i="7"/>
  <c r="M64" i="7"/>
  <c r="N64" i="7"/>
  <c r="O64" i="7"/>
  <c r="P64" i="7"/>
  <c r="Q64" i="7"/>
  <c r="L65" i="7"/>
  <c r="M65" i="7"/>
  <c r="N65" i="7"/>
  <c r="O65" i="7"/>
  <c r="P65" i="7"/>
  <c r="Q65" i="7"/>
  <c r="L66" i="7"/>
  <c r="M66" i="7"/>
  <c r="N66" i="7"/>
  <c r="O66" i="7"/>
  <c r="P66" i="7"/>
  <c r="Q66" i="7"/>
  <c r="L67" i="7"/>
  <c r="M67" i="7"/>
  <c r="N67" i="7"/>
  <c r="O67" i="7"/>
  <c r="P67" i="7"/>
  <c r="Q67" i="7"/>
  <c r="L68" i="7"/>
  <c r="M68" i="7"/>
  <c r="N68" i="7"/>
  <c r="O68" i="7"/>
  <c r="P68" i="7"/>
  <c r="Q68" i="7"/>
  <c r="L69" i="7"/>
  <c r="M69" i="7"/>
  <c r="N69" i="7"/>
  <c r="O69" i="7"/>
  <c r="P69" i="7"/>
  <c r="Q69" i="7"/>
  <c r="L70" i="7"/>
  <c r="M70" i="7"/>
  <c r="N70" i="7"/>
  <c r="O70" i="7"/>
  <c r="P70" i="7"/>
  <c r="Q70" i="7"/>
  <c r="L71" i="7"/>
  <c r="M71" i="7"/>
  <c r="N71" i="7"/>
  <c r="O71" i="7"/>
  <c r="P71" i="7"/>
  <c r="Q71" i="7"/>
  <c r="L72" i="7"/>
  <c r="M72" i="7"/>
  <c r="N72" i="7"/>
  <c r="O72" i="7"/>
  <c r="P72" i="7"/>
  <c r="Q72" i="7"/>
  <c r="L73" i="7"/>
  <c r="M73" i="7"/>
  <c r="N73" i="7"/>
  <c r="O73" i="7"/>
  <c r="P73" i="7"/>
  <c r="Q73" i="7"/>
  <c r="L74" i="7"/>
  <c r="M74" i="7"/>
  <c r="N74" i="7"/>
  <c r="O74" i="7"/>
  <c r="P74" i="7"/>
  <c r="Q74" i="7"/>
  <c r="L75" i="7"/>
  <c r="M75" i="7"/>
  <c r="N75" i="7"/>
  <c r="O75" i="7"/>
  <c r="P75" i="7"/>
  <c r="Q75" i="7"/>
  <c r="L29" i="7"/>
  <c r="M29" i="7"/>
  <c r="N29" i="7"/>
  <c r="O29" i="7"/>
  <c r="P29" i="7"/>
  <c r="Q29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L6" i="7"/>
  <c r="M6" i="7"/>
  <c r="N6" i="7"/>
  <c r="O6" i="7"/>
  <c r="P6" i="7"/>
  <c r="Q6" i="7"/>
  <c r="L7" i="7"/>
  <c r="M7" i="7"/>
  <c r="N7" i="7"/>
  <c r="O7" i="7"/>
  <c r="P7" i="7"/>
  <c r="Q7" i="7"/>
  <c r="L8" i="7"/>
  <c r="M8" i="7"/>
  <c r="N8" i="7"/>
  <c r="O8" i="7"/>
  <c r="P8" i="7"/>
  <c r="Q8" i="7"/>
  <c r="L9" i="7"/>
  <c r="M9" i="7"/>
  <c r="N9" i="7"/>
  <c r="O9" i="7"/>
  <c r="P9" i="7"/>
  <c r="Q9" i="7"/>
  <c r="L10" i="7"/>
  <c r="M10" i="7"/>
  <c r="N10" i="7"/>
  <c r="O10" i="7"/>
  <c r="P10" i="7"/>
  <c r="Q10" i="7"/>
  <c r="L11" i="7"/>
  <c r="M11" i="7"/>
  <c r="N11" i="7"/>
  <c r="O11" i="7"/>
  <c r="P11" i="7"/>
  <c r="Q11" i="7"/>
  <c r="L12" i="7"/>
  <c r="M12" i="7"/>
  <c r="N12" i="7"/>
  <c r="O12" i="7"/>
  <c r="P12" i="7"/>
  <c r="Q12" i="7"/>
  <c r="L13" i="7"/>
  <c r="M13" i="7"/>
  <c r="N13" i="7"/>
  <c r="O13" i="7"/>
  <c r="P13" i="7"/>
  <c r="Q13" i="7"/>
  <c r="L14" i="7"/>
  <c r="M14" i="7"/>
  <c r="N14" i="7"/>
  <c r="O14" i="7"/>
  <c r="P14" i="7"/>
  <c r="Q14" i="7"/>
  <c r="L15" i="7"/>
  <c r="M15" i="7"/>
  <c r="N15" i="7"/>
  <c r="O15" i="7"/>
  <c r="P15" i="7"/>
  <c r="Q15" i="7"/>
  <c r="L16" i="7"/>
  <c r="M16" i="7"/>
  <c r="N16" i="7"/>
  <c r="O16" i="7"/>
  <c r="P16" i="7"/>
  <c r="Q16" i="7"/>
  <c r="L17" i="7"/>
  <c r="M17" i="7"/>
  <c r="N17" i="7"/>
  <c r="O17" i="7"/>
  <c r="P17" i="7"/>
  <c r="Q17" i="7"/>
  <c r="L18" i="7"/>
  <c r="M18" i="7"/>
  <c r="N18" i="7"/>
  <c r="O18" i="7"/>
  <c r="P18" i="7"/>
  <c r="Q18" i="7"/>
  <c r="L19" i="7"/>
  <c r="M19" i="7"/>
  <c r="N19" i="7"/>
  <c r="O19" i="7"/>
  <c r="P19" i="7"/>
  <c r="Q19" i="7"/>
  <c r="L20" i="7"/>
  <c r="M20" i="7"/>
  <c r="N20" i="7"/>
  <c r="O20" i="7"/>
  <c r="P20" i="7"/>
  <c r="Q20" i="7"/>
  <c r="L21" i="7"/>
  <c r="M21" i="7"/>
  <c r="N21" i="7"/>
  <c r="O21" i="7"/>
  <c r="P21" i="7"/>
  <c r="Q21" i="7"/>
  <c r="L22" i="7"/>
  <c r="M22" i="7"/>
  <c r="N22" i="7"/>
  <c r="O22" i="7"/>
  <c r="P22" i="7"/>
  <c r="Q22" i="7"/>
  <c r="L23" i="7"/>
  <c r="M23" i="7"/>
  <c r="N23" i="7"/>
  <c r="O23" i="7"/>
  <c r="P23" i="7"/>
  <c r="Q23" i="7"/>
  <c r="L24" i="7"/>
  <c r="M24" i="7"/>
  <c r="N24" i="7"/>
  <c r="O24" i="7"/>
  <c r="P24" i="7"/>
  <c r="Q24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T64" i="7" l="1"/>
  <c r="H64" i="7"/>
  <c r="D64" i="7"/>
  <c r="H191" i="7" l="1"/>
  <c r="S135" i="7"/>
  <c r="R135" i="7"/>
  <c r="K135" i="7"/>
  <c r="G135" i="7"/>
  <c r="E135" i="7"/>
  <c r="H135" i="7" s="1"/>
  <c r="D135" i="7"/>
  <c r="H58" i="7"/>
  <c r="S247" i="7"/>
  <c r="R247" i="7"/>
  <c r="K247" i="7"/>
  <c r="G247" i="7"/>
  <c r="F247" i="7"/>
  <c r="E247" i="7"/>
  <c r="D247" i="7"/>
  <c r="H246" i="7"/>
  <c r="H247" i="7" l="1"/>
  <c r="S154" i="7" l="1"/>
  <c r="D143" i="7" l="1"/>
  <c r="S122" i="7"/>
  <c r="R122" i="7"/>
  <c r="R159" i="7"/>
  <c r="R160" i="7"/>
  <c r="S160" i="7"/>
  <c r="S159" i="7"/>
  <c r="S158" i="7"/>
  <c r="R158" i="7"/>
  <c r="R154" i="7"/>
  <c r="S153" i="7"/>
  <c r="R153" i="7"/>
  <c r="S152" i="7"/>
  <c r="R152" i="7"/>
  <c r="S151" i="7"/>
  <c r="R151" i="7"/>
  <c r="S150" i="7"/>
  <c r="R150" i="7"/>
  <c r="S149" i="7"/>
  <c r="R149" i="7"/>
  <c r="S148" i="7"/>
  <c r="R148" i="7"/>
  <c r="S147" i="7"/>
  <c r="R147" i="7"/>
  <c r="S146" i="7"/>
  <c r="R146" i="7"/>
  <c r="S145" i="7"/>
  <c r="R145" i="7"/>
  <c r="S144" i="7"/>
  <c r="R144" i="7"/>
  <c r="S143" i="7"/>
  <c r="R143" i="7"/>
  <c r="S142" i="7"/>
  <c r="R142" i="7"/>
  <c r="E142" i="7"/>
  <c r="S141" i="7"/>
  <c r="R141" i="7"/>
  <c r="K141" i="7"/>
  <c r="S127" i="7"/>
  <c r="R127" i="7"/>
  <c r="S137" i="7" l="1"/>
  <c r="R137" i="7"/>
  <c r="S134" i="7"/>
  <c r="R134" i="7"/>
  <c r="S133" i="7"/>
  <c r="R133" i="7"/>
  <c r="R130" i="7" l="1"/>
  <c r="S130" i="7"/>
  <c r="S129" i="7" l="1"/>
  <c r="R129" i="7"/>
  <c r="S128" i="7"/>
  <c r="R128" i="7"/>
  <c r="S126" i="7"/>
  <c r="R126" i="7"/>
  <c r="S125" i="7"/>
  <c r="R125" i="7"/>
  <c r="S121" i="7"/>
  <c r="R121" i="7"/>
  <c r="S241" i="7"/>
  <c r="R241" i="7"/>
  <c r="K241" i="7"/>
  <c r="G241" i="7"/>
  <c r="F241" i="7"/>
  <c r="E241" i="7"/>
  <c r="D241" i="7"/>
  <c r="S124" i="7"/>
  <c r="R124" i="7"/>
  <c r="K124" i="7"/>
  <c r="G124" i="7"/>
  <c r="F124" i="7"/>
  <c r="E124" i="7"/>
  <c r="D124" i="7"/>
  <c r="S123" i="7"/>
  <c r="R123" i="7"/>
  <c r="K123" i="7"/>
  <c r="G123" i="7"/>
  <c r="F123" i="7"/>
  <c r="E123" i="7"/>
  <c r="D123" i="7"/>
  <c r="S244" i="7"/>
  <c r="R244" i="7"/>
  <c r="S132" i="7"/>
  <c r="R132" i="7"/>
  <c r="S131" i="7"/>
  <c r="R131" i="7"/>
  <c r="S157" i="7"/>
  <c r="R157" i="7"/>
  <c r="E157" i="7"/>
  <c r="D157" i="7"/>
  <c r="S138" i="7" l="1"/>
  <c r="R138" i="7"/>
  <c r="S155" i="7" l="1"/>
  <c r="R155" i="7"/>
  <c r="T248" i="7" l="1"/>
  <c r="B14" i="6" s="1"/>
  <c r="K248" i="7"/>
  <c r="I248" i="7"/>
  <c r="H244" i="7"/>
  <c r="H243" i="7"/>
  <c r="H242" i="7"/>
  <c r="P241" i="7"/>
  <c r="N241" i="7"/>
  <c r="M241" i="7"/>
  <c r="H241" i="7"/>
  <c r="Q241" i="7" s="1"/>
  <c r="T237" i="7"/>
  <c r="B13" i="6" s="1"/>
  <c r="K237" i="7"/>
  <c r="I237" i="7"/>
  <c r="H236" i="7"/>
  <c r="H235" i="7"/>
  <c r="H234" i="7"/>
  <c r="P233" i="7"/>
  <c r="N233" i="7"/>
  <c r="M233" i="7"/>
  <c r="H233" i="7"/>
  <c r="H230" i="7"/>
  <c r="H229" i="7"/>
  <c r="H228" i="7"/>
  <c r="H227" i="7"/>
  <c r="H226" i="7"/>
  <c r="H225" i="7"/>
  <c r="H224" i="7"/>
  <c r="H223" i="7"/>
  <c r="H222" i="7"/>
  <c r="H221" i="7"/>
  <c r="H220" i="7"/>
  <c r="H219" i="7"/>
  <c r="H218" i="7"/>
  <c r="P217" i="7"/>
  <c r="N217" i="7"/>
  <c r="M217" i="7"/>
  <c r="H217" i="7"/>
  <c r="H214" i="7"/>
  <c r="P213" i="7"/>
  <c r="N213" i="7"/>
  <c r="M213" i="7"/>
  <c r="H213" i="7"/>
  <c r="T209" i="7"/>
  <c r="B12" i="6" s="1"/>
  <c r="K209" i="7"/>
  <c r="I209" i="7"/>
  <c r="H208" i="7"/>
  <c r="H207" i="7"/>
  <c r="P206" i="7"/>
  <c r="N206" i="7"/>
  <c r="M206" i="7"/>
  <c r="H206" i="7"/>
  <c r="T203" i="7"/>
  <c r="B11" i="6" s="1"/>
  <c r="K203" i="7"/>
  <c r="I203" i="7"/>
  <c r="H202" i="7"/>
  <c r="H201" i="7"/>
  <c r="H200" i="7"/>
  <c r="H199" i="7"/>
  <c r="H187" i="7"/>
  <c r="H197" i="7"/>
  <c r="H196" i="7"/>
  <c r="H195" i="7"/>
  <c r="H194" i="7"/>
  <c r="H193" i="7"/>
  <c r="H192" i="7"/>
  <c r="H190" i="7"/>
  <c r="H189" i="7"/>
  <c r="H188" i="7"/>
  <c r="H198" i="7"/>
  <c r="H186" i="7"/>
  <c r="H185" i="7"/>
  <c r="H184" i="7"/>
  <c r="H183" i="7"/>
  <c r="H182" i="7"/>
  <c r="H181" i="7"/>
  <c r="H180" i="7"/>
  <c r="H179" i="7"/>
  <c r="H178" i="7"/>
  <c r="H177" i="7"/>
  <c r="H176" i="7"/>
  <c r="H175" i="7"/>
  <c r="H174" i="7"/>
  <c r="P173" i="7"/>
  <c r="N173" i="7"/>
  <c r="M173" i="7"/>
  <c r="H173" i="7"/>
  <c r="T170" i="7"/>
  <c r="B10" i="6" s="1"/>
  <c r="K170" i="7"/>
  <c r="I170" i="7"/>
  <c r="H169" i="7"/>
  <c r="H168" i="7"/>
  <c r="H167" i="7"/>
  <c r="H166" i="7"/>
  <c r="H165" i="7"/>
  <c r="P164" i="7"/>
  <c r="N164" i="7"/>
  <c r="M164" i="7"/>
  <c r="H164" i="7"/>
  <c r="T161" i="7"/>
  <c r="B9" i="6" s="1"/>
  <c r="I161" i="7"/>
  <c r="K160" i="7"/>
  <c r="G160" i="7"/>
  <c r="E160" i="7"/>
  <c r="H160" i="7" s="1"/>
  <c r="D160" i="7"/>
  <c r="K159" i="7"/>
  <c r="G159" i="7"/>
  <c r="F159" i="7"/>
  <c r="E159" i="7"/>
  <c r="D159" i="7"/>
  <c r="K158" i="7"/>
  <c r="G158" i="7"/>
  <c r="F158" i="7"/>
  <c r="E158" i="7"/>
  <c r="D158" i="7"/>
  <c r="K157" i="7"/>
  <c r="G157" i="7"/>
  <c r="H157" i="7" s="1"/>
  <c r="H156" i="7"/>
  <c r="K155" i="7"/>
  <c r="G155" i="7"/>
  <c r="E155" i="7"/>
  <c r="H155" i="7" s="1"/>
  <c r="D155" i="7"/>
  <c r="K154" i="7"/>
  <c r="G154" i="7"/>
  <c r="E154" i="7"/>
  <c r="H154" i="7" s="1"/>
  <c r="D154" i="7"/>
  <c r="K153" i="7"/>
  <c r="G153" i="7"/>
  <c r="E153" i="7"/>
  <c r="H153" i="7" s="1"/>
  <c r="D153" i="7"/>
  <c r="K152" i="7"/>
  <c r="G152" i="7"/>
  <c r="F152" i="7"/>
  <c r="E152" i="7"/>
  <c r="D152" i="7"/>
  <c r="K151" i="7"/>
  <c r="G151" i="7"/>
  <c r="E151" i="7"/>
  <c r="D151" i="7"/>
  <c r="K150" i="7"/>
  <c r="G150" i="7"/>
  <c r="E150" i="7"/>
  <c r="D150" i="7"/>
  <c r="K149" i="7"/>
  <c r="G149" i="7"/>
  <c r="E149" i="7"/>
  <c r="D149" i="7"/>
  <c r="G148" i="7"/>
  <c r="E148" i="7"/>
  <c r="D148" i="7"/>
  <c r="K147" i="7"/>
  <c r="G147" i="7"/>
  <c r="E147" i="7"/>
  <c r="D147" i="7"/>
  <c r="H146" i="7"/>
  <c r="K145" i="7"/>
  <c r="G145" i="7"/>
  <c r="E145" i="7"/>
  <c r="D145" i="7"/>
  <c r="K144" i="7"/>
  <c r="G144" i="7"/>
  <c r="E144" i="7"/>
  <c r="H144" i="7" s="1"/>
  <c r="K143" i="7"/>
  <c r="G143" i="7"/>
  <c r="E143" i="7"/>
  <c r="H143" i="7" s="1"/>
  <c r="K142" i="7"/>
  <c r="G142" i="7"/>
  <c r="D142" i="7"/>
  <c r="P141" i="7"/>
  <c r="M141" i="7"/>
  <c r="G141" i="7"/>
  <c r="N141" i="7" s="1"/>
  <c r="E141" i="7"/>
  <c r="D141" i="7"/>
  <c r="K138" i="7"/>
  <c r="G138" i="7"/>
  <c r="E138" i="7"/>
  <c r="H138" i="7" s="1"/>
  <c r="D138" i="7"/>
  <c r="K137" i="7"/>
  <c r="G137" i="7"/>
  <c r="E137" i="7"/>
  <c r="D137" i="7"/>
  <c r="H136" i="7"/>
  <c r="K134" i="7"/>
  <c r="G134" i="7"/>
  <c r="E134" i="7"/>
  <c r="D134" i="7"/>
  <c r="K133" i="7"/>
  <c r="G133" i="7"/>
  <c r="E133" i="7"/>
  <c r="D133" i="7"/>
  <c r="H132" i="7"/>
  <c r="H131" i="7"/>
  <c r="K130" i="7"/>
  <c r="G130" i="7"/>
  <c r="E130" i="7"/>
  <c r="D130" i="7"/>
  <c r="K129" i="7"/>
  <c r="G129" i="7"/>
  <c r="E129" i="7"/>
  <c r="D129" i="7"/>
  <c r="K128" i="7"/>
  <c r="G128" i="7"/>
  <c r="E128" i="7"/>
  <c r="H128" i="7" s="1"/>
  <c r="D128" i="7"/>
  <c r="K127" i="7"/>
  <c r="G127" i="7"/>
  <c r="E127" i="7"/>
  <c r="D127" i="7"/>
  <c r="K126" i="7"/>
  <c r="G126" i="7"/>
  <c r="E126" i="7"/>
  <c r="H126" i="7" s="1"/>
  <c r="D126" i="7"/>
  <c r="K125" i="7"/>
  <c r="G125" i="7"/>
  <c r="E125" i="7"/>
  <c r="D125" i="7"/>
  <c r="H124" i="7"/>
  <c r="H123" i="7"/>
  <c r="K122" i="7"/>
  <c r="G122" i="7"/>
  <c r="E122" i="7"/>
  <c r="D122" i="7"/>
  <c r="P121" i="7"/>
  <c r="N121" i="7"/>
  <c r="M121" i="7"/>
  <c r="H121" i="7"/>
  <c r="O121" i="7" s="1"/>
  <c r="T117" i="7"/>
  <c r="B8" i="6" s="1"/>
  <c r="K117" i="7"/>
  <c r="L79" i="7" s="1"/>
  <c r="I117" i="7"/>
  <c r="H116" i="7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86" i="7"/>
  <c r="H101" i="7"/>
  <c r="H96" i="7"/>
  <c r="H100" i="7"/>
  <c r="H99" i="7"/>
  <c r="H98" i="7"/>
  <c r="H97" i="7"/>
  <c r="H95" i="7"/>
  <c r="H94" i="7"/>
  <c r="H93" i="7"/>
  <c r="H92" i="7"/>
  <c r="H91" i="7"/>
  <c r="H90" i="7"/>
  <c r="H89" i="7"/>
  <c r="H88" i="7"/>
  <c r="H87" i="7"/>
  <c r="H85" i="7"/>
  <c r="H84" i="7"/>
  <c r="H83" i="7"/>
  <c r="H82" i="7"/>
  <c r="H81" i="7"/>
  <c r="H80" i="7"/>
  <c r="P79" i="7"/>
  <c r="N79" i="7"/>
  <c r="M79" i="7"/>
  <c r="H79" i="7"/>
  <c r="T76" i="7"/>
  <c r="B7" i="6" s="1"/>
  <c r="K76" i="7"/>
  <c r="I76" i="7"/>
  <c r="H75" i="7"/>
  <c r="H74" i="7"/>
  <c r="H73" i="7"/>
  <c r="H72" i="7"/>
  <c r="H71" i="7"/>
  <c r="H70" i="7"/>
  <c r="H69" i="7"/>
  <c r="H68" i="7"/>
  <c r="H67" i="7"/>
  <c r="H66" i="7"/>
  <c r="H65" i="7"/>
  <c r="H63" i="7"/>
  <c r="H62" i="7"/>
  <c r="H61" i="7"/>
  <c r="H60" i="7"/>
  <c r="H59" i="7"/>
  <c r="H57" i="7"/>
  <c r="H56" i="7"/>
  <c r="H55" i="7"/>
  <c r="H54" i="7"/>
  <c r="H52" i="7"/>
  <c r="H51" i="7"/>
  <c r="H50" i="7"/>
  <c r="H49" i="7"/>
  <c r="H47" i="7"/>
  <c r="H48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P28" i="7"/>
  <c r="N28" i="7"/>
  <c r="M28" i="7"/>
  <c r="H28" i="7"/>
  <c r="O28" i="7" s="1"/>
  <c r="T25" i="7"/>
  <c r="B6" i="6" s="1"/>
  <c r="K25" i="7"/>
  <c r="I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P5" i="7"/>
  <c r="N5" i="7"/>
  <c r="M5" i="7"/>
  <c r="H5" i="7"/>
  <c r="O5" i="7" s="1"/>
  <c r="L241" i="7" l="1"/>
  <c r="L242" i="7"/>
  <c r="L244" i="7"/>
  <c r="L247" i="7"/>
  <c r="L243" i="7"/>
  <c r="L246" i="7"/>
  <c r="J245" i="7"/>
  <c r="J244" i="7"/>
  <c r="J246" i="7"/>
  <c r="J247" i="7"/>
  <c r="J242" i="7"/>
  <c r="J243" i="7"/>
  <c r="L5" i="7"/>
  <c r="J217" i="7"/>
  <c r="J213" i="7"/>
  <c r="H141" i="7"/>
  <c r="Q141" i="7" s="1"/>
  <c r="H147" i="7"/>
  <c r="H150" i="7"/>
  <c r="H127" i="7"/>
  <c r="H137" i="7"/>
  <c r="Q5" i="7"/>
  <c r="J233" i="7"/>
  <c r="H158" i="7"/>
  <c r="Q121" i="7"/>
  <c r="H149" i="7"/>
  <c r="H129" i="7"/>
  <c r="Q28" i="7"/>
  <c r="Q79" i="7"/>
  <c r="O79" i="7"/>
  <c r="H122" i="7"/>
  <c r="H125" i="7"/>
  <c r="H130" i="7"/>
  <c r="T238" i="7"/>
  <c r="T249" i="7" s="1"/>
  <c r="M209" i="7"/>
  <c r="J164" i="7"/>
  <c r="H152" i="7"/>
  <c r="Q213" i="7"/>
  <c r="O213" i="7"/>
  <c r="Q217" i="7"/>
  <c r="O217" i="7"/>
  <c r="H148" i="7"/>
  <c r="H151" i="7"/>
  <c r="H134" i="7"/>
  <c r="B5" i="3"/>
  <c r="C10" i="2"/>
  <c r="J173" i="7"/>
  <c r="Q173" i="7"/>
  <c r="O173" i="7"/>
  <c r="J141" i="7"/>
  <c r="J121" i="7"/>
  <c r="J206" i="7"/>
  <c r="H159" i="7"/>
  <c r="K161" i="7"/>
  <c r="B2" i="3"/>
  <c r="L206" i="7"/>
  <c r="C11" i="2"/>
  <c r="H142" i="7"/>
  <c r="B4" i="3"/>
  <c r="L213" i="7"/>
  <c r="C12" i="2"/>
  <c r="L233" i="7"/>
  <c r="L217" i="7"/>
  <c r="C9" i="2"/>
  <c r="L164" i="7"/>
  <c r="B8" i="3"/>
  <c r="L173" i="7"/>
  <c r="B6" i="3"/>
  <c r="M237" i="7"/>
  <c r="H145" i="7"/>
  <c r="M170" i="7"/>
  <c r="M203" i="7"/>
  <c r="Q206" i="7"/>
  <c r="O206" i="7"/>
  <c r="C7" i="2"/>
  <c r="Q164" i="7"/>
  <c r="O164" i="7"/>
  <c r="B7" i="3"/>
  <c r="M117" i="7"/>
  <c r="Q233" i="7"/>
  <c r="O233" i="7"/>
  <c r="H133" i="7"/>
  <c r="J79" i="7"/>
  <c r="C5" i="2"/>
  <c r="B10" i="3"/>
  <c r="M76" i="7"/>
  <c r="C6" i="2"/>
  <c r="J28" i="7"/>
  <c r="L28" i="7"/>
  <c r="M25" i="7"/>
  <c r="I238" i="7"/>
  <c r="I249" i="7" s="1"/>
  <c r="J5" i="7"/>
  <c r="C13" i="2"/>
  <c r="B3" i="3"/>
  <c r="J241" i="7"/>
  <c r="O241" i="7"/>
  <c r="L122" i="7" l="1"/>
  <c r="L124" i="7"/>
  <c r="L126" i="7"/>
  <c r="L128" i="7"/>
  <c r="L130" i="7"/>
  <c r="L132" i="7"/>
  <c r="L134" i="7"/>
  <c r="L136" i="7"/>
  <c r="L138" i="7"/>
  <c r="L143" i="7"/>
  <c r="L145" i="7"/>
  <c r="L147" i="7"/>
  <c r="L149" i="7"/>
  <c r="L151" i="7"/>
  <c r="L153" i="7"/>
  <c r="L155" i="7"/>
  <c r="L157" i="7"/>
  <c r="L159" i="7"/>
  <c r="L123" i="7"/>
  <c r="L125" i="7"/>
  <c r="L127" i="7"/>
  <c r="L129" i="7"/>
  <c r="L131" i="7"/>
  <c r="L133" i="7"/>
  <c r="L135" i="7"/>
  <c r="L137" i="7"/>
  <c r="L142" i="7"/>
  <c r="L144" i="7"/>
  <c r="L146" i="7"/>
  <c r="L148" i="7"/>
  <c r="L150" i="7"/>
  <c r="L152" i="7"/>
  <c r="L154" i="7"/>
  <c r="L156" i="7"/>
  <c r="L158" i="7"/>
  <c r="L160" i="7"/>
  <c r="O141" i="7"/>
  <c r="L121" i="7"/>
  <c r="C8" i="2"/>
  <c r="M161" i="7"/>
  <c r="L141" i="7"/>
  <c r="B9" i="3"/>
  <c r="K238" i="7"/>
  <c r="K249" i="7" s="1"/>
  <c r="L209" i="7" s="1"/>
  <c r="J237" i="7"/>
  <c r="J203" i="7"/>
  <c r="J117" i="7"/>
  <c r="J161" i="7"/>
  <c r="J209" i="7"/>
  <c r="J170" i="7"/>
  <c r="J76" i="7"/>
  <c r="J25" i="7"/>
  <c r="J248" i="7"/>
  <c r="L170" i="7" l="1"/>
  <c r="L25" i="7"/>
  <c r="L248" i="7"/>
  <c r="L161" i="7"/>
  <c r="L117" i="7"/>
  <c r="L237" i="7"/>
  <c r="L203" i="7"/>
  <c r="L76" i="7"/>
</calcChain>
</file>

<file path=xl/sharedStrings.xml><?xml version="1.0" encoding="utf-8"?>
<sst xmlns="http://schemas.openxmlformats.org/spreadsheetml/2006/main" count="507" uniqueCount="340">
  <si>
    <t>MONTHLY UPDATE ON REGISTERED MUTUAL FUNDS AS AT 31ST AUGUST, 2026</t>
  </si>
  <si>
    <t>S/N</t>
  </si>
  <si>
    <t>FUND</t>
  </si>
  <si>
    <t>FUND MANAGER</t>
  </si>
  <si>
    <t>TOTAL VALUE OF INVESTMENT (N)</t>
  </si>
  <si>
    <t>TOTAL INCOME (N)</t>
  </si>
  <si>
    <t>UNREALIZED CAPITAL GAIN/LOSS (N)</t>
  </si>
  <si>
    <t>TOTAL EXPENSES (N)</t>
  </si>
  <si>
    <t>NET INCOME/LOSS (N)</t>
  </si>
  <si>
    <t>% ON TOTAL</t>
  </si>
  <si>
    <t xml:space="preserve">NET ASSET VALUE (N) </t>
  </si>
  <si>
    <t>% CHANGE IN NAV</t>
  </si>
  <si>
    <t>EXPENSE RATIO</t>
  </si>
  <si>
    <t>RETURN ON EQUITY (ROE)</t>
  </si>
  <si>
    <t>NET ASSET PER UNIT</t>
  </si>
  <si>
    <t>EARNINGS PER UNIT (EPU)</t>
  </si>
  <si>
    <t>BID PRICE (N)</t>
  </si>
  <si>
    <t>OFFER PRICE (N)</t>
  </si>
  <si>
    <t>NUMBER OF UNIT HOLDERS</t>
  </si>
  <si>
    <t>OPENING NUMBER OF UNITS</t>
  </si>
  <si>
    <t>CLOSING NUMBER OF UNITS</t>
  </si>
  <si>
    <t xml:space="preserve"> </t>
  </si>
  <si>
    <t>EQUITY BASED FUNDS</t>
  </si>
  <si>
    <t>Afrinvest Equity Fund</t>
  </si>
  <si>
    <t>Afrinvest Asset Management Ltd.</t>
  </si>
  <si>
    <t>Anchoria Equity Fund</t>
  </si>
  <si>
    <t>Anchoria Asset Management Limited</t>
  </si>
  <si>
    <t>ARM Aggressive Growth Fund</t>
  </si>
  <si>
    <t xml:space="preserve">ARM Investment Managers Limited </t>
  </si>
  <si>
    <t>AXA Mansard Equity Income Fund</t>
  </si>
  <si>
    <t>AXA Mansard Investments Limited</t>
  </si>
  <si>
    <t>CardinalStone Equity Fund</t>
  </si>
  <si>
    <t>CardinalStone Asset Mgt. Limited</t>
  </si>
  <si>
    <t>Cowry Equity Fund</t>
  </si>
  <si>
    <t>Cowry Treasurers Limited</t>
  </si>
  <si>
    <t>FCMBAM Equity Fund</t>
  </si>
  <si>
    <t>First City Asset Management Plc</t>
  </si>
  <si>
    <t>First Asset Nigeria Smart Beta Equity Fund</t>
  </si>
  <si>
    <t>FBN Capital Asset Mgt</t>
  </si>
  <si>
    <t>Frontier Fund</t>
  </si>
  <si>
    <t>SCM Capital Limited</t>
  </si>
  <si>
    <t>Futureview Equity Fund</t>
  </si>
  <si>
    <t xml:space="preserve">Futureview Asset Management Limited </t>
  </si>
  <si>
    <t>Guaranty Trust Equity Income Fund</t>
  </si>
  <si>
    <t>Guaranty Trust Fund Managers Limited</t>
  </si>
  <si>
    <t>Halo Equity Fund</t>
  </si>
  <si>
    <t>Halo Nigeria Capital Management Limited</t>
  </si>
  <si>
    <t>Meristem Equity Market Fund</t>
  </si>
  <si>
    <t>Meristem Wealth Management Limited</t>
  </si>
  <si>
    <t>Pacam Equity Fund</t>
  </si>
  <si>
    <t>PAC Asset Management Ltd.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</si>
  <si>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</si>
  <si>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</si>
  <si>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</si>
  <si>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</si>
  <si>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</si>
  <si>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</si>
  <si>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</si>
  <si>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</si>
  <si>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</si>
  <si>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</si>
  <si>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</si>
  <si>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 Total</t>
  </si>
  <si>
    <t>MONEY MARKET FUNDS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</si>
  <si>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</si>
  <si>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</si>
  <si>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</si>
  <si>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</si>
  <si>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</si>
  <si>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</si>
  <si>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</si>
  <si>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</si>
  <si>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</si>
  <si>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ARM Investment Managers Limited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</si>
  <si>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</si>
  <si>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</si>
  <si>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</si>
  <si>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</si>
  <si>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</si>
  <si>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</si>
  <si>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</si>
  <si>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</si>
  <si>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</si>
  <si>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</si>
  <si>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</si>
  <si>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</si>
  <si>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Coronation Asset Management Limited</t>
  </si>
  <si>
    <t>DLM Money Market Fund</t>
  </si>
  <si>
    <t>DLM Asset Management Limited</t>
  </si>
  <si>
    <t>EDC Money Market Class A</t>
  </si>
  <si>
    <t>EDC Fund Management</t>
  </si>
  <si>
    <t>EDC Money Market Class B</t>
  </si>
  <si>
    <t>Emerging Africa Money Market Fund</t>
  </si>
  <si>
    <t>Emerging Africa Asset Management Limited</t>
  </si>
  <si>
    <t>FCMBAM Money Market Fund</t>
  </si>
  <si>
    <t>First Asset Money Market Fund</t>
  </si>
  <si>
    <t>FBN Capital Asset Mgt. Limited</t>
  </si>
  <si>
    <t>First Ally Money Market Fund</t>
  </si>
  <si>
    <t>First Ally Asset Management Limited</t>
  </si>
  <si>
    <t>FSL Money Market Fund</t>
  </si>
  <si>
    <t>FSL  Asset Management Limited</t>
  </si>
  <si>
    <t>Fundvine Money Market Fund</t>
  </si>
  <si>
    <t>Fundvine Berkshire Asset Management Limited</t>
  </si>
  <si>
    <t>GDL Money Market Fund</t>
  </si>
  <si>
    <t xml:space="preserve">Growth and Development Asset Management Limited </t>
  </si>
  <si>
    <t>Greenwich Plus Money Market</t>
  </si>
  <si>
    <t xml:space="preserve">Greenwich Asst Management Ltd 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</si>
  <si>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</si>
  <si>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</si>
  <si>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</si>
  <si>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</si>
  <si>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Maket Fund</t>
  </si>
  <si>
    <t>Mango Asset Management Limited</t>
  </si>
  <si>
    <t>Meristem Money Market Fund</t>
  </si>
  <si>
    <t>Norrenberger Money Market Fund</t>
  </si>
  <si>
    <t>Norrenberger Investment and Capital Mgt Limited</t>
  </si>
  <si>
    <t>NOVA Prime Money Market Fund</t>
  </si>
  <si>
    <t>NOVAMBL Asset Management Limited</t>
  </si>
  <si>
    <t>PACAM Money Market Fund</t>
  </si>
  <si>
    <t>Page Money Market Fund</t>
  </si>
  <si>
    <t>Page Asset Management Limited</t>
  </si>
  <si>
    <t>Parthian Money Market Fund</t>
  </si>
  <si>
    <t>Parthian Capital Ltd.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</si>
  <si>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</si>
  <si>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</si>
  <si>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</si>
  <si>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</si>
  <si>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</si>
  <si>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</si>
  <si>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Mgt.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</si>
  <si>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</si>
  <si>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</si>
  <si>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</si>
  <si>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</si>
  <si>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</si>
  <si>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</si>
  <si>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 Limited</t>
  </si>
  <si>
    <t>Zedcrest Money Market Fund</t>
  </si>
  <si>
    <t>Zenith Money Market Fund</t>
  </si>
  <si>
    <t>Zenith Asset Management Ltd</t>
  </si>
  <si>
    <t>BOND/FIXED INCOME FUNDS</t>
  </si>
  <si>
    <t>Anchoria Fixed Income Fund</t>
  </si>
  <si>
    <t>ARM Fixed Income Fund</t>
  </si>
  <si>
    <t>ARM Short Term-Bond Fund</t>
  </si>
  <si>
    <t>ARM Investment Managers</t>
  </si>
  <si>
    <t>AVA GAM Fixed Income Naira Fund</t>
  </si>
  <si>
    <t>CardinalStone Fixed Income Alpha Fund</t>
  </si>
  <si>
    <t>CEAT Fixed Income Fund</t>
  </si>
  <si>
    <t>Capital Express Assset &amp; Trust Limited</t>
  </si>
  <si>
    <t>CFG AM Fixed Income Naira Fund</t>
  </si>
  <si>
    <t>CFG Assset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</si>
  <si>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</si>
  <si>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</si>
  <si>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</si>
  <si>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</si>
  <si>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</si>
  <si>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</si>
  <si>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</si>
  <si>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Nigeria Fixed Income Fund</t>
  </si>
  <si>
    <t>Emerging Africa Bond Fund</t>
  </si>
  <si>
    <t>GDL Income Fund</t>
  </si>
  <si>
    <t>Guaranty Trust Fixed Income Fund</t>
  </si>
  <si>
    <t xml:space="preserve">Lead Fixed Income Fund </t>
  </si>
  <si>
    <t>Lead Asset Mgt Ltd</t>
  </si>
  <si>
    <t>Meristem Fixed Income Fund</t>
  </si>
  <si>
    <t>Nigeria International Debt Fund</t>
  </si>
  <si>
    <t>Norrenberger Turbo Fixed Income Fund</t>
  </si>
  <si>
    <t>Norrenberger Investment &amp; Capital Mgt. Ltd.</t>
  </si>
  <si>
    <t>PACAM Fixed Income Fund</t>
  </si>
  <si>
    <t>Radix Horizon Fund</t>
  </si>
  <si>
    <t>Radix Capital Partners Limited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</si>
  <si>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</si>
  <si>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</si>
  <si>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</si>
  <si>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</si>
  <si>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</si>
  <si>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</si>
  <si>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</si>
  <si>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Trustbanc Aset Management Limited</t>
  </si>
  <si>
    <t>United Capital Fixed Income Fund</t>
  </si>
  <si>
    <t>United Capital Stable Fixed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</si>
  <si>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</si>
  <si>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</si>
  <si>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</si>
  <si>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</si>
  <si>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</si>
  <si>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</si>
  <si>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</si>
  <si>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</si>
  <si>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</si>
  <si>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</si>
  <si>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</si>
  <si>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</si>
  <si>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</si>
  <si>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</si>
  <si>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EDC Fund Management Limited</t>
  </si>
  <si>
    <t>Emerging Africa Eurobond Fund</t>
  </si>
  <si>
    <t>FCMBAM USD Bond Fund</t>
  </si>
  <si>
    <t>First City Asset Management Ltd.</t>
  </si>
  <si>
    <t>First Asset Dollar Fund</t>
  </si>
  <si>
    <t>FBNQuest Asset Management Limited</t>
  </si>
  <si>
    <t>First Asset Specialized Dollar Fund</t>
  </si>
  <si>
    <t>FSL Eurobond Fund</t>
  </si>
  <si>
    <t>FSL Asset Management Limited</t>
  </si>
  <si>
    <t>Futureview Dollar Fund</t>
  </si>
  <si>
    <t>Futureview Asset Management Limited</t>
  </si>
  <si>
    <t>Norrenberger Dollar Fund</t>
  </si>
  <si>
    <t>Norrenberger Investment &amp; Capital Management Limited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</si>
  <si>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</si>
  <si>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</si>
  <si>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</si>
  <si>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</si>
  <si>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</si>
  <si>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</si>
  <si>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</si>
  <si>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</si>
  <si>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</si>
  <si>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</si>
  <si>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</si>
  <si>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</si>
  <si>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</si>
  <si>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Lead Asset Management Limited</t>
  </si>
  <si>
    <t>Meristem Dollar Fund</t>
  </si>
  <si>
    <t>Nigeria Dollar Income Fund</t>
  </si>
  <si>
    <t>NOVA Dollar Fixed Income Fund</t>
  </si>
  <si>
    <t>Parthian Dollar Fixed Income Fund</t>
  </si>
  <si>
    <t>Stanbic IBTC Dollar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</si>
  <si>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</si>
  <si>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</si>
  <si>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</si>
  <si>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</si>
  <si>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</si>
  <si>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FUNDS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</si>
  <si>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</si>
  <si>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</si>
  <si>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</si>
  <si>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</si>
  <si>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</si>
  <si>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</si>
  <si>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Fund</t>
  </si>
  <si>
    <t>BALANCED FUNDS</t>
  </si>
  <si>
    <t>AIICO Balanced Fund</t>
  </si>
  <si>
    <t>Alpha Morgan Balanced Fund</t>
  </si>
  <si>
    <t>Alpha Morgan Capital Managers Limited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</si>
  <si>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</si>
  <si>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</si>
  <si>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</si>
  <si>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</si>
  <si>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</si>
  <si>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</si>
  <si>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>Cowry Balanced Fund</t>
  </si>
  <si>
    <t>EDC Balanced Fund</t>
  </si>
  <si>
    <t>Emerging Africa Balanced-Diversity Fund</t>
  </si>
  <si>
    <t>First Asset Balanced Fund</t>
  </si>
  <si>
    <t>GDL Canary Balanced Fund</t>
  </si>
  <si>
    <t>Growth and Development Asset Management Limited</t>
  </si>
  <si>
    <t>Greenwich Balanced Fund</t>
  </si>
  <si>
    <t>The Nigeria Football Fund</t>
  </si>
  <si>
    <t>Guaranty Trust Balanced Fund</t>
  </si>
  <si>
    <t>Hillcrest Balanced Fund</t>
  </si>
  <si>
    <t>Hillcrest Capital Management Limited</t>
  </si>
  <si>
    <t>Lead Balanced Fund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</si>
  <si>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</si>
  <si>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</si>
  <si>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</si>
  <si>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</si>
  <si>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</si>
  <si>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</si>
  <si>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</si>
  <si>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GTI Balanced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</si>
  <si>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</si>
  <si>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</si>
  <si>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</si>
  <si>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</si>
  <si>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</si>
  <si>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</si>
  <si>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CFG Asset Management Limited</t>
  </si>
  <si>
    <t>Stanbic IBTC Ethical Fund</t>
  </si>
  <si>
    <t>Zenith ESG Impact Fund</t>
  </si>
  <si>
    <t>SHARI'AH COMPLIANT FUNDS</t>
  </si>
  <si>
    <t>EQUITIES</t>
  </si>
  <si>
    <t>Lotus Halal Investment  Fund</t>
  </si>
  <si>
    <t>Lotus Capital Limited</t>
  </si>
  <si>
    <t>Stanbic IBTC Imaan Fund</t>
  </si>
  <si>
    <t>ARM Sharia Compliant Fixed Income Fund</t>
  </si>
  <si>
    <t>Capital Trust Halal Fixed Income Fund</t>
  </si>
  <si>
    <t>Capital Trust Investments &amp; Asset Mgt. Ltd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</si>
  <si>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</si>
  <si>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</si>
  <si>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</si>
  <si>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</si>
  <si>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</si>
  <si>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</si>
  <si>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</si>
  <si>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Lotus Halal Fixed Income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</si>
  <si>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</si>
  <si>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</si>
  <si>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</si>
  <si>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</si>
  <si>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</si>
  <si>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</si>
  <si>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</si>
  <si>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</si>
  <si>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Afrinvest Asset Mgt Ltd.</t>
  </si>
  <si>
    <t>ARM Halal Balanced Fund</t>
  </si>
  <si>
    <t>Lotus Waqf (Endowment) Fund</t>
  </si>
  <si>
    <t>One17 Halal Fund</t>
  </si>
  <si>
    <t>One17 Capital Limited</t>
  </si>
  <si>
    <t>Mutual Fund Total</t>
  </si>
  <si>
    <t>SPECIALISED FUNDS</t>
  </si>
  <si>
    <t>ARM Specialized Dollar Fund</t>
  </si>
  <si>
    <t>Clean Energy Fund</t>
  </si>
  <si>
    <t>Fundco Capital Managers Limited</t>
  </si>
  <si>
    <t>FCMB-TLG Private Debt Fund</t>
  </si>
  <si>
    <t>FCMB Asset Management Limited</t>
  </si>
  <si>
    <t>First Asset Blended Dollar Fund</t>
  </si>
  <si>
    <t>United Capital Children Investment Fund</t>
  </si>
  <si>
    <t>Grand Total</t>
  </si>
  <si>
    <t>Note:</t>
  </si>
  <si>
    <r>
      <rPr>
        <sz val="8"/>
        <color theme="0"/>
        <rFont val="Times New Roman"/>
        <family val="1"/>
      </rPr>
      <t>US$/NG</t>
    </r>
    <r>
      <rPr>
        <strike/>
        <sz val="8"/>
        <color theme="0"/>
        <rFont val="Times New Roman"/>
        <family val="1"/>
      </rPr>
      <t>N</t>
    </r>
    <r>
      <rPr>
        <sz val="8"/>
        <color theme="0"/>
        <rFont val="Times New Roman"/>
        <family val="1"/>
      </rPr>
      <t xml:space="preserve"> I&amp;E as at 31st August, 2026 = N1332.9396</t>
    </r>
  </si>
  <si>
    <t>FUNDS</t>
  </si>
  <si>
    <t>BONDS/FIXED INCOME FUNDS</t>
  </si>
  <si>
    <t>REAL ESTATE INVESTMENT TRUST</t>
  </si>
  <si>
    <t>SHARI'AH COMPLAINT FUNDS</t>
  </si>
  <si>
    <t>UNIT HOLDERS</t>
  </si>
  <si>
    <t>NET ASSET VALUE (N) PREVIOUS - JULY</t>
  </si>
  <si>
    <t>ValuAlliance Specialized Dollar Fund</t>
  </si>
  <si>
    <t>Myrtle Nest(MyNest Money Market Fund)</t>
  </si>
  <si>
    <t>Myrtle Asset Management and Trust Limited</t>
  </si>
  <si>
    <t>Myrtle Dollar Shield Fund</t>
  </si>
  <si>
    <t>Myrtle asset Management Limited</t>
  </si>
  <si>
    <t>Myrtle Balanced Plus Fund</t>
  </si>
  <si>
    <t>Radix Money Market Fund</t>
  </si>
  <si>
    <t>First Asset Bond Fund</t>
  </si>
  <si>
    <t>First Asset Management Limited</t>
  </si>
  <si>
    <t>FCMBAM Debt Fund</t>
  </si>
  <si>
    <t>Chapel Hill Denham Nigeria Bond Fund</t>
  </si>
  <si>
    <t>Aug 2026</t>
  </si>
  <si>
    <t>Jul 2026</t>
  </si>
  <si>
    <t>Meristem Commodities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</si>
</sst>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5" formatCode="&quot;$&quot;#,##0_);\(&quot;$&quot;#,##0\)"/>
    <numFmt numFmtId="43" formatCode="_(* #,##0.00_);_(* \(#,##0.00\);_(* &quot;-&quot;??_);_(@_)"/>
    <numFmt numFmtId="164" formatCode="_-* #,##0.00_-;\-* #,##0.00_-;_-* &quot;-&quot;??_-;_-@_-"/>
    <numFmt numFmtId="165" formatCode="0;[Red]0"/>
    <numFmt numFmtId="166" formatCode="mmm\-yyyy"/>
    <numFmt numFmtId="167" formatCode="dd/mm/yy;@"/>
    <numFmt numFmtId="168" formatCode="[$-409]d\-mmm\-yy;@"/>
    <numFmt numFmtId="169" formatCode="&quot;Yes&quot;;&quot;Yes&quot;;&quot;No&quot;"/>
    <numFmt numFmtId="170" formatCode="0.00_)"/>
    <numFmt numFmtId="171" formatCode="_(* #,##0_);_(* \(#,##0\);_(* &quot;-&quot;??_);_(@_)"/>
    <numFmt numFmtId="172" formatCode="_-* #,##0_-;\-* #,##0_-;_-* &quot;-&quot;??_-;_-@_-"/>
    <numFmt numFmtId="173" formatCode="&quot; &quot;* #,##0.00&quot; &quot;;&quot;-&quot;* #,##0.00&quot; &quot;;&quot; &quot;* &quot;-&quot;??&quot; &quot;"/>
    <numFmt numFmtId="174" formatCode="&quot; &quot;* #,##0&quot; &quot;;&quot;-&quot;* #,##0&quot; &quot;;&quot; &quot;* &quot;-&quot;??&quot; &quot;"/>
    <numFmt numFmtId="175" formatCode="&quot; &quot;* #,##0.00&quot; &quot;;&quot; &quot;* \(#,##0.00\);&quot; &quot;* &quot;-&quot;??&quot; &quot;"/>
  </numFmts>
  <fonts count="44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sz val="8"/>
      <color theme="0"/>
      <name val="Arial Narrow"/>
      <family val="2"/>
    </font>
    <font>
      <sz val="8"/>
      <name val="Arial Narrow"/>
      <family val="2"/>
    </font>
    <font>
      <sz val="8"/>
      <name val="Century Gothic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0"/>
      <color rgb="FFFF0000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28"/>
      <color theme="0"/>
      <name val="Segoe UI Black"/>
      <family val="2"/>
    </font>
    <font>
      <b/>
      <sz val="10"/>
      <name val="Century Gothic"/>
      <family val="2"/>
    </font>
    <font>
      <b/>
      <sz val="8"/>
      <name val="Century Gothic"/>
      <family val="2"/>
    </font>
    <font>
      <sz val="8"/>
      <color rgb="FF000000"/>
      <name val="Tahoma-Bold-Identity-H"/>
      <charset val="134"/>
    </font>
    <font>
      <b/>
      <sz val="9"/>
      <name val="Century Gothic"/>
      <family val="2"/>
    </font>
    <font>
      <sz val="8"/>
      <color rgb="FF424242"/>
      <name val="Arial"/>
      <family val="2"/>
    </font>
    <font>
      <sz val="10"/>
      <name val="Century Gothic"/>
      <family val="2"/>
    </font>
    <font>
      <b/>
      <sz val="10"/>
      <name val="Calibri"/>
      <family val="2"/>
    </font>
    <font>
      <b/>
      <sz val="10"/>
      <color rgb="FFFF0000"/>
      <name val="Calibri"/>
      <family val="2"/>
    </font>
    <font>
      <b/>
      <sz val="8"/>
      <color theme="0"/>
      <name val="Times New Roman"/>
      <family val="1"/>
    </font>
    <font>
      <sz val="8"/>
      <color theme="0"/>
      <name val="Times New Roman"/>
      <family val="1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rgb="FF9C5700"/>
      <name val="Calibri"/>
      <family val="2"/>
      <scheme val="minor"/>
    </font>
    <font>
      <b/>
      <i/>
      <sz val="16"/>
      <name val="Helv"/>
      <charset val="134"/>
    </font>
    <font>
      <sz val="10"/>
      <color theme="1"/>
      <name val="Futura Bk BT"/>
      <charset val="134"/>
    </font>
    <font>
      <sz val="18"/>
      <color theme="3"/>
      <name val="Calibri Light"/>
      <family val="2"/>
      <scheme val="major"/>
    </font>
    <font>
      <b/>
      <sz val="18"/>
      <color theme="3"/>
      <name val="Calibri Light"/>
      <family val="2"/>
      <scheme val="major"/>
    </font>
    <font>
      <strike/>
      <sz val="8"/>
      <color theme="0"/>
      <name val="Times New Roman"/>
      <family val="1"/>
    </font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9"/>
      <color rgb="FF1E293B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70702230903046"/>
        <bgColor indexed="64"/>
      </patternFill>
    </fill>
    <fill>
      <patternFill patternType="solid">
        <fgColor theme="5" tint="0.79970702230903046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206518753624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theme="6" tint="0.79973754081850645"/>
        <bgColor indexed="64"/>
      </patternFill>
    </fill>
    <fill>
      <patternFill patternType="solid">
        <fgColor theme="7" tint="0.79973754081850645"/>
        <bgColor indexed="64"/>
      </patternFill>
    </fill>
    <fill>
      <patternFill patternType="solid">
        <fgColor theme="8" tint="0.79973754081850645"/>
        <bgColor indexed="64"/>
      </patternFill>
    </fill>
    <fill>
      <patternFill patternType="solid">
        <fgColor theme="9" tint="0.79973754081850645"/>
        <bgColor indexed="64"/>
      </patternFill>
    </fill>
    <fill>
      <patternFill patternType="solid">
        <fgColor theme="4" tint="0.39973143711661124"/>
        <bgColor indexed="64"/>
      </patternFill>
    </fill>
    <fill>
      <patternFill patternType="solid">
        <fgColor theme="5" tint="0.39973143711661124"/>
        <bgColor indexed="64"/>
      </patternFill>
    </fill>
    <fill>
      <patternFill patternType="solid">
        <fgColor theme="6" tint="0.39973143711661124"/>
        <bgColor indexed="64"/>
      </patternFill>
    </fill>
    <fill>
      <patternFill patternType="solid">
        <fgColor theme="7" tint="0.39973143711661124"/>
        <bgColor indexed="64"/>
      </patternFill>
    </fill>
    <fill>
      <patternFill patternType="solid">
        <fgColor theme="8" tint="0.39973143711661124"/>
        <bgColor indexed="64"/>
      </patternFill>
    </fill>
    <fill>
      <patternFill patternType="solid">
        <fgColor theme="9" tint="0.3997314371166112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/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465">
    <xf numFmtId="0" fontId="0" fillId="0" borderId="0"/>
    <xf numFmtId="164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21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165" fontId="32" fillId="0" borderId="0" applyFont="0" applyFill="0" applyBorder="0" applyAlignment="0" applyProtection="0"/>
    <xf numFmtId="164" fontId="4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37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5" fontId="34" fillId="0" borderId="0" applyFont="0" applyFill="0" applyBorder="0" applyAlignment="0" applyProtection="0"/>
    <xf numFmtId="5" fontId="34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35" fillId="11" borderId="0" applyNumberFormat="0" applyBorder="0" applyAlignment="0" applyProtection="0"/>
    <xf numFmtId="170" fontId="3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3" fillId="0" borderId="0"/>
    <xf numFmtId="0" fontId="3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3" fillId="0" borderId="0"/>
    <xf numFmtId="49" fontId="33" fillId="0" borderId="0"/>
    <xf numFmtId="49" fontId="33" fillId="0" borderId="0"/>
    <xf numFmtId="49" fontId="33" fillId="0" borderId="0"/>
    <xf numFmtId="49" fontId="33" fillId="0" borderId="0"/>
    <xf numFmtId="0" fontId="33" fillId="0" borderId="0"/>
    <xf numFmtId="37" fontId="3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4" fillId="0" borderId="0"/>
    <xf numFmtId="0" fontId="3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0" fontId="41" fillId="10" borderId="8" applyNumberFormat="0" applyFont="0" applyAlignment="0" applyProtection="0"/>
    <xf numFmtId="9" fontId="33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171" fontId="2" fillId="0" borderId="0" xfId="201" applyNumberFormat="1" applyFont="1"/>
    <xf numFmtId="0" fontId="5" fillId="0" borderId="0" xfId="0" applyFont="1" applyAlignment="1">
      <alignment horizontal="right"/>
    </xf>
    <xf numFmtId="172" fontId="2" fillId="0" borderId="0" xfId="1" applyNumberFormat="1" applyFont="1"/>
    <xf numFmtId="0" fontId="6" fillId="0" borderId="2" xfId="0" applyFont="1" applyBorder="1" applyAlignment="1">
      <alignment horizontal="right"/>
    </xf>
    <xf numFmtId="164" fontId="7" fillId="2" borderId="2" xfId="1" applyFont="1" applyFill="1" applyBorder="1" applyAlignment="1">
      <alignment horizontal="right" vertical="top" wrapText="1"/>
    </xf>
    <xf numFmtId="164" fontId="7" fillId="2" borderId="2" xfId="1" applyFont="1" applyFill="1" applyBorder="1"/>
    <xf numFmtId="4" fontId="7" fillId="2" borderId="2" xfId="0" applyNumberFormat="1" applyFont="1" applyFill="1" applyBorder="1"/>
    <xf numFmtId="4" fontId="7" fillId="2" borderId="2" xfId="0" applyNumberFormat="1" applyFont="1" applyFill="1" applyBorder="1" applyAlignment="1">
      <alignment horizontal="right"/>
    </xf>
    <xf numFmtId="164" fontId="8" fillId="2" borderId="0" xfId="1" applyFont="1" applyFill="1" applyBorder="1"/>
    <xf numFmtId="43" fontId="1" fillId="0" borderId="0" xfId="201" applyFont="1" applyBorder="1"/>
    <xf numFmtId="4" fontId="9" fillId="2" borderId="0" xfId="0" applyNumberFormat="1" applyFont="1" applyFill="1"/>
    <xf numFmtId="4" fontId="9" fillId="2" borderId="0" xfId="0" applyNumberFormat="1" applyFont="1" applyFill="1" applyAlignment="1">
      <alignment horizontal="right"/>
    </xf>
    <xf numFmtId="173" fontId="10" fillId="2" borderId="0" xfId="0" applyNumberFormat="1" applyFont="1" applyFill="1"/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4" fontId="11" fillId="2" borderId="0" xfId="0" applyNumberFormat="1" applyFont="1" applyFill="1" applyAlignment="1">
      <alignment horizontal="right"/>
    </xf>
    <xf numFmtId="0" fontId="14" fillId="2" borderId="0" xfId="0" applyFont="1" applyFill="1" applyAlignment="1">
      <alignment wrapText="1"/>
    </xf>
    <xf numFmtId="0" fontId="7" fillId="0" borderId="0" xfId="0" applyFont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  <xf numFmtId="2" fontId="7" fillId="0" borderId="0" xfId="0" applyNumberFormat="1" applyFont="1"/>
    <xf numFmtId="0" fontId="6" fillId="0" borderId="0" xfId="0" applyFont="1" applyAlignment="1">
      <alignment horizontal="right"/>
    </xf>
    <xf numFmtId="16" fontId="6" fillId="2" borderId="0" xfId="0" applyNumberFormat="1" applyFont="1" applyFill="1"/>
    <xf numFmtId="164" fontId="15" fillId="0" borderId="0" xfId="1" applyFont="1" applyBorder="1"/>
    <xf numFmtId="4" fontId="15" fillId="2" borderId="0" xfId="0" applyNumberFormat="1" applyFont="1" applyFill="1"/>
    <xf numFmtId="0" fontId="15" fillId="0" borderId="0" xfId="0" applyFont="1"/>
    <xf numFmtId="0" fontId="16" fillId="0" borderId="0" xfId="0" applyFont="1" applyAlignment="1">
      <alignment horizontal="right"/>
    </xf>
    <xf numFmtId="4" fontId="11" fillId="2" borderId="0" xfId="0" applyNumberFormat="1" applyFont="1" applyFill="1"/>
    <xf numFmtId="164" fontId="11" fillId="2" borderId="0" xfId="1" applyFont="1" applyFill="1" applyBorder="1" applyAlignment="1">
      <alignment horizontal="right" vertical="top" wrapText="1"/>
    </xf>
    <xf numFmtId="0" fontId="17" fillId="2" borderId="0" xfId="0" applyFont="1" applyFill="1"/>
    <xf numFmtId="0" fontId="17" fillId="3" borderId="0" xfId="0" applyFont="1" applyFill="1"/>
    <xf numFmtId="0" fontId="18" fillId="0" borderId="0" xfId="0" applyFont="1"/>
    <xf numFmtId="0" fontId="19" fillId="0" borderId="0" xfId="0" applyFont="1"/>
    <xf numFmtId="0" fontId="17" fillId="0" borderId="0" xfId="0" applyFont="1"/>
    <xf numFmtId="49" fontId="21" fillId="5" borderId="2" xfId="0" applyNumberFormat="1" applyFont="1" applyFill="1" applyBorder="1" applyAlignment="1">
      <alignment horizontal="center" vertical="top" wrapText="1"/>
    </xf>
    <xf numFmtId="164" fontId="21" fillId="5" borderId="2" xfId="1" applyFont="1" applyFill="1" applyBorder="1" applyAlignment="1">
      <alignment horizontal="center" vertical="top" wrapText="1"/>
    </xf>
    <xf numFmtId="174" fontId="10" fillId="2" borderId="2" xfId="0" applyNumberFormat="1" applyFont="1" applyFill="1" applyBorder="1" applyAlignment="1">
      <alignment horizontal="center" wrapText="1"/>
    </xf>
    <xf numFmtId="49" fontId="10" fillId="2" borderId="2" xfId="0" applyNumberFormat="1" applyFont="1" applyFill="1" applyBorder="1" applyAlignment="1">
      <alignment wrapText="1"/>
    </xf>
    <xf numFmtId="164" fontId="10" fillId="2" borderId="2" xfId="1" applyNumberFormat="1" applyFont="1" applyFill="1" applyBorder="1"/>
    <xf numFmtId="164" fontId="10" fillId="2" borderId="2" xfId="1" applyFont="1" applyFill="1" applyBorder="1" applyAlignment="1"/>
    <xf numFmtId="164" fontId="10" fillId="2" borderId="2" xfId="1" applyFont="1" applyFill="1" applyBorder="1" applyAlignment="1">
      <alignment horizontal="left"/>
    </xf>
    <xf numFmtId="10" fontId="10" fillId="2" borderId="2" xfId="0" applyNumberFormat="1" applyFont="1" applyFill="1" applyBorder="1" applyAlignment="1">
      <alignment horizontal="center"/>
    </xf>
    <xf numFmtId="164" fontId="10" fillId="2" borderId="2" xfId="1" applyNumberFormat="1" applyFont="1" applyFill="1" applyBorder="1" applyAlignment="1">
      <alignment horizontal="left"/>
    </xf>
    <xf numFmtId="10" fontId="22" fillId="6" borderId="2" xfId="0" applyNumberFormat="1" applyFont="1" applyFill="1" applyBorder="1" applyAlignment="1">
      <alignment horizontal="center" vertical="center"/>
    </xf>
    <xf numFmtId="10" fontId="10" fillId="6" borderId="2" xfId="0" applyNumberFormat="1" applyFont="1" applyFill="1" applyBorder="1" applyAlignment="1">
      <alignment horizontal="center" vertical="center"/>
    </xf>
    <xf numFmtId="173" fontId="10" fillId="6" borderId="2" xfId="0" applyNumberFormat="1" applyFont="1" applyFill="1" applyBorder="1" applyAlignment="1">
      <alignment horizontal="right" vertical="center"/>
    </xf>
    <xf numFmtId="164" fontId="10" fillId="2" borderId="2" xfId="1" applyFont="1" applyFill="1" applyBorder="1"/>
    <xf numFmtId="4" fontId="23" fillId="0" borderId="0" xfId="0" applyNumberFormat="1" applyFont="1"/>
    <xf numFmtId="49" fontId="10" fillId="2" borderId="2" xfId="0" applyNumberFormat="1" applyFont="1" applyFill="1" applyBorder="1"/>
    <xf numFmtId="49" fontId="10" fillId="2" borderId="2" xfId="0" applyNumberFormat="1" applyFont="1" applyFill="1" applyBorder="1" applyAlignment="1">
      <alignment vertical="center" wrapText="1"/>
    </xf>
    <xf numFmtId="4" fontId="10" fillId="2" borderId="2" xfId="0" applyNumberFormat="1" applyFont="1" applyFill="1" applyBorder="1" applyAlignment="1">
      <alignment wrapText="1"/>
    </xf>
    <xf numFmtId="0" fontId="10" fillId="2" borderId="2" xfId="0" applyFont="1" applyFill="1" applyBorder="1" applyAlignment="1">
      <alignment wrapText="1"/>
    </xf>
    <xf numFmtId="164" fontId="10" fillId="0" borderId="2" xfId="1" applyFont="1" applyBorder="1"/>
    <xf numFmtId="164" fontId="10" fillId="0" borderId="2" xfId="1" applyNumberFormat="1" applyFont="1" applyBorder="1"/>
    <xf numFmtId="164" fontId="22" fillId="2" borderId="2" xfId="1" applyFont="1" applyFill="1" applyBorder="1" applyAlignment="1">
      <alignment horizontal="right"/>
    </xf>
    <xf numFmtId="164" fontId="22" fillId="2" borderId="2" xfId="1" applyFont="1" applyFill="1" applyBorder="1" applyAlignment="1">
      <alignment horizontal="left"/>
    </xf>
    <xf numFmtId="10" fontId="22" fillId="2" borderId="2" xfId="0" applyNumberFormat="1" applyFont="1" applyFill="1" applyBorder="1" applyAlignment="1">
      <alignment horizontal="center"/>
    </xf>
    <xf numFmtId="173" fontId="22" fillId="6" borderId="2" xfId="0" applyNumberFormat="1" applyFont="1" applyFill="1" applyBorder="1" applyAlignment="1">
      <alignment horizontal="right" vertical="center"/>
    </xf>
    <xf numFmtId="164" fontId="22" fillId="2" borderId="2" xfId="1" applyFont="1" applyFill="1" applyBorder="1"/>
    <xf numFmtId="164" fontId="10" fillId="7" borderId="2" xfId="1" applyFont="1" applyFill="1" applyBorder="1"/>
    <xf numFmtId="164" fontId="10" fillId="7" borderId="2" xfId="1" applyNumberFormat="1" applyFont="1" applyFill="1" applyBorder="1"/>
    <xf numFmtId="173" fontId="10" fillId="6" borderId="2" xfId="0" applyNumberFormat="1" applyFont="1" applyFill="1" applyBorder="1" applyAlignment="1">
      <alignment horizontal="center" vertical="center"/>
    </xf>
    <xf numFmtId="164" fontId="10" fillId="0" borderId="2" xfId="1" applyNumberFormat="1" applyFont="1" applyFill="1" applyBorder="1"/>
    <xf numFmtId="164" fontId="10" fillId="0" borderId="2" xfId="1" applyFont="1" applyFill="1" applyBorder="1"/>
    <xf numFmtId="164" fontId="10" fillId="2" borderId="2" xfId="1" applyFont="1" applyFill="1" applyBorder="1" applyAlignment="1">
      <alignment wrapText="1"/>
    </xf>
    <xf numFmtId="164" fontId="10" fillId="2" borderId="2" xfId="1" applyNumberFormat="1" applyFont="1" applyFill="1" applyBorder="1" applyAlignment="1">
      <alignment horizontal="right"/>
    </xf>
    <xf numFmtId="49" fontId="10" fillId="2" borderId="2" xfId="0" applyNumberFormat="1" applyFont="1" applyFill="1" applyBorder="1" applyAlignment="1">
      <alignment vertical="top" wrapText="1"/>
    </xf>
    <xf numFmtId="173" fontId="22" fillId="2" borderId="2" xfId="0" applyNumberFormat="1" applyFont="1" applyFill="1" applyBorder="1"/>
    <xf numFmtId="173" fontId="22" fillId="6" borderId="2" xfId="0" applyNumberFormat="1" applyFont="1" applyFill="1" applyBorder="1" applyAlignment="1">
      <alignment horizontal="center" vertical="center"/>
    </xf>
    <xf numFmtId="174" fontId="10" fillId="2" borderId="2" xfId="0" applyNumberFormat="1" applyFont="1" applyFill="1" applyBorder="1" applyAlignment="1">
      <alignment horizontal="right" wrapText="1"/>
    </xf>
    <xf numFmtId="164" fontId="10" fillId="0" borderId="2" xfId="1" applyFont="1" applyFill="1" applyBorder="1" applyAlignment="1">
      <alignment horizontal="right"/>
    </xf>
    <xf numFmtId="172" fontId="10" fillId="2" borderId="2" xfId="1" applyNumberFormat="1" applyFont="1" applyFill="1" applyBorder="1" applyAlignment="1">
      <alignment horizontal="center" wrapText="1"/>
    </xf>
    <xf numFmtId="164" fontId="10" fillId="0" borderId="2" xfId="1" applyFont="1" applyBorder="1" applyAlignment="1"/>
    <xf numFmtId="164" fontId="10" fillId="0" borderId="2" xfId="1" applyNumberFormat="1" applyFont="1" applyBorder="1" applyAlignment="1"/>
    <xf numFmtId="164" fontId="22" fillId="2" borderId="2" xfId="1" applyFont="1" applyFill="1" applyBorder="1" applyAlignment="1"/>
    <xf numFmtId="164" fontId="10" fillId="2" borderId="2" xfId="1" applyFont="1" applyFill="1" applyBorder="1" applyAlignment="1">
      <alignment horizontal="left" vertical="top" wrapText="1"/>
    </xf>
    <xf numFmtId="164" fontId="10" fillId="2" borderId="2" xfId="1" applyNumberFormat="1" applyFont="1" applyFill="1" applyBorder="1" applyAlignment="1">
      <alignment horizontal="right" vertical="top" wrapText="1"/>
    </xf>
    <xf numFmtId="164" fontId="10" fillId="2" borderId="2" xfId="1" applyFont="1" applyFill="1" applyBorder="1" applyAlignment="1">
      <alignment horizontal="right" vertical="top" wrapText="1"/>
    </xf>
    <xf numFmtId="164" fontId="10" fillId="2" borderId="2" xfId="1" applyFont="1" applyFill="1" applyBorder="1" applyAlignment="1">
      <alignment horizontal="center" vertical="top" wrapText="1"/>
    </xf>
    <xf numFmtId="164" fontId="10" fillId="2" borderId="2" xfId="1" applyNumberFormat="1" applyFont="1" applyFill="1" applyBorder="1" applyAlignment="1">
      <alignment horizontal="center" vertical="top" wrapText="1"/>
    </xf>
    <xf numFmtId="164" fontId="10" fillId="2" borderId="2" xfId="1" applyFont="1" applyFill="1" applyBorder="1" applyAlignment="1">
      <alignment vertical="top" wrapText="1"/>
    </xf>
    <xf numFmtId="164" fontId="22" fillId="2" borderId="2" xfId="1" applyFont="1" applyFill="1" applyBorder="1" applyAlignment="1">
      <alignment wrapText="1"/>
    </xf>
    <xf numFmtId="164" fontId="10" fillId="2" borderId="2" xfId="1" applyNumberFormat="1" applyFont="1" applyFill="1" applyBorder="1" applyAlignment="1">
      <alignment wrapText="1"/>
    </xf>
    <xf numFmtId="10" fontId="22" fillId="6" borderId="2" xfId="0" applyNumberFormat="1" applyFont="1" applyFill="1" applyBorder="1" applyAlignment="1">
      <alignment horizontal="right" vertical="center"/>
    </xf>
    <xf numFmtId="164" fontId="10" fillId="2" borderId="2" xfId="1" applyNumberFormat="1" applyFont="1" applyFill="1" applyBorder="1" applyAlignment="1">
      <alignment horizontal="right" wrapText="1"/>
    </xf>
    <xf numFmtId="0" fontId="10" fillId="2" borderId="2" xfId="0" applyFont="1" applyFill="1" applyBorder="1" applyAlignment="1">
      <alignment horizontal="right" wrapText="1"/>
    </xf>
    <xf numFmtId="2" fontId="10" fillId="2" borderId="2" xfId="0" applyNumberFormat="1" applyFont="1" applyFill="1" applyBorder="1"/>
    <xf numFmtId="2" fontId="10" fillId="2" borderId="2" xfId="0" applyNumberFormat="1" applyFont="1" applyFill="1" applyBorder="1" applyAlignment="1">
      <alignment wrapText="1"/>
    </xf>
    <xf numFmtId="164" fontId="10" fillId="0" borderId="2" xfId="1" applyNumberFormat="1" applyFont="1" applyFill="1" applyBorder="1" applyAlignment="1" applyProtection="1"/>
    <xf numFmtId="164" fontId="10" fillId="0" borderId="2" xfId="1" applyFont="1" applyFill="1" applyBorder="1" applyAlignment="1" applyProtection="1"/>
    <xf numFmtId="2" fontId="10" fillId="2" borderId="2" xfId="414" applyNumberFormat="1" applyFont="1" applyFill="1" applyBorder="1" applyAlignment="1">
      <alignment wrapText="1"/>
    </xf>
    <xf numFmtId="173" fontId="10" fillId="2" borderId="2" xfId="0" applyNumberFormat="1" applyFont="1" applyFill="1" applyBorder="1" applyAlignment="1">
      <alignment horizontal="right"/>
    </xf>
    <xf numFmtId="171" fontId="10" fillId="0" borderId="2" xfId="0" applyNumberFormat="1" applyFont="1" applyBorder="1"/>
    <xf numFmtId="173" fontId="10" fillId="2" borderId="2" xfId="0" applyNumberFormat="1" applyFont="1" applyFill="1" applyBorder="1"/>
    <xf numFmtId="172" fontId="10" fillId="0" borderId="2" xfId="0" applyNumberFormat="1" applyFont="1" applyBorder="1"/>
    <xf numFmtId="174" fontId="10" fillId="2" borderId="2" xfId="0" applyNumberFormat="1" applyFont="1" applyFill="1" applyBorder="1"/>
    <xf numFmtId="172" fontId="10" fillId="2" borderId="3" xfId="1" applyNumberFormat="1" applyFont="1" applyFill="1" applyBorder="1" applyAlignment="1">
      <alignment horizontal="right" wrapText="1"/>
    </xf>
    <xf numFmtId="164" fontId="10" fillId="2" borderId="0" xfId="1" applyFont="1" applyFill="1" applyBorder="1" applyAlignment="1">
      <alignment wrapText="1"/>
    </xf>
    <xf numFmtId="164" fontId="10" fillId="2" borderId="5" xfId="1" applyNumberFormat="1" applyFont="1" applyFill="1" applyBorder="1" applyAlignment="1">
      <alignment horizontal="right"/>
    </xf>
    <xf numFmtId="164" fontId="10" fillId="2" borderId="2" xfId="1" applyFont="1" applyFill="1" applyBorder="1" applyAlignment="1">
      <alignment horizontal="right"/>
    </xf>
    <xf numFmtId="164" fontId="10" fillId="2" borderId="2" xfId="1" applyFont="1" applyFill="1" applyBorder="1" applyAlignment="1">
      <alignment horizontal="center" wrapText="1"/>
    </xf>
    <xf numFmtId="10" fontId="10" fillId="2" borderId="2" xfId="2" applyNumberFormat="1" applyFont="1" applyFill="1" applyBorder="1" applyAlignment="1">
      <alignment horizontal="center" wrapText="1"/>
    </xf>
    <xf numFmtId="164" fontId="10" fillId="2" borderId="2" xfId="1" applyNumberFormat="1" applyFont="1" applyFill="1" applyBorder="1" applyAlignment="1">
      <alignment horizontal="center" wrapText="1"/>
    </xf>
    <xf numFmtId="172" fontId="10" fillId="2" borderId="2" xfId="1" applyNumberFormat="1" applyFont="1" applyFill="1" applyBorder="1" applyAlignment="1">
      <alignment horizontal="right" wrapText="1"/>
    </xf>
    <xf numFmtId="164" fontId="10" fillId="2" borderId="7" xfId="1" applyFont="1" applyFill="1" applyBorder="1"/>
    <xf numFmtId="164" fontId="10" fillId="2" borderId="7" xfId="1" applyFont="1" applyFill="1" applyBorder="1" applyAlignment="1">
      <alignment wrapText="1"/>
    </xf>
    <xf numFmtId="172" fontId="10" fillId="2" borderId="2" xfId="1" applyNumberFormat="1" applyFont="1" applyFill="1" applyBorder="1" applyAlignment="1">
      <alignment horizontal="right" vertical="center" wrapText="1"/>
    </xf>
    <xf numFmtId="164" fontId="10" fillId="2" borderId="2" xfId="1" applyNumberFormat="1" applyFont="1" applyFill="1" applyBorder="1" applyAlignment="1"/>
    <xf numFmtId="0" fontId="25" fillId="0" borderId="0" xfId="0" applyFont="1"/>
    <xf numFmtId="164" fontId="24" fillId="5" borderId="2" xfId="1" applyFont="1" applyFill="1" applyBorder="1"/>
    <xf numFmtId="10" fontId="24" fillId="5" borderId="2" xfId="0" applyNumberFormat="1" applyFont="1" applyFill="1" applyBorder="1"/>
    <xf numFmtId="10" fontId="24" fillId="5" borderId="2" xfId="0" applyNumberFormat="1" applyFont="1" applyFill="1" applyBorder="1" applyAlignment="1">
      <alignment horizontal="right" vertical="center"/>
    </xf>
    <xf numFmtId="173" fontId="24" fillId="5" borderId="2" xfId="0" applyNumberFormat="1" applyFont="1" applyFill="1" applyBorder="1" applyAlignment="1">
      <alignment horizontal="right" vertical="center"/>
    </xf>
    <xf numFmtId="49" fontId="22" fillId="2" borderId="2" xfId="0" applyNumberFormat="1" applyFont="1" applyFill="1" applyBorder="1" applyAlignment="1">
      <alignment horizontal="right"/>
    </xf>
    <xf numFmtId="10" fontId="22" fillId="2" borderId="2" xfId="0" applyNumberFormat="1" applyFont="1" applyFill="1" applyBorder="1"/>
    <xf numFmtId="10" fontId="22" fillId="2" borderId="2" xfId="0" applyNumberFormat="1" applyFont="1" applyFill="1" applyBorder="1" applyAlignment="1">
      <alignment horizontal="right" vertical="center"/>
    </xf>
    <xf numFmtId="173" fontId="22" fillId="2" borderId="2" xfId="0" applyNumberFormat="1" applyFont="1" applyFill="1" applyBorder="1" applyAlignment="1">
      <alignment horizontal="right" vertical="center"/>
    </xf>
    <xf numFmtId="172" fontId="10" fillId="2" borderId="2" xfId="1" applyNumberFormat="1" applyFont="1" applyFill="1" applyBorder="1" applyAlignment="1">
      <alignment horizontal="right"/>
    </xf>
    <xf numFmtId="164" fontId="24" fillId="2" borderId="2" xfId="1" applyFont="1" applyFill="1" applyBorder="1"/>
    <xf numFmtId="164" fontId="21" fillId="8" borderId="0" xfId="1" applyFont="1" applyFill="1"/>
    <xf numFmtId="0" fontId="26" fillId="8" borderId="0" xfId="0" applyFont="1" applyFill="1"/>
    <xf numFmtId="164" fontId="26" fillId="8" borderId="0" xfId="1" applyFont="1" applyFill="1"/>
    <xf numFmtId="0" fontId="27" fillId="2" borderId="0" xfId="0" applyFont="1" applyFill="1"/>
    <xf numFmtId="0" fontId="28" fillId="2" borderId="0" xfId="0" applyFont="1" applyFill="1"/>
    <xf numFmtId="164" fontId="17" fillId="2" borderId="0" xfId="1" applyFont="1" applyFill="1" applyBorder="1" applyAlignment="1"/>
    <xf numFmtId="0" fontId="29" fillId="9" borderId="0" xfId="0" applyFont="1" applyFill="1" applyAlignment="1">
      <alignment horizontal="right" vertical="center"/>
    </xf>
    <xf numFmtId="0" fontId="30" fillId="9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73" fontId="31" fillId="2" borderId="0" xfId="0" applyNumberFormat="1" applyFont="1" applyFill="1"/>
    <xf numFmtId="175" fontId="31" fillId="2" borderId="0" xfId="0" applyNumberFormat="1" applyFont="1" applyFill="1"/>
    <xf numFmtId="164" fontId="18" fillId="0" borderId="0" xfId="1" applyFont="1"/>
    <xf numFmtId="4" fontId="18" fillId="0" borderId="0" xfId="0" applyNumberFormat="1" applyFont="1"/>
    <xf numFmtId="16" fontId="6" fillId="2" borderId="0" xfId="0" quotePrefix="1" applyNumberFormat="1" applyFont="1" applyFill="1" applyAlignment="1">
      <alignment horizontal="right" wrapText="1"/>
    </xf>
    <xf numFmtId="16" fontId="6" fillId="2" borderId="2" xfId="0" quotePrefix="1" applyNumberFormat="1" applyFont="1" applyFill="1" applyBorder="1" applyAlignment="1">
      <alignment horizontal="right"/>
    </xf>
    <xf numFmtId="174" fontId="10" fillId="2" borderId="2" xfId="0" applyNumberFormat="1" applyFont="1" applyFill="1" applyBorder="1" applyAlignment="1">
      <alignment horizontal="center" wrapText="1"/>
    </xf>
    <xf numFmtId="49" fontId="20" fillId="4" borderId="2" xfId="0" applyNumberFormat="1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49" fontId="21" fillId="2" borderId="2" xfId="0" applyNumberFormat="1" applyFont="1" applyFill="1" applyBorder="1" applyAlignment="1">
      <alignment horizontal="center" vertical="top" wrapText="1"/>
    </xf>
    <xf numFmtId="164" fontId="22" fillId="2" borderId="2" xfId="1" applyFont="1" applyFill="1" applyBorder="1" applyAlignment="1">
      <alignment horizontal="right"/>
    </xf>
    <xf numFmtId="174" fontId="22" fillId="2" borderId="2" xfId="0" applyNumberFormat="1" applyFont="1" applyFill="1" applyBorder="1" applyAlignment="1">
      <alignment horizontal="center"/>
    </xf>
    <xf numFmtId="49" fontId="22" fillId="2" borderId="2" xfId="0" applyNumberFormat="1" applyFont="1" applyFill="1" applyBorder="1" applyAlignment="1">
      <alignment horizontal="center" wrapText="1"/>
    </xf>
    <xf numFmtId="49" fontId="21" fillId="2" borderId="3" xfId="0" applyNumberFormat="1" applyFont="1" applyFill="1" applyBorder="1" applyAlignment="1">
      <alignment horizontal="center" vertical="top" wrapText="1"/>
    </xf>
    <xf numFmtId="49" fontId="21" fillId="2" borderId="4" xfId="0" applyNumberFormat="1" applyFont="1" applyFill="1" applyBorder="1" applyAlignment="1">
      <alignment horizontal="center" vertical="top" wrapText="1"/>
    </xf>
    <xf numFmtId="49" fontId="21" fillId="2" borderId="5" xfId="0" applyNumberFormat="1" applyFont="1" applyFill="1" applyBorder="1" applyAlignment="1">
      <alignment horizontal="center" vertical="top" wrapText="1"/>
    </xf>
    <xf numFmtId="173" fontId="24" fillId="2" borderId="2" xfId="0" applyNumberFormat="1" applyFont="1" applyFill="1" applyBorder="1" applyAlignment="1">
      <alignment horizontal="center" wrapText="1"/>
    </xf>
    <xf numFmtId="174" fontId="10" fillId="2" borderId="2" xfId="0" applyNumberFormat="1" applyFont="1" applyFill="1" applyBorder="1" applyAlignment="1">
      <alignment horizontal="center" wrapText="1"/>
    </xf>
    <xf numFmtId="173" fontId="24" fillId="2" borderId="3" xfId="0" applyNumberFormat="1" applyFont="1" applyFill="1" applyBorder="1" applyAlignment="1">
      <alignment horizontal="center" wrapText="1"/>
    </xf>
    <xf numFmtId="173" fontId="24" fillId="2" borderId="4" xfId="0" applyNumberFormat="1" applyFont="1" applyFill="1" applyBorder="1" applyAlignment="1">
      <alignment horizontal="center" wrapText="1"/>
    </xf>
    <xf numFmtId="173" fontId="24" fillId="2" borderId="5" xfId="0" applyNumberFormat="1" applyFont="1" applyFill="1" applyBorder="1" applyAlignment="1">
      <alignment horizontal="center" wrapText="1"/>
    </xf>
    <xf numFmtId="174" fontId="22" fillId="2" borderId="2" xfId="0" applyNumberFormat="1" applyFont="1" applyFill="1" applyBorder="1" applyAlignment="1">
      <alignment horizontal="center" wrapText="1"/>
    </xf>
    <xf numFmtId="0" fontId="24" fillId="2" borderId="2" xfId="0" applyFont="1" applyFill="1" applyBorder="1" applyAlignment="1">
      <alignment horizontal="center" wrapText="1"/>
    </xf>
    <xf numFmtId="2" fontId="24" fillId="2" borderId="2" xfId="0" applyNumberFormat="1" applyFont="1" applyFill="1" applyBorder="1" applyAlignment="1">
      <alignment horizontal="center" wrapText="1"/>
    </xf>
    <xf numFmtId="164" fontId="21" fillId="8" borderId="2" xfId="1" applyFont="1" applyFill="1" applyBorder="1" applyAlignment="1">
      <alignment horizontal="right"/>
    </xf>
    <xf numFmtId="0" fontId="24" fillId="2" borderId="6" xfId="0" applyFont="1" applyFill="1" applyBorder="1" applyAlignment="1">
      <alignment horizontal="center" wrapText="1"/>
    </xf>
    <xf numFmtId="49" fontId="24" fillId="5" borderId="2" xfId="0" applyNumberFormat="1" applyFont="1" applyFill="1" applyBorder="1" applyAlignment="1">
      <alignment horizontal="right"/>
    </xf>
    <xf numFmtId="49" fontId="21" fillId="2" borderId="2" xfId="0" applyNumberFormat="1" applyFont="1" applyFill="1" applyBorder="1" applyAlignment="1">
      <alignment horizontal="center"/>
    </xf>
    <xf numFmtId="0" fontId="13" fillId="2" borderId="0" xfId="0" applyFont="1" applyFill="1" applyAlignment="1">
      <alignment horizontal="center" wrapText="1"/>
    </xf>
    <xf numFmtId="4" fontId="10" fillId="2" borderId="9" xfId="0" applyNumberFormat="1" applyFont="1" applyFill="1" applyBorder="1" applyAlignment="1">
      <alignment wrapText="1"/>
    </xf>
    <xf numFmtId="0" fontId="10" fillId="2" borderId="9" xfId="0" applyFont="1" applyFill="1" applyBorder="1" applyAlignment="1">
      <alignment wrapText="1"/>
    </xf>
    <xf numFmtId="4" fontId="43" fillId="0" borderId="0" xfId="0" applyNumberFormat="1" applyFont="1"/>
    <xf numFmtId="4" fontId="10" fillId="2" borderId="10" xfId="0" applyNumberFormat="1" applyFont="1" applyFill="1" applyBorder="1" applyAlignment="1">
      <alignment wrapText="1"/>
    </xf>
    <xf numFmtId="0" fontId="9" fillId="2" borderId="10" xfId="0" applyFont="1" applyFill="1" applyBorder="1" applyAlignment="1">
      <alignment wrapText="1"/>
    </xf>
    <xf numFmtId="49" fontId="42" fillId="2" borderId="2" xfId="0" applyNumberFormat="1" applyFont="1" applyFill="1" applyBorder="1" applyAlignment="1">
      <alignment wrapText="1"/>
    </xf>
    <xf numFmtId="43" fontId="2" fillId="0" borderId="0" xfId="201" applyFont="1" applyBorder="1"/>
  </cellXfs>
  <cellStyles count="465">
    <cellStyle name="20% - Accent1 2" xfId="3"/>
    <cellStyle name="20% - Accent1 2 2" xfId="4"/>
    <cellStyle name="20% - Accent1 2 3" xfId="5"/>
    <cellStyle name="20% - Accent1 3" xfId="6"/>
    <cellStyle name="20% - Accent1 3 2" xfId="7"/>
    <cellStyle name="20% - Accent1 3 3" xfId="8"/>
    <cellStyle name="20% - Accent1 4" xfId="9"/>
    <cellStyle name="20% - Accent1 4 2" xfId="10"/>
    <cellStyle name="20% - Accent1 5" xfId="11"/>
    <cellStyle name="20% - Accent1 6" xfId="12"/>
    <cellStyle name="20% - Accent2 2" xfId="13"/>
    <cellStyle name="20% - Accent2 2 2" xfId="14"/>
    <cellStyle name="20% - Accent2 2 3" xfId="15"/>
    <cellStyle name="20% - Accent2 3" xfId="16"/>
    <cellStyle name="20% - Accent2 3 2" xfId="17"/>
    <cellStyle name="20% - Accent2 3 3" xfId="18"/>
    <cellStyle name="20% - Accent2 4" xfId="19"/>
    <cellStyle name="20% - Accent2 4 2" xfId="20"/>
    <cellStyle name="20% - Accent2 5" xfId="21"/>
    <cellStyle name="20% - Accent2 6" xfId="22"/>
    <cellStyle name="20% - Accent3 2" xfId="23"/>
    <cellStyle name="20% - Accent3 2 2" xfId="24"/>
    <cellStyle name="20% - Accent3 2 3" xfId="25"/>
    <cellStyle name="20% - Accent3 3" xfId="26"/>
    <cellStyle name="20% - Accent3 3 2" xfId="27"/>
    <cellStyle name="20% - Accent3 3 3" xfId="28"/>
    <cellStyle name="20% - Accent3 4" xfId="29"/>
    <cellStyle name="20% - Accent3 4 2" xfId="30"/>
    <cellStyle name="20% - Accent3 5" xfId="31"/>
    <cellStyle name="20% - Accent3 6" xfId="32"/>
    <cellStyle name="20% - Accent4 2" xfId="33"/>
    <cellStyle name="20% - Accent4 2 2" xfId="34"/>
    <cellStyle name="20% - Accent4 2 3" xfId="35"/>
    <cellStyle name="20% - Accent4 3" xfId="36"/>
    <cellStyle name="20% - Accent4 3 2" xfId="37"/>
    <cellStyle name="20% - Accent4 3 3" xfId="38"/>
    <cellStyle name="20% - Accent4 4" xfId="39"/>
    <cellStyle name="20% - Accent4 4 2" xfId="40"/>
    <cellStyle name="20% - Accent4 5" xfId="41"/>
    <cellStyle name="20% - Accent4 6" xfId="42"/>
    <cellStyle name="20% - Accent5 2" xfId="43"/>
    <cellStyle name="20% - Accent5 2 2" xfId="44"/>
    <cellStyle name="20% - Accent5 2 3" xfId="45"/>
    <cellStyle name="20% - Accent5 3" xfId="46"/>
    <cellStyle name="20% - Accent5 3 2" xfId="47"/>
    <cellStyle name="20% - Accent5 3 3" xfId="48"/>
    <cellStyle name="20% - Accent5 4" xfId="49"/>
    <cellStyle name="20% - Accent5 4 2" xfId="50"/>
    <cellStyle name="20% - Accent5 5" xfId="51"/>
    <cellStyle name="20% - Accent5 6" xfId="52"/>
    <cellStyle name="20% - Accent6 2" xfId="53"/>
    <cellStyle name="20% - Accent6 2 2" xfId="54"/>
    <cellStyle name="20% - Accent6 2 3" xfId="55"/>
    <cellStyle name="20% - Accent6 3" xfId="56"/>
    <cellStyle name="20% - Accent6 3 2" xfId="57"/>
    <cellStyle name="20% - Accent6 3 3" xfId="58"/>
    <cellStyle name="20% - Accent6 4" xfId="59"/>
    <cellStyle name="20% - Accent6 4 2" xfId="60"/>
    <cellStyle name="20% - Accent6 5" xfId="61"/>
    <cellStyle name="20% - Accent6 6" xfId="62"/>
    <cellStyle name="40% - Accent1 2" xfId="63"/>
    <cellStyle name="40% - Accent1 2 2" xfId="64"/>
    <cellStyle name="40% - Accent1 2 3" xfId="65"/>
    <cellStyle name="40% - Accent1 3" xfId="66"/>
    <cellStyle name="40% - Accent1 3 2" xfId="67"/>
    <cellStyle name="40% - Accent1 3 3" xfId="68"/>
    <cellStyle name="40% - Accent1 4" xfId="69"/>
    <cellStyle name="40% - Accent1 4 2" xfId="70"/>
    <cellStyle name="40% - Accent1 5" xfId="71"/>
    <cellStyle name="40% - Accent1 6" xfId="72"/>
    <cellStyle name="40% - Accent2 2" xfId="73"/>
    <cellStyle name="40% - Accent2 2 2" xfId="74"/>
    <cellStyle name="40% - Accent2 2 3" xfId="75"/>
    <cellStyle name="40% - Accent2 3" xfId="76"/>
    <cellStyle name="40% - Accent2 3 2" xfId="77"/>
    <cellStyle name="40% - Accent2 3 3" xfId="78"/>
    <cellStyle name="40% - Accent2 4" xfId="79"/>
    <cellStyle name="40% - Accent2 4 2" xfId="80"/>
    <cellStyle name="40% - Accent2 5" xfId="81"/>
    <cellStyle name="40% - Accent2 6" xfId="82"/>
    <cellStyle name="40% - Accent3 2" xfId="83"/>
    <cellStyle name="40% - Accent3 2 2" xfId="84"/>
    <cellStyle name="40% - Accent3 2 3" xfId="85"/>
    <cellStyle name="40% - Accent3 3" xfId="86"/>
    <cellStyle name="40% - Accent3 3 2" xfId="87"/>
    <cellStyle name="40% - Accent3 3 3" xfId="88"/>
    <cellStyle name="40% - Accent3 4" xfId="89"/>
    <cellStyle name="40% - Accent3 4 2" xfId="90"/>
    <cellStyle name="40% - Accent3 5" xfId="91"/>
    <cellStyle name="40% - Accent3 6" xfId="92"/>
    <cellStyle name="40% - Accent4 2" xfId="93"/>
    <cellStyle name="40% - Accent4 2 2" xfId="94"/>
    <cellStyle name="40% - Accent4 2 3" xfId="95"/>
    <cellStyle name="40% - Accent4 3" xfId="96"/>
    <cellStyle name="40% - Accent4 3 2" xfId="97"/>
    <cellStyle name="40% - Accent4 3 3" xfId="98"/>
    <cellStyle name="40% - Accent4 4" xfId="99"/>
    <cellStyle name="40% - Accent4 4 2" xfId="100"/>
    <cellStyle name="40% - Accent4 5" xfId="101"/>
    <cellStyle name="40% - Accent4 6" xfId="102"/>
    <cellStyle name="40% - Accent5 2" xfId="103"/>
    <cellStyle name="40% - Accent5 2 2" xfId="104"/>
    <cellStyle name="40% - Accent5 2 3" xfId="105"/>
    <cellStyle name="40% - Accent5 3" xfId="106"/>
    <cellStyle name="40% - Accent5 3 2" xfId="107"/>
    <cellStyle name="40% - Accent5 3 3" xfId="108"/>
    <cellStyle name="40% - Accent5 4" xfId="109"/>
    <cellStyle name="40% - Accent5 4 2" xfId="110"/>
    <cellStyle name="40% - Accent5 5" xfId="111"/>
    <cellStyle name="40% - Accent5 6" xfId="112"/>
    <cellStyle name="40% - Accent6 2" xfId="113"/>
    <cellStyle name="40% - Accent6 2 2" xfId="114"/>
    <cellStyle name="40% - Accent6 2 3" xfId="115"/>
    <cellStyle name="40% - Accent6 3" xfId="116"/>
    <cellStyle name="40% - Accent6 3 2" xfId="117"/>
    <cellStyle name="40% - Accent6 3 3" xfId="118"/>
    <cellStyle name="40% - Accent6 4" xfId="119"/>
    <cellStyle name="40% - Accent6 4 2" xfId="120"/>
    <cellStyle name="40% - Accent6 5" xfId="121"/>
    <cellStyle name="40% - Accent6 6" xfId="122"/>
    <cellStyle name="60% - Accent1 2" xfId="123"/>
    <cellStyle name="60% - Accent1 2 2" xfId="124"/>
    <cellStyle name="60% - Accent1 2 3" xfId="125"/>
    <cellStyle name="60% - Accent1 3" xfId="126"/>
    <cellStyle name="60% - Accent1 3 2" xfId="127"/>
    <cellStyle name="60% - Accent1 3 3" xfId="128"/>
    <cellStyle name="60% - Accent1 4" xfId="129"/>
    <cellStyle name="60% - Accent1 4 2" xfId="130"/>
    <cellStyle name="60% - Accent1 5" xfId="131"/>
    <cellStyle name="60% - Accent1 6" xfId="132"/>
    <cellStyle name="60% - Accent2 2" xfId="133"/>
    <cellStyle name="60% - Accent2 2 2" xfId="134"/>
    <cellStyle name="60% - Accent2 2 3" xfId="135"/>
    <cellStyle name="60% - Accent2 3" xfId="136"/>
    <cellStyle name="60% - Accent2 3 2" xfId="137"/>
    <cellStyle name="60% - Accent2 3 3" xfId="138"/>
    <cellStyle name="60% - Accent2 4" xfId="139"/>
    <cellStyle name="60% - Accent2 4 2" xfId="140"/>
    <cellStyle name="60% - Accent2 5" xfId="141"/>
    <cellStyle name="60% - Accent2 6" xfId="142"/>
    <cellStyle name="60% - Accent3 2" xfId="143"/>
    <cellStyle name="60% - Accent3 2 2" xfId="144"/>
    <cellStyle name="60% - Accent3 2 3" xfId="145"/>
    <cellStyle name="60% - Accent3 3" xfId="146"/>
    <cellStyle name="60% - Accent3 3 2" xfId="147"/>
    <cellStyle name="60% - Accent3 3 3" xfId="148"/>
    <cellStyle name="60% - Accent3 4" xfId="149"/>
    <cellStyle name="60% - Accent3 4 2" xfId="150"/>
    <cellStyle name="60% - Accent3 5" xfId="151"/>
    <cellStyle name="60% - Accent3 6" xfId="152"/>
    <cellStyle name="60% - Accent4 2" xfId="153"/>
    <cellStyle name="60% - Accent4 2 2" xfId="154"/>
    <cellStyle name="60% - Accent4 2 3" xfId="155"/>
    <cellStyle name="60% - Accent4 3" xfId="156"/>
    <cellStyle name="60% - Accent4 3 2" xfId="157"/>
    <cellStyle name="60% - Accent4 3 3" xfId="158"/>
    <cellStyle name="60% - Accent4 4" xfId="159"/>
    <cellStyle name="60% - Accent4 4 2" xfId="160"/>
    <cellStyle name="60% - Accent4 5" xfId="161"/>
    <cellStyle name="60% - Accent4 6" xfId="162"/>
    <cellStyle name="60% - Accent5 2" xfId="163"/>
    <cellStyle name="60% - Accent5 2 2" xfId="164"/>
    <cellStyle name="60% - Accent5 2 3" xfId="165"/>
    <cellStyle name="60% - Accent5 3" xfId="166"/>
    <cellStyle name="60% - Accent5 3 2" xfId="167"/>
    <cellStyle name="60% - Accent5 3 3" xfId="168"/>
    <cellStyle name="60% - Accent5 4" xfId="169"/>
    <cellStyle name="60% - Accent5 4 2" xfId="170"/>
    <cellStyle name="60% - Accent5 5" xfId="171"/>
    <cellStyle name="60% - Accent5 6" xfId="172"/>
    <cellStyle name="60% - Accent6 2" xfId="173"/>
    <cellStyle name="60% - Accent6 2 2" xfId="174"/>
    <cellStyle name="60% - Accent6 2 3" xfId="175"/>
    <cellStyle name="60% - Accent6 3" xfId="176"/>
    <cellStyle name="60% - Accent6 3 2" xfId="177"/>
    <cellStyle name="60% - Accent6 3 3" xfId="178"/>
    <cellStyle name="60% - Accent6 4" xfId="179"/>
    <cellStyle name="60% - Accent6 4 2" xfId="180"/>
    <cellStyle name="60% - Accent6 5" xfId="181"/>
    <cellStyle name="60% - Accent6 6" xfId="182"/>
    <cellStyle name="Comma" xfId="1" builtinId="3"/>
    <cellStyle name="Comma 10" xfId="183"/>
    <cellStyle name="Comma 10 13" xfId="184"/>
    <cellStyle name="Comma 11" xfId="185"/>
    <cellStyle name="Comma 12" xfId="186"/>
    <cellStyle name="Comma 12 2" xfId="187"/>
    <cellStyle name="Comma 12 3" xfId="188"/>
    <cellStyle name="Comma 13" xfId="189"/>
    <cellStyle name="Comma 13 2" xfId="190"/>
    <cellStyle name="Comma 13 3" xfId="191"/>
    <cellStyle name="Comma 14" xfId="192"/>
    <cellStyle name="Comma 15" xfId="193"/>
    <cellStyle name="Comma 15 2" xfId="194"/>
    <cellStyle name="Comma 15 3" xfId="195"/>
    <cellStyle name="Comma 16" xfId="196"/>
    <cellStyle name="Comma 16 2" xfId="197"/>
    <cellStyle name="Comma 16 3" xfId="198"/>
    <cellStyle name="Comma 17" xfId="199"/>
    <cellStyle name="Comma 18" xfId="200"/>
    <cellStyle name="Comma 2" xfId="201"/>
    <cellStyle name="Comma 2 10" xfId="202"/>
    <cellStyle name="Comma 2 10 2" xfId="203"/>
    <cellStyle name="Comma 2 11" xfId="204"/>
    <cellStyle name="Comma 2 11 2" xfId="205"/>
    <cellStyle name="Comma 2 12" xfId="206"/>
    <cellStyle name="Comma 2 13" xfId="207"/>
    <cellStyle name="Comma 2 2" xfId="208"/>
    <cellStyle name="Comma 2 2 2" xfId="209"/>
    <cellStyle name="Comma 2 2 2 2" xfId="210"/>
    <cellStyle name="Comma 2 2 2 2 2" xfId="211"/>
    <cellStyle name="Comma 2 2 2 2 3" xfId="212"/>
    <cellStyle name="Comma 2 2 2 3" xfId="213"/>
    <cellStyle name="Comma 2 3" xfId="214"/>
    <cellStyle name="Comma 2 3 2" xfId="215"/>
    <cellStyle name="Comma 2 4" xfId="216"/>
    <cellStyle name="Comma 2 4 2" xfId="217"/>
    <cellStyle name="Comma 2 5" xfId="218"/>
    <cellStyle name="Comma 2 5 2" xfId="219"/>
    <cellStyle name="Comma 2 6" xfId="220"/>
    <cellStyle name="Comma 2 6 2" xfId="221"/>
    <cellStyle name="Comma 2 7" xfId="222"/>
    <cellStyle name="Comma 2 7 2" xfId="223"/>
    <cellStyle name="Comma 2 8" xfId="224"/>
    <cellStyle name="Comma 2 8 2" xfId="225"/>
    <cellStyle name="Comma 2 9" xfId="226"/>
    <cellStyle name="Comma 2 9 2" xfId="227"/>
    <cellStyle name="Comma 3" xfId="228"/>
    <cellStyle name="Comma 3 2" xfId="229"/>
    <cellStyle name="Comma 3 2 2" xfId="230"/>
    <cellStyle name="Comma 3 3" xfId="231"/>
    <cellStyle name="Comma 3 4" xfId="232"/>
    <cellStyle name="Comma 3 4 3" xfId="233"/>
    <cellStyle name="Comma 3 4 4" xfId="234"/>
    <cellStyle name="Comma 4" xfId="235"/>
    <cellStyle name="Comma 4 2" xfId="236"/>
    <cellStyle name="Comma 4 3" xfId="237"/>
    <cellStyle name="Comma 5" xfId="238"/>
    <cellStyle name="Comma 6" xfId="239"/>
    <cellStyle name="Comma 7" xfId="240"/>
    <cellStyle name="Comma 8" xfId="241"/>
    <cellStyle name="Comma 8 2" xfId="242"/>
    <cellStyle name="Comma 9" xfId="243"/>
    <cellStyle name="Neutral 2" xfId="244"/>
    <cellStyle name="Normal" xfId="0" builtinId="0"/>
    <cellStyle name="Normal - Style1" xfId="245"/>
    <cellStyle name="Normal 10" xfId="246"/>
    <cellStyle name="Normal 10 2" xfId="247"/>
    <cellStyle name="Normal 10 3" xfId="248"/>
    <cellStyle name="Normal 11" xfId="249"/>
    <cellStyle name="Normal 11 2" xfId="250"/>
    <cellStyle name="Normal 11 3" xfId="251"/>
    <cellStyle name="Normal 12" xfId="252"/>
    <cellStyle name="Normal 12 2" xfId="253"/>
    <cellStyle name="Normal 12 2 2" xfId="254"/>
    <cellStyle name="Normal 12 2 3" xfId="255"/>
    <cellStyle name="Normal 12 3" xfId="256"/>
    <cellStyle name="Normal 12 4" xfId="257"/>
    <cellStyle name="Normal 13" xfId="258"/>
    <cellStyle name="Normal 13 2" xfId="259"/>
    <cellStyle name="Normal 13 3" xfId="260"/>
    <cellStyle name="Normal 14" xfId="261"/>
    <cellStyle name="Normal 14 2" xfId="262"/>
    <cellStyle name="Normal 15" xfId="263"/>
    <cellStyle name="Normal 15 2" xfId="264"/>
    <cellStyle name="Normal 15 3" xfId="265"/>
    <cellStyle name="Normal 16" xfId="266"/>
    <cellStyle name="Normal 16 2" xfId="267"/>
    <cellStyle name="Normal 16 3" xfId="268"/>
    <cellStyle name="Normal 17" xfId="269"/>
    <cellStyle name="Normal 17 2" xfId="270"/>
    <cellStyle name="Normal 17 3" xfId="271"/>
    <cellStyle name="Normal 18" xfId="272"/>
    <cellStyle name="Normal 18 2" xfId="273"/>
    <cellStyle name="Normal 18 3" xfId="274"/>
    <cellStyle name="Normal 19" xfId="275"/>
    <cellStyle name="Normal 19 2" xfId="276"/>
    <cellStyle name="Normal 19 3" xfId="277"/>
    <cellStyle name="Normal 2" xfId="278"/>
    <cellStyle name="Normal 2 2" xfId="279"/>
    <cellStyle name="Normal 2 2 2" xfId="280"/>
    <cellStyle name="Normal 2 3" xfId="281"/>
    <cellStyle name="Normal 2 4" xfId="282"/>
    <cellStyle name="Normal 2 5" xfId="283"/>
    <cellStyle name="Normal 2 6" xfId="284"/>
    <cellStyle name="Normal 20" xfId="285"/>
    <cellStyle name="Normal 20 2" xfId="286"/>
    <cellStyle name="Normal 20 3" xfId="287"/>
    <cellStyle name="Normal 21" xfId="288"/>
    <cellStyle name="Normal 21 2" xfId="289"/>
    <cellStyle name="Normal 21 3" xfId="290"/>
    <cellStyle name="Normal 22" xfId="291"/>
    <cellStyle name="Normal 22 2" xfId="292"/>
    <cellStyle name="Normal 22 3" xfId="293"/>
    <cellStyle name="Normal 23" xfId="294"/>
    <cellStyle name="Normal 23 2" xfId="295"/>
    <cellStyle name="Normal 23 3" xfId="296"/>
    <cellStyle name="Normal 24" xfId="297"/>
    <cellStyle name="Normal 24 2" xfId="298"/>
    <cellStyle name="Normal 24 3" xfId="299"/>
    <cellStyle name="Normal 25" xfId="300"/>
    <cellStyle name="Normal 25 2" xfId="301"/>
    <cellStyle name="Normal 25 3" xfId="302"/>
    <cellStyle name="Normal 26" xfId="303"/>
    <cellStyle name="Normal 26 2" xfId="304"/>
    <cellStyle name="Normal 26 3" xfId="305"/>
    <cellStyle name="Normal 27" xfId="306"/>
    <cellStyle name="Normal 27 2" xfId="307"/>
    <cellStyle name="Normal 27 2 2" xfId="308"/>
    <cellStyle name="Normal 27 3" xfId="309"/>
    <cellStyle name="Normal 28" xfId="310"/>
    <cellStyle name="Normal 28 2" xfId="311"/>
    <cellStyle name="Normal 29" xfId="312"/>
    <cellStyle name="Normal 29 2" xfId="313"/>
    <cellStyle name="Normal 3" xfId="314"/>
    <cellStyle name="Normal 3 2" xfId="315"/>
    <cellStyle name="Normal 3 2 2" xfId="316"/>
    <cellStyle name="Normal 3 2 3" xfId="317"/>
    <cellStyle name="Normal 3 3" xfId="318"/>
    <cellStyle name="Normal 3 4" xfId="319"/>
    <cellStyle name="Normal 30" xfId="320"/>
    <cellStyle name="Normal 30 2" xfId="321"/>
    <cellStyle name="Normal 31" xfId="322"/>
    <cellStyle name="Normal 31 2" xfId="323"/>
    <cellStyle name="Normal 32" xfId="324"/>
    <cellStyle name="Normal 32 2" xfId="325"/>
    <cellStyle name="Normal 33" xfId="326"/>
    <cellStyle name="Normal 33 2" xfId="327"/>
    <cellStyle name="Normal 34" xfId="328"/>
    <cellStyle name="Normal 34 2" xfId="329"/>
    <cellStyle name="Normal 35" xfId="330"/>
    <cellStyle name="Normal 35 2" xfId="331"/>
    <cellStyle name="Normal 36" xfId="332"/>
    <cellStyle name="Normal 36 2" xfId="333"/>
    <cellStyle name="Normal 37" xfId="334"/>
    <cellStyle name="Normal 37 2" xfId="335"/>
    <cellStyle name="Normal 38" xfId="336"/>
    <cellStyle name="Normal 38 2" xfId="337"/>
    <cellStyle name="Normal 39" xfId="338"/>
    <cellStyle name="Normal 39 2" xfId="339"/>
    <cellStyle name="Normal 4" xfId="340"/>
    <cellStyle name="Normal 4 2" xfId="341"/>
    <cellStyle name="Normal 40" xfId="342"/>
    <cellStyle name="Normal 40 2" xfId="343"/>
    <cellStyle name="Normal 41" xfId="344"/>
    <cellStyle name="Normal 41 2" xfId="345"/>
    <cellStyle name="Normal 42" xfId="346"/>
    <cellStyle name="Normal 42 2" xfId="347"/>
    <cellStyle name="Normal 43" xfId="348"/>
    <cellStyle name="Normal 43 2" xfId="349"/>
    <cellStyle name="Normal 44" xfId="350"/>
    <cellStyle name="Normal 44 2" xfId="351"/>
    <cellStyle name="Normal 45" xfId="352"/>
    <cellStyle name="Normal 45 2" xfId="353"/>
    <cellStyle name="Normal 46" xfId="354"/>
    <cellStyle name="Normal 46 2" xfId="355"/>
    <cellStyle name="Normal 47" xfId="356"/>
    <cellStyle name="Normal 47 2" xfId="357"/>
    <cellStyle name="Normal 48" xfId="358"/>
    <cellStyle name="Normal 48 2" xfId="359"/>
    <cellStyle name="Normal 49" xfId="360"/>
    <cellStyle name="Normal 49 2" xfId="361"/>
    <cellStyle name="Normal 5" xfId="362"/>
    <cellStyle name="Normal 50" xfId="363"/>
    <cellStyle name="Normal 50 2" xfId="364"/>
    <cellStyle name="Normal 51" xfId="365"/>
    <cellStyle name="Normal 51 2" xfId="366"/>
    <cellStyle name="Normal 52" xfId="367"/>
    <cellStyle name="Normal 52 2" xfId="368"/>
    <cellStyle name="Normal 53" xfId="369"/>
    <cellStyle name="Normal 53 2" xfId="370"/>
    <cellStyle name="Normal 54" xfId="371"/>
    <cellStyle name="Normal 54 2" xfId="372"/>
    <cellStyle name="Normal 55" xfId="373"/>
    <cellStyle name="Normal 55 2" xfId="374"/>
    <cellStyle name="Normal 56" xfId="375"/>
    <cellStyle name="Normal 56 2" xfId="376"/>
    <cellStyle name="Normal 57" xfId="377"/>
    <cellStyle name="Normal 57 2" xfId="378"/>
    <cellStyle name="Normal 58" xfId="379"/>
    <cellStyle name="Normal 58 2" xfId="380"/>
    <cellStyle name="Normal 59" xfId="381"/>
    <cellStyle name="Normal 59 2" xfId="382"/>
    <cellStyle name="Normal 6" xfId="383"/>
    <cellStyle name="Normal 6 2" xfId="384"/>
    <cellStyle name="Normal 6 3" xfId="385"/>
    <cellStyle name="Normal 60" xfId="386"/>
    <cellStyle name="Normal 60 2" xfId="387"/>
    <cellStyle name="Normal 61" xfId="388"/>
    <cellStyle name="Normal 61 2" xfId="389"/>
    <cellStyle name="Normal 62" xfId="390"/>
    <cellStyle name="Normal 62 2" xfId="391"/>
    <cellStyle name="Normal 63" xfId="392"/>
    <cellStyle name="Normal 63 2" xfId="393"/>
    <cellStyle name="Normal 64" xfId="394"/>
    <cellStyle name="Normal 64 2" xfId="395"/>
    <cellStyle name="Normal 65" xfId="396"/>
    <cellStyle name="Normal 65 2" xfId="397"/>
    <cellStyle name="Normal 66" xfId="398"/>
    <cellStyle name="Normal 66 2" xfId="399"/>
    <cellStyle name="Normal 67" xfId="400"/>
    <cellStyle name="Normal 67 2" xfId="401"/>
    <cellStyle name="Normal 68" xfId="402"/>
    <cellStyle name="Normal 68 2" xfId="403"/>
    <cellStyle name="Normal 69" xfId="404"/>
    <cellStyle name="Normal 69 2" xfId="405"/>
    <cellStyle name="Normal 7" xfId="406"/>
    <cellStyle name="Normal 7 2" xfId="407"/>
    <cellStyle name="Normal 7 3" xfId="408"/>
    <cellStyle name="Normal 70" xfId="409"/>
    <cellStyle name="Normal 71" xfId="410"/>
    <cellStyle name="Normal 72" xfId="411"/>
    <cellStyle name="Normal 73" xfId="412"/>
    <cellStyle name="Normal 74" xfId="413"/>
    <cellStyle name="Normal 75" xfId="414"/>
    <cellStyle name="Normal 8" xfId="415"/>
    <cellStyle name="Normal 8 2" xfId="416"/>
    <cellStyle name="Normal 8 3" xfId="417"/>
    <cellStyle name="Normal 9" xfId="418"/>
    <cellStyle name="Normal 9 2" xfId="419"/>
    <cellStyle name="Normal 9 3" xfId="420"/>
    <cellStyle name="Note 10" xfId="421"/>
    <cellStyle name="Note 10 2" xfId="422"/>
    <cellStyle name="Note 10 3" xfId="423"/>
    <cellStyle name="Note 11" xfId="424"/>
    <cellStyle name="Note 11 2" xfId="425"/>
    <cellStyle name="Note 11 3" xfId="426"/>
    <cellStyle name="Note 12" xfId="427"/>
    <cellStyle name="Note 12 2" xfId="428"/>
    <cellStyle name="Note 12 3" xfId="429"/>
    <cellStyle name="Note 13" xfId="430"/>
    <cellStyle name="Note 13 2" xfId="431"/>
    <cellStyle name="Note 14" xfId="432"/>
    <cellStyle name="Note 14 2" xfId="433"/>
    <cellStyle name="Note 2" xfId="434"/>
    <cellStyle name="Note 2 2" xfId="435"/>
    <cellStyle name="Note 2 3" xfId="436"/>
    <cellStyle name="Note 3" xfId="437"/>
    <cellStyle name="Note 3 2" xfId="438"/>
    <cellStyle name="Note 3 3" xfId="439"/>
    <cellStyle name="Note 4" xfId="440"/>
    <cellStyle name="Note 4 2" xfId="441"/>
    <cellStyle name="Note 4 3" xfId="442"/>
    <cellStyle name="Note 5" xfId="443"/>
    <cellStyle name="Note 5 2" xfId="444"/>
    <cellStyle name="Note 5 3" xfId="445"/>
    <cellStyle name="Note 6" xfId="446"/>
    <cellStyle name="Note 6 2" xfId="447"/>
    <cellStyle name="Note 6 3" xfId="448"/>
    <cellStyle name="Note 7" xfId="449"/>
    <cellStyle name="Note 7 2" xfId="450"/>
    <cellStyle name="Note 7 3" xfId="451"/>
    <cellStyle name="Note 8" xfId="452"/>
    <cellStyle name="Note 8 2" xfId="453"/>
    <cellStyle name="Note 8 3" xfId="454"/>
    <cellStyle name="Note 9" xfId="455"/>
    <cellStyle name="Note 9 2" xfId="456"/>
    <cellStyle name="Note 9 3" xfId="457"/>
    <cellStyle name="Percent" xfId="2" builtinId="5"/>
    <cellStyle name="Percent 2" xfId="458"/>
    <cellStyle name="Percent 2 2" xfId="459"/>
    <cellStyle name="Percent 2 2 2" xfId="460"/>
    <cellStyle name="Percent 3" xfId="461"/>
    <cellStyle name="Percent 4" xfId="462"/>
    <cellStyle name="Title 2" xfId="463"/>
    <cellStyle name="Title 3" xfId="464"/>
  </cellStyles>
  <dxfs count="0"/>
  <tableStyles count="0" defaultTableStyle="TableStyleMedium2" defaultPivotStyle="PivotStyleLight16"/>
  <colors>
    <mruColors>
      <color rgb="FF66CCFF"/>
      <color rgb="FF0C6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2400"/>
              <a:t>NAV BY CLASS OF FUNDS (N'Bn)</a:t>
            </a:r>
            <a:endParaRPr lang="en-US" sz="24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'NAV Comparison'!$B$4</c:f>
              <c:strCache>
                <c:ptCount val="1"/>
                <c:pt idx="0">
                  <c:v>Jul 2026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4.023882813784347E-2"/>
                  <c:y val="-7.16947916589939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CF96-43C8-ABC2-8EE1097B0462}"/>
                </c:ext>
              </c:extLst>
            </c:dLbl>
            <c:dLbl>
              <c:idx val="2"/>
              <c:layout>
                <c:manualLayout>
                  <c:x val="-7.2636236345186872E-2"/>
                  <c:y val="-3.11584648738366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F96-43C8-ABC2-8EE1097B0462}"/>
                </c:ext>
              </c:extLst>
            </c:dLbl>
            <c:dLbl>
              <c:idx val="4"/>
              <c:layout>
                <c:manualLayout>
                  <c:x val="-3.0418038997825055E-3"/>
                  <c:y val="-5.2985717758152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CF96-43C8-ABC2-8EE1097B0462}"/>
                </c:ext>
              </c:extLst>
            </c:dLbl>
            <c:dLbl>
              <c:idx val="6"/>
              <c:layout>
                <c:manualLayout>
                  <c:x val="-4.4702471046410779E-2"/>
                  <c:y val="-9.66402235267833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CF96-43C8-ABC2-8EE1097B0462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Comparison'!$B$5:$B$13</c:f>
              <c:numCache>
                <c:formatCode>0.00</c:formatCode>
                <c:ptCount val="9"/>
                <c:pt idx="0">
                  <c:v>241.38586553741001</c:v>
                </c:pt>
                <c:pt idx="1">
                  <c:v>6263.1142898272392</c:v>
                </c:pt>
                <c:pt idx="2">
                  <c:v>232.74981180539999</c:v>
                </c:pt>
                <c:pt idx="3">
                  <c:v>1819.3970402694449</c:v>
                </c:pt>
                <c:pt idx="4">
                  <c:v>519.10571993953999</c:v>
                </c:pt>
                <c:pt idx="5">
                  <c:v>155.82341934322869</c:v>
                </c:pt>
                <c:pt idx="6">
                  <c:v>19.720978131890003</c:v>
                </c:pt>
                <c:pt idx="7">
                  <c:v>145.25147190111574</c:v>
                </c:pt>
                <c:pt idx="8">
                  <c:v>52.84809592555218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96-43C8-ABC2-8EE1097B0462}"/>
            </c:ext>
          </c:extLst>
        </c:ser>
        <c:ser>
          <c:idx val="1"/>
          <c:order val="1"/>
          <c:tx>
            <c:strRef>
              <c:f>'NAV Comparison'!$C$4</c:f>
              <c:strCache>
                <c:ptCount val="1"/>
                <c:pt idx="0">
                  <c:v>Aug 2026</c:v>
                </c:pt>
              </c:strCache>
            </c:strRef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2.5755892284522752E-2"/>
                  <c:y val="-3.11584648738365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F96-43C8-ABC2-8EE1097B0462}"/>
                </c:ext>
              </c:extLst>
            </c:dLbl>
            <c:dLbl>
              <c:idx val="2"/>
              <c:layout>
                <c:manualLayout>
                  <c:x val="-2.464007603801149E-2"/>
                  <c:y val="-0.115349297427625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CF96-43C8-ABC2-8EE1097B0462}"/>
                </c:ext>
              </c:extLst>
            </c:dLbl>
            <c:dLbl>
              <c:idx val="4"/>
              <c:layout>
                <c:manualLayout>
                  <c:x val="-2.7039884053370218E-2"/>
                  <c:y val="-8.1049328609415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F96-43C8-ABC2-8EE1097B0462}"/>
                </c:ext>
              </c:extLst>
            </c:dLbl>
            <c:dLbl>
              <c:idx val="5"/>
              <c:layout>
                <c:manualLayout>
                  <c:x val="-2.5839980045690832E-2"/>
                  <c:y val="-0.1091129394606777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CF96-43C8-ABC2-8EE1097B0462}"/>
                </c:ext>
              </c:extLst>
            </c:dLbl>
            <c:dLbl>
              <c:idx val="6"/>
              <c:layout>
                <c:manualLayout>
                  <c:x val="2.0937852530851769E-3"/>
                  <c:y val="-4.98675387746784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F96-43C8-ABC2-8EE1097B0462}"/>
                </c:ext>
              </c:extLst>
            </c:dLbl>
            <c:dLbl>
              <c:idx val="7"/>
              <c:layout>
                <c:manualLayout>
                  <c:x val="-2.9439692068729165E-2"/>
                  <c:y val="-8.1049328609414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F96-43C8-ABC2-8EE1097B0462}"/>
                </c:ext>
              </c:extLst>
            </c:dLbl>
            <c:dLbl>
              <c:idx val="8"/>
              <c:layout>
                <c:manualLayout>
                  <c:x val="-2.3104198908181835E-2"/>
                  <c:y val="-9.04038655598358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F96-43C8-ABC2-8EE1097B0462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Comparison'!$C$5:$C$13</c:f>
              <c:numCache>
                <c:formatCode>0.00</c:formatCode>
                <c:ptCount val="9"/>
                <c:pt idx="0">
                  <c:v>233.72278697153999</c:v>
                </c:pt>
                <c:pt idx="1">
                  <c:v>6448.537446804994</c:v>
                </c:pt>
                <c:pt idx="2">
                  <c:v>235.10587555532999</c:v>
                </c:pt>
                <c:pt idx="3">
                  <c:v>1752.5097771838987</c:v>
                </c:pt>
                <c:pt idx="4">
                  <c:v>522.41815593666001</c:v>
                </c:pt>
                <c:pt idx="5">
                  <c:v>157.7614732001141</c:v>
                </c:pt>
                <c:pt idx="6">
                  <c:v>19.65912200975</c:v>
                </c:pt>
                <c:pt idx="7">
                  <c:v>147.96294521381847</c:v>
                </c:pt>
                <c:pt idx="8">
                  <c:v>53.951383945732594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96-43C8-ABC2-8EE1097B046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27754143"/>
        <c:axId val="1027752063"/>
      </c:lineChart>
      <c:catAx>
        <c:axId val="1027754143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7752063"/>
        <c:crosses val="autoZero"/>
        <c:auto val="1"/>
        <c:lblAlgn val="ctr"/>
        <c:lblOffset val="100"/>
        <c:noMultiLvlLbl val="0"/>
      </c:catAx>
      <c:valAx>
        <c:axId val="1027752063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7754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rPr>
              <a:t> SHARE OF FUNDS BY CLASS</a:t>
            </a:r>
          </a:p>
        </c:rich>
      </c:tx>
      <c:layout>
        <c:manualLayout>
          <c:xMode val="edge"/>
          <c:yMode val="edge"/>
          <c:x val="0.231843809708693"/>
          <c:y val="9.3377148481089307E-3"/>
        </c:manualLayout>
      </c:layout>
      <c:overlay val="0"/>
      <c:spPr>
        <a:solidFill>
          <a:schemeClr val="dk1"/>
        </a:solidFill>
        <a:ln w="12700" cap="flat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depthPercent val="100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4306120363988"/>
          <c:y val="0.165166341142437"/>
          <c:w val="0.84316500743410205"/>
          <c:h val="0.81423920364184199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Aug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B7C-48C2-9AA0-50C0DAB6F4C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EB7C-48C2-9AA0-50C0DAB6F4CD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EB7C-48C2-9AA0-50C0DAB6F4CD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EB7C-48C2-9AA0-50C0DAB6F4CD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EB7C-48C2-9AA0-50C0DAB6F4CD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EB7C-48C2-9AA0-50C0DAB6F4CD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EB7C-48C2-9AA0-50C0DAB6F4CD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EB7C-48C2-9AA0-50C0DAB6F4CD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10-EB7C-48C2-9AA0-50C0DAB6F4CD}"/>
              </c:ext>
            </c:extLst>
          </c:dPt>
          <c:dLbls>
            <c:dLbl>
              <c:idx val="0"/>
              <c:layout>
                <c:manualLayout>
                  <c:x val="-4.31242058258033E-2"/>
                  <c:y val="0.11599855860808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B7C-48C2-9AA0-50C0DAB6F4CD}"/>
                </c:ext>
              </c:extLst>
            </c:dLbl>
            <c:dLbl>
              <c:idx val="1"/>
              <c:layout>
                <c:manualLayout>
                  <c:x val="-8.3929154372232501E-2"/>
                  <c:y val="5.523740886099379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B7C-48C2-9AA0-50C0DAB6F4CD}"/>
                </c:ext>
              </c:extLst>
            </c:dLbl>
            <c:dLbl>
              <c:idx val="2"/>
              <c:layout>
                <c:manualLayout>
                  <c:x val="-6.3908902826365604E-2"/>
                  <c:y val="-8.285611329149060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B7C-48C2-9AA0-50C0DAB6F4CD}"/>
                </c:ext>
              </c:extLst>
            </c:dLbl>
            <c:dLbl>
              <c:idx val="3"/>
              <c:layout>
                <c:manualLayout>
                  <c:x val="-2.6526955148730099E-2"/>
                  <c:y val="-6.35230201901428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B7C-48C2-9AA0-50C0DAB6F4CD}"/>
                </c:ext>
              </c:extLst>
            </c:dLbl>
            <c:dLbl>
              <c:idx val="4"/>
              <c:layout>
                <c:manualLayout>
                  <c:x val="-2.2105334402515699E-2"/>
                  <c:y val="-0.10218920639283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B7C-48C2-9AA0-50C0DAB6F4CD}"/>
                </c:ext>
              </c:extLst>
            </c:dLbl>
            <c:dLbl>
              <c:idx val="5"/>
              <c:layout>
                <c:manualLayout>
                  <c:x val="2.9649290241234302E-2"/>
                  <c:y val="-0.15207084136351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EB7C-48C2-9AA0-50C0DAB6F4CD}"/>
                </c:ext>
              </c:extLst>
            </c:dLbl>
            <c:dLbl>
              <c:idx val="6"/>
              <c:layout>
                <c:manualLayout>
                  <c:x val="0.15913713022161299"/>
                  <c:y val="4.058828915252610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B7C-48C2-9AA0-50C0DAB6F4CD}"/>
                </c:ext>
              </c:extLst>
            </c:dLbl>
            <c:dLbl>
              <c:idx val="7"/>
              <c:layout>
                <c:manualLayout>
                  <c:x val="0.112169430842536"/>
                  <c:y val="0.11972412051361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B7C-48C2-9AA0-50C0DAB6F4CD}"/>
                </c:ext>
              </c:extLst>
            </c:dLbl>
            <c:dLbl>
              <c:idx val="8"/>
              <c:layout>
                <c:manualLayout>
                  <c:x val="-0.27590312917245502"/>
                  <c:y val="-0.25129338745824797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EB7C-48C2-9AA0-50C0DAB6F4CD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804030504040204" pitchFamily="34" charset="0"/>
                    <a:ea typeface="Tahoma" panose="020B0804030504040204" pitchFamily="34" charset="0"/>
                    <a:cs typeface="Tahoma" panose="020B08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EQUITY BASED FUNDS</c:v>
                </c:pt>
                <c:pt idx="4">
                  <c:v>BALANCED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_-* #,##0.00_-;\-* #,##0.00_-;_-* "-"??_-;_-@_-</c:formatCode>
                <c:ptCount val="9"/>
                <c:pt idx="0">
                  <c:v>19659122009.75</c:v>
                </c:pt>
                <c:pt idx="1">
                  <c:v>53951383945.732597</c:v>
                </c:pt>
                <c:pt idx="2">
                  <c:v>147962945213.81848</c:v>
                </c:pt>
                <c:pt idx="3" formatCode="#,##0.00">
                  <c:v>233722786971.53998</c:v>
                </c:pt>
                <c:pt idx="4" formatCode="#,##0.00">
                  <c:v>157761473200.11411</c:v>
                </c:pt>
                <c:pt idx="5" formatCode="#,##0.00">
                  <c:v>235105875555.32999</c:v>
                </c:pt>
                <c:pt idx="6" formatCode="#,##0.00">
                  <c:v>522418155936.65997</c:v>
                </c:pt>
                <c:pt idx="7" formatCode="#,##0.00">
                  <c:v>1752509777183.8987</c:v>
                </c:pt>
                <c:pt idx="8" formatCode="#,##0.00">
                  <c:v>6448537446804.9941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B7C-48C2-9AA0-50C0DAB6F4CD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d72fdb7d-1ed2-471c-ac92-45d49fa9d76d}"/>
      </c:ext>
    </c:extLst>
  </c:chart>
  <c:spPr>
    <a:pattFill prst="pct40">
      <a:fgClr>
        <a:schemeClr val="accent1"/>
      </a:fgClr>
      <a:bgClr>
        <a:schemeClr val="bg1"/>
      </a:bgClr>
    </a:patt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UNITHOLDERS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800" b="1" i="0" u="none" strike="noStrike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Unitholders!$B$5</c:f>
              <c:strCache>
                <c:ptCount val="1"/>
                <c:pt idx="0">
                  <c:v>UNIT HOLDERS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Unitholders!$A$6:$A$14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Unitholders!$B$6:$B$14</c:f>
              <c:numCache>
                <c:formatCode>_(* #,##0_);_(* \(#,##0\);_(* "-"??_);_(@_)</c:formatCode>
                <c:ptCount val="9"/>
                <c:pt idx="0">
                  <c:v>113122</c:v>
                </c:pt>
                <c:pt idx="1">
                  <c:v>821628</c:v>
                </c:pt>
                <c:pt idx="2">
                  <c:v>69339</c:v>
                </c:pt>
                <c:pt idx="3">
                  <c:v>31548</c:v>
                </c:pt>
                <c:pt idx="4">
                  <c:v>232429</c:v>
                </c:pt>
                <c:pt idx="5">
                  <c:v>105225</c:v>
                </c:pt>
                <c:pt idx="6">
                  <c:v>19674</c:v>
                </c:pt>
                <c:pt idx="7">
                  <c:v>61488</c:v>
                </c:pt>
                <c:pt idx="8" formatCode="_-* #,##0_-;\-* #,##0_-;_-* &quot;-&quot;??_-;_-@_-">
                  <c:v>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7-41DF-94FC-57B69916B1F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328697840"/>
        <c:axId val="251602304"/>
      </c:barChart>
      <c:catAx>
        <c:axId val="328697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900" b="0" i="0" u="none" strike="noStrike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CLASSES OF FUNDS</a:t>
                </a:r>
                <a:endParaRPr lang="en-US" sz="1200"/>
              </a:p>
            </c:rich>
          </c:tx>
          <c:layout>
            <c:manualLayout>
              <c:xMode val="edge"/>
              <c:yMode val="edge"/>
              <c:x val="0.45444441097145799"/>
              <c:y val="0.936238322854479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900" b="0" i="0" u="none" strike="noStrike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1602304"/>
        <c:crosses val="autoZero"/>
        <c:auto val="1"/>
        <c:lblAlgn val="ctr"/>
        <c:lblOffset val="100"/>
        <c:noMultiLvlLbl val="0"/>
      </c:catAx>
      <c:valAx>
        <c:axId val="25160230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0">
                    <a:schemeClr val="lt1">
                      <a:lumMod val="75000"/>
                      <a:alpha val="36000"/>
                    </a:schemeClr>
                  </a:gs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crossAx val="328697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978094f0-96cf-4234-a22f-cc5dd80dc40f}"/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>
                <a:lumMod val="75000"/>
                <a:alpha val="36000"/>
              </a:schemeClr>
            </a:gs>
            <a:gs pos="100000">
              <a:schemeClr val="dk1">
                <a:lumMod val="95000"/>
                <a:lumOff val="5000"/>
                <a:alpha val="42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0">
              <a:schemeClr val="lt1">
                <a:lumMod val="75000"/>
                <a:alpha val="36000"/>
                <a:lumOff val="10000"/>
              </a:schemeClr>
            </a:gs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460375</xdr:colOff>
      <xdr:row>375</xdr:row>
      <xdr:rowOff>119380</xdr:rowOff>
    </xdr:from>
    <xdr:to>
      <xdr:col>8</xdr:col>
      <xdr:colOff>844550</xdr:colOff>
      <xdr:row>375</xdr:row>
      <xdr:rowOff>119380</xdr:rowOff>
    </xdr:to>
    <xdr:cxnSp macro="">
      <xdr:nvCxnSpPr>
        <xdr:cNvPr id="2" name="AutoShape 245"/>
        <xdr:cNvCxnSpPr>
          <a:cxnSpLocks noChangeShapeType="1"/>
        </xdr:cNvCxnSpPr>
      </xdr:nvCxnSpPr>
      <xdr:spPr>
        <a:xfrm>
          <a:off x="14693900" y="67078225"/>
          <a:ext cx="20097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612775</xdr:colOff>
      <xdr:row>376</xdr:row>
      <xdr:rowOff>106680</xdr:rowOff>
    </xdr:from>
    <xdr:to>
      <xdr:col>8</xdr:col>
      <xdr:colOff>996950</xdr:colOff>
      <xdr:row>376</xdr:row>
      <xdr:rowOff>106680</xdr:rowOff>
    </xdr:to>
    <xdr:cxnSp macro="">
      <xdr:nvCxnSpPr>
        <xdr:cNvPr id="3" name="AutoShape 245"/>
        <xdr:cNvCxnSpPr>
          <a:cxnSpLocks noChangeShapeType="1"/>
        </xdr:cNvCxnSpPr>
      </xdr:nvCxnSpPr>
      <xdr:spPr>
        <a:xfrm>
          <a:off x="14846300" y="67248405"/>
          <a:ext cx="20097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0</xdr:colOff>
      <xdr:row>262</xdr:row>
      <xdr:rowOff>127635</xdr:rowOff>
    </xdr:from>
    <xdr:to>
      <xdr:col>10</xdr:col>
      <xdr:colOff>1416050</xdr:colOff>
      <xdr:row>262</xdr:row>
      <xdr:rowOff>127635</xdr:rowOff>
    </xdr:to>
    <xdr:cxnSp macro="">
      <xdr:nvCxnSpPr>
        <xdr:cNvPr id="4" name="AutoShape 159"/>
        <xdr:cNvCxnSpPr>
          <a:cxnSpLocks noChangeShapeType="1"/>
        </xdr:cNvCxnSpPr>
      </xdr:nvCxnSpPr>
      <xdr:spPr>
        <a:xfrm>
          <a:off x="15859125" y="46421040"/>
          <a:ext cx="393573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426720</xdr:colOff>
      <xdr:row>23</xdr:row>
      <xdr:rowOff>175260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590550</xdr:colOff>
      <xdr:row>30</xdr:row>
      <xdr:rowOff>171451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19050</xdr:colOff>
      <xdr:row>19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56"/>
  <sheetViews>
    <sheetView tabSelected="1" view="pageBreakPreview" zoomScale="140" zoomScaleNormal="70" zoomScaleSheetLayoutView="140" workbookViewId="0">
      <pane ySplit="2" topLeftCell="A3" activePane="bottomLeft" state="frozen"/>
      <selection pane="bottomLeft" activeCell="A3" sqref="A3:V3"/>
    </sheetView>
  </sheetViews>
  <sheetFormatPr defaultColWidth="9" defaultRowHeight="13.8"/>
  <cols>
    <col min="1" max="1" width="6.77734375" style="37" customWidth="1"/>
    <col min="2" max="2" width="44.77734375" style="37" customWidth="1"/>
    <col min="3" max="3" width="43.77734375" style="38" customWidth="1"/>
    <col min="4" max="4" width="21.5546875" style="39" customWidth="1"/>
    <col min="5" max="6" width="19.21875" style="39" customWidth="1"/>
    <col min="7" max="7" width="19.77734375" style="39" customWidth="1"/>
    <col min="8" max="8" width="20" style="39" customWidth="1"/>
    <col min="9" max="9" width="22" style="39" customWidth="1"/>
    <col min="10" max="10" width="9" style="39"/>
    <col min="11" max="11" width="22.44140625" style="39" customWidth="1"/>
    <col min="12" max="12" width="9" style="39"/>
    <col min="13" max="13" width="11.5546875" style="39" customWidth="1"/>
    <col min="14" max="14" width="12.21875" style="39" customWidth="1"/>
    <col min="15" max="15" width="12.5546875" style="39" customWidth="1"/>
    <col min="16" max="17" width="12.21875" style="39" customWidth="1"/>
    <col min="18" max="18" width="14.44140625" style="39" customWidth="1"/>
    <col min="19" max="19" width="13.21875" style="39" customWidth="1"/>
    <col min="20" max="20" width="16.44140625" style="39" customWidth="1"/>
    <col min="21" max="22" width="20.21875" style="39" customWidth="1"/>
    <col min="23" max="16384" width="9" style="39"/>
  </cols>
  <sheetData>
    <row r="1" spans="1:23" ht="40.049999999999997" customHeight="1">
      <c r="A1" s="141" t="s">
        <v>0</v>
      </c>
      <c r="B1" s="141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37"/>
    </row>
    <row r="2" spans="1:23" ht="40.200000000000003" customHeight="1">
      <c r="A2" s="40" t="s">
        <v>1</v>
      </c>
      <c r="B2" s="40" t="s">
        <v>2</v>
      </c>
      <c r="C2" s="40" t="s">
        <v>3</v>
      </c>
      <c r="D2" s="40" t="s">
        <v>4</v>
      </c>
      <c r="E2" s="40" t="s">
        <v>5</v>
      </c>
      <c r="F2" s="40" t="s">
        <v>6</v>
      </c>
      <c r="G2" s="40" t="s">
        <v>7</v>
      </c>
      <c r="H2" s="41" t="s">
        <v>8</v>
      </c>
      <c r="I2" s="40" t="s">
        <v>325</v>
      </c>
      <c r="J2" s="40" t="s">
        <v>9</v>
      </c>
      <c r="K2" s="40" t="s">
        <v>10</v>
      </c>
      <c r="L2" s="40" t="s">
        <v>9</v>
      </c>
      <c r="M2" s="40" t="s">
        <v>11</v>
      </c>
      <c r="N2" s="40" t="s">
        <v>12</v>
      </c>
      <c r="O2" s="40" t="s">
        <v>13</v>
      </c>
      <c r="P2" s="40" t="s">
        <v>14</v>
      </c>
      <c r="Q2" s="40" t="s">
        <v>15</v>
      </c>
      <c r="R2" s="40" t="s">
        <v>16</v>
      </c>
      <c r="S2" s="40" t="s">
        <v>17</v>
      </c>
      <c r="T2" s="40" t="s">
        <v>18</v>
      </c>
      <c r="U2" s="40" t="s">
        <v>19</v>
      </c>
      <c r="V2" s="40" t="s">
        <v>20</v>
      </c>
    </row>
    <row r="3" spans="1:23" ht="6" customHeight="1">
      <c r="A3" s="143" t="s">
        <v>21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</row>
    <row r="4" spans="1:23" ht="16.5" customHeight="1">
      <c r="A4" s="143" t="s">
        <v>22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</row>
    <row r="5" spans="1:23" ht="15" customHeight="1">
      <c r="A5" s="42">
        <v>1</v>
      </c>
      <c r="B5" s="43" t="s">
        <v>23</v>
      </c>
      <c r="C5" s="43" t="s">
        <v>24</v>
      </c>
      <c r="D5" s="44">
        <v>11815951389.809999</v>
      </c>
      <c r="E5" s="44">
        <v>80375996.420000002</v>
      </c>
      <c r="F5" s="44">
        <v>3624224504.6500001</v>
      </c>
      <c r="G5" s="44">
        <v>20612671.359999999</v>
      </c>
      <c r="H5" s="45">
        <f>(E5+F5)-G5</f>
        <v>3683987829.71</v>
      </c>
      <c r="I5" s="46">
        <v>12686025247.110001</v>
      </c>
      <c r="J5" s="47">
        <f t="shared" ref="J5:J24" si="0">(I5/$I$25)</f>
        <v>5.2554963062424707E-2</v>
      </c>
      <c r="K5" s="48">
        <v>11849816211.75</v>
      </c>
      <c r="L5" s="47">
        <f t="shared" ref="L5" si="1">(K5/$K$25)</f>
        <v>5.0700303403420105E-2</v>
      </c>
      <c r="M5" s="47">
        <f t="shared" ref="M5:M25" si="2">((K5-I5)/I5)</f>
        <v>-6.5915763138694461E-2</v>
      </c>
      <c r="N5" s="49">
        <f t="shared" ref="N5" si="3">(G5/K5)</f>
        <v>1.7394929163172133E-3</v>
      </c>
      <c r="O5" s="50">
        <f t="shared" ref="O5" si="4">H5/K5</f>
        <v>0.31088987068483342</v>
      </c>
      <c r="P5" s="51">
        <f t="shared" ref="P5" si="5">K5/V5</f>
        <v>883.7131103649707</v>
      </c>
      <c r="Q5" s="51">
        <f t="shared" ref="Q5" si="6">H5/V5</f>
        <v>274.73745460385766</v>
      </c>
      <c r="R5" s="52">
        <v>883.71</v>
      </c>
      <c r="S5" s="52">
        <v>883.71</v>
      </c>
      <c r="T5" s="52">
        <v>1708</v>
      </c>
      <c r="U5" s="44">
        <v>14216523.060000001</v>
      </c>
      <c r="V5" s="44">
        <v>13409121.210000001</v>
      </c>
    </row>
    <row r="6" spans="1:23">
      <c r="A6" s="42">
        <v>2</v>
      </c>
      <c r="B6" s="43" t="s">
        <v>25</v>
      </c>
      <c r="C6" s="43" t="s">
        <v>26</v>
      </c>
      <c r="D6" s="44">
        <v>2228406897.3499999</v>
      </c>
      <c r="E6" s="53">
        <v>2491563.04</v>
      </c>
      <c r="F6" s="44">
        <v>824596001.79999995</v>
      </c>
      <c r="G6" s="44">
        <v>2932581.42</v>
      </c>
      <c r="H6" s="45">
        <f>(E6+F6)-G6</f>
        <v>824154983.41999996</v>
      </c>
      <c r="I6" s="46">
        <v>2312259288.5999999</v>
      </c>
      <c r="J6" s="47">
        <f t="shared" si="0"/>
        <v>9.5790997681330509E-3</v>
      </c>
      <c r="K6" s="48">
        <v>2232029711.8299999</v>
      </c>
      <c r="L6" s="47">
        <f t="shared" ref="L6:L24" si="7">(K6/$K$25)</f>
        <v>9.5499020046418935E-3</v>
      </c>
      <c r="M6" s="47">
        <f t="shared" ref="M6:M24" si="8">((K6-I6)/I6)</f>
        <v>-3.4697482745793817E-2</v>
      </c>
      <c r="N6" s="49">
        <f t="shared" ref="N6:N24" si="9">(G6/K6)</f>
        <v>1.3138630746969899E-3</v>
      </c>
      <c r="O6" s="50">
        <f t="shared" ref="O6:O24" si="10">H6/K6</f>
        <v>0.36924014902305691</v>
      </c>
      <c r="P6" s="51">
        <f t="shared" ref="P6:P24" si="11">K6/V6</f>
        <v>587.61820876272191</v>
      </c>
      <c r="Q6" s="51">
        <f t="shared" ref="Q6:Q24" si="12">H6/V6</f>
        <v>216.97223497220921</v>
      </c>
      <c r="R6" s="52">
        <v>582.70000000000005</v>
      </c>
      <c r="S6" s="52">
        <v>591.20000000000005</v>
      </c>
      <c r="T6" s="52">
        <v>692</v>
      </c>
      <c r="U6" s="44">
        <v>3851266.64</v>
      </c>
      <c r="V6" s="44">
        <v>3798435.24</v>
      </c>
    </row>
    <row r="7" spans="1:23">
      <c r="A7" s="42">
        <v>3</v>
      </c>
      <c r="B7" s="43" t="s">
        <v>27</v>
      </c>
      <c r="C7" s="54" t="s">
        <v>28</v>
      </c>
      <c r="D7" s="44">
        <v>16033322349</v>
      </c>
      <c r="E7" s="44">
        <v>231573524</v>
      </c>
      <c r="F7" s="44">
        <v>371661266</v>
      </c>
      <c r="G7" s="44">
        <v>47767161</v>
      </c>
      <c r="H7" s="45">
        <f t="shared" ref="H7:H24" si="13">(E7+F7)-G7</f>
        <v>555467629</v>
      </c>
      <c r="I7" s="46">
        <v>18511889397</v>
      </c>
      <c r="J7" s="47">
        <f t="shared" si="0"/>
        <v>7.6690030527620204E-2</v>
      </c>
      <c r="K7" s="48">
        <v>18153216351</v>
      </c>
      <c r="L7" s="47">
        <f t="shared" si="7"/>
        <v>7.7669860890416664E-2</v>
      </c>
      <c r="M7" s="47">
        <f t="shared" si="8"/>
        <v>-1.9375280302729437E-2</v>
      </c>
      <c r="N7" s="49">
        <f t="shared" si="9"/>
        <v>2.6313332070968605E-3</v>
      </c>
      <c r="O7" s="50">
        <f t="shared" si="10"/>
        <v>3.0598854674554747E-2</v>
      </c>
      <c r="P7" s="51">
        <f t="shared" si="11"/>
        <v>71.689696251972052</v>
      </c>
      <c r="Q7" s="51">
        <f t="shared" si="12"/>
        <v>2.1936225972770647</v>
      </c>
      <c r="R7" s="52">
        <v>71.331299999999999</v>
      </c>
      <c r="S7" s="52">
        <v>73.481899999999996</v>
      </c>
      <c r="T7" s="44">
        <v>13004</v>
      </c>
      <c r="U7" s="44">
        <v>255938777</v>
      </c>
      <c r="V7" s="44">
        <v>253219323</v>
      </c>
    </row>
    <row r="8" spans="1:23">
      <c r="A8" s="42">
        <v>4</v>
      </c>
      <c r="B8" s="55" t="s">
        <v>29</v>
      </c>
      <c r="C8" s="55" t="s">
        <v>30</v>
      </c>
      <c r="D8" s="44">
        <v>2723211974.8000002</v>
      </c>
      <c r="E8" s="44">
        <v>30915107.690000001</v>
      </c>
      <c r="F8" s="52"/>
      <c r="G8" s="44">
        <v>5187336.8099999996</v>
      </c>
      <c r="H8" s="45">
        <f t="shared" si="13"/>
        <v>25727770.880000003</v>
      </c>
      <c r="I8" s="46">
        <v>3594339924.96</v>
      </c>
      <c r="J8" s="47">
        <f t="shared" si="0"/>
        <v>1.4890432449131736E-2</v>
      </c>
      <c r="K8" s="48">
        <v>3645411214.7399998</v>
      </c>
      <c r="L8" s="47">
        <f t="shared" si="7"/>
        <v>1.5597157906489859E-2</v>
      </c>
      <c r="M8" s="47">
        <f t="shared" si="8"/>
        <v>1.4208809084902588E-2</v>
      </c>
      <c r="N8" s="49">
        <f t="shared" si="9"/>
        <v>1.4229771360293503E-3</v>
      </c>
      <c r="O8" s="50">
        <f t="shared" si="10"/>
        <v>7.0575771468445909E-3</v>
      </c>
      <c r="P8" s="51">
        <f t="shared" si="11"/>
        <v>354.89321734032632</v>
      </c>
      <c r="Q8" s="51">
        <f t="shared" si="12"/>
        <v>2.5046862602712379</v>
      </c>
      <c r="R8" s="52">
        <v>353.11880000000002</v>
      </c>
      <c r="S8" s="52">
        <v>356.66770000000002</v>
      </c>
      <c r="T8" s="52">
        <v>2920</v>
      </c>
      <c r="U8" s="44">
        <v>10230126.74</v>
      </c>
      <c r="V8" s="44">
        <v>10271853.720000001</v>
      </c>
    </row>
    <row r="9" spans="1:23">
      <c r="A9" s="42">
        <v>5</v>
      </c>
      <c r="B9" s="43" t="s">
        <v>31</v>
      </c>
      <c r="C9" s="54" t="s">
        <v>32</v>
      </c>
      <c r="D9" s="44">
        <v>12592225905.540001</v>
      </c>
      <c r="E9" s="44">
        <v>160444286.22</v>
      </c>
      <c r="F9" s="44">
        <v>-201051620.49000001</v>
      </c>
      <c r="G9" s="44">
        <v>18325218.670000002</v>
      </c>
      <c r="H9" s="45">
        <f t="shared" si="13"/>
        <v>-58932552.940000013</v>
      </c>
      <c r="I9" s="46">
        <v>12763786469.120001</v>
      </c>
      <c r="J9" s="47">
        <f t="shared" si="0"/>
        <v>5.2877107947904546E-2</v>
      </c>
      <c r="K9" s="48">
        <v>12692850116.959999</v>
      </c>
      <c r="L9" s="47">
        <f t="shared" si="7"/>
        <v>5.4307285487339263E-2</v>
      </c>
      <c r="M9" s="47">
        <f t="shared" si="8"/>
        <v>-5.5576260486354294E-3</v>
      </c>
      <c r="N9" s="49">
        <f t="shared" si="9"/>
        <v>1.4437434068109033E-3</v>
      </c>
      <c r="O9" s="50">
        <f t="shared" si="10"/>
        <v>-4.6429724133632685E-3</v>
      </c>
      <c r="P9" s="51">
        <f t="shared" si="11"/>
        <v>2.8607586464809986</v>
      </c>
      <c r="Q9" s="51">
        <f t="shared" si="12"/>
        <v>-1.3282423476901719E-2</v>
      </c>
      <c r="R9" s="44">
        <v>2.8376000000000001</v>
      </c>
      <c r="S9" s="52">
        <v>2.8772000000000002</v>
      </c>
      <c r="T9" s="52">
        <v>3252</v>
      </c>
      <c r="U9" s="44">
        <v>4444787835.9099998</v>
      </c>
      <c r="V9" s="44">
        <v>4436882549.5200005</v>
      </c>
    </row>
    <row r="10" spans="1:23">
      <c r="A10" s="42">
        <v>6</v>
      </c>
      <c r="B10" s="56" t="s">
        <v>33</v>
      </c>
      <c r="C10" s="57" t="s">
        <v>34</v>
      </c>
      <c r="D10" s="52">
        <v>752312897.89999998</v>
      </c>
      <c r="E10" s="52">
        <v>3374207.8</v>
      </c>
      <c r="F10" s="58">
        <v>203070563.30000001</v>
      </c>
      <c r="G10" s="52">
        <v>1164315.25</v>
      </c>
      <c r="H10" s="45">
        <f t="shared" si="13"/>
        <v>205280455.85000002</v>
      </c>
      <c r="I10" s="58">
        <v>746264900.51000011</v>
      </c>
      <c r="J10" s="47">
        <f t="shared" si="0"/>
        <v>3.0915849146699267E-3</v>
      </c>
      <c r="K10" s="58">
        <v>745873360.05999994</v>
      </c>
      <c r="L10" s="47">
        <f t="shared" si="7"/>
        <v>3.1912736011950075E-3</v>
      </c>
      <c r="M10" s="47">
        <f t="shared" si="8"/>
        <v>-5.2466684381455796E-4</v>
      </c>
      <c r="N10" s="49">
        <f t="shared" si="9"/>
        <v>1.5610092977530925E-3</v>
      </c>
      <c r="O10" s="50">
        <f t="shared" si="10"/>
        <v>0.27522159503523058</v>
      </c>
      <c r="P10" s="51">
        <f t="shared" si="11"/>
        <v>335.56551837179751</v>
      </c>
      <c r="Q10" s="51">
        <f t="shared" si="12"/>
        <v>92.354877205110085</v>
      </c>
      <c r="R10" s="52">
        <v>335.57</v>
      </c>
      <c r="S10" s="52">
        <v>339.66</v>
      </c>
      <c r="T10" s="52">
        <v>212</v>
      </c>
      <c r="U10" s="44">
        <v>2231366.29</v>
      </c>
      <c r="V10" s="44">
        <v>2222735.41</v>
      </c>
    </row>
    <row r="11" spans="1:23">
      <c r="A11" s="42">
        <v>7</v>
      </c>
      <c r="B11" s="43" t="s">
        <v>35</v>
      </c>
      <c r="C11" s="54" t="s">
        <v>36</v>
      </c>
      <c r="D11" s="44">
        <v>4245423774.46</v>
      </c>
      <c r="E11" s="44">
        <v>13603492.1</v>
      </c>
      <c r="F11" s="52"/>
      <c r="G11" s="44">
        <v>7379744.4699999997</v>
      </c>
      <c r="H11" s="45">
        <f t="shared" si="13"/>
        <v>6223747.6299999999</v>
      </c>
      <c r="I11" s="46">
        <v>4253936501</v>
      </c>
      <c r="J11" s="47">
        <f t="shared" si="0"/>
        <v>1.7622972627370861E-2</v>
      </c>
      <c r="K11" s="48">
        <v>4246328776.8499999</v>
      </c>
      <c r="L11" s="47">
        <f t="shared" si="7"/>
        <v>1.8168227547992861E-2</v>
      </c>
      <c r="M11" s="47">
        <f t="shared" si="8"/>
        <v>-1.7883962650151687E-3</v>
      </c>
      <c r="N11" s="49">
        <f t="shared" si="9"/>
        <v>1.737911701569755E-3</v>
      </c>
      <c r="O11" s="50">
        <f t="shared" si="10"/>
        <v>1.4656772843239152E-3</v>
      </c>
      <c r="P11" s="51">
        <f t="shared" si="11"/>
        <v>8.2941837449891143</v>
      </c>
      <c r="Q11" s="51">
        <f t="shared" si="12"/>
        <v>1.2156596707039205E-2</v>
      </c>
      <c r="R11" s="52">
        <v>8.19</v>
      </c>
      <c r="S11" s="52">
        <v>8.35</v>
      </c>
      <c r="T11" s="52">
        <v>3880</v>
      </c>
      <c r="U11" s="44">
        <v>514791810</v>
      </c>
      <c r="V11" s="44">
        <v>511964637.80000001</v>
      </c>
    </row>
    <row r="12" spans="1:23">
      <c r="A12" s="42">
        <v>8</v>
      </c>
      <c r="B12" s="43" t="s">
        <v>37</v>
      </c>
      <c r="C12" s="43" t="s">
        <v>38</v>
      </c>
      <c r="D12" s="44">
        <v>6936255719.8699999</v>
      </c>
      <c r="E12" s="44">
        <v>20152274.140000001</v>
      </c>
      <c r="F12" s="44">
        <v>-128746082.59999999</v>
      </c>
      <c r="G12" s="44">
        <v>11608181.35</v>
      </c>
      <c r="H12" s="45">
        <f t="shared" si="13"/>
        <v>-120201989.80999999</v>
      </c>
      <c r="I12" s="46">
        <v>6777441339.1800003</v>
      </c>
      <c r="J12" s="47">
        <f t="shared" si="0"/>
        <v>2.807720876320172E-2</v>
      </c>
      <c r="K12" s="48">
        <v>6850378608.0799999</v>
      </c>
      <c r="L12" s="47">
        <f t="shared" si="7"/>
        <v>2.9309844781690707E-2</v>
      </c>
      <c r="M12" s="47">
        <f t="shared" si="8"/>
        <v>1.07617705930339E-2</v>
      </c>
      <c r="N12" s="49">
        <f t="shared" si="9"/>
        <v>1.6945313557280158E-3</v>
      </c>
      <c r="O12" s="50">
        <f t="shared" si="10"/>
        <v>-1.7546765906956169E-2</v>
      </c>
      <c r="P12" s="51">
        <f t="shared" si="11"/>
        <v>595.47920398302142</v>
      </c>
      <c r="Q12" s="51">
        <f t="shared" si="12"/>
        <v>-10.448734194750678</v>
      </c>
      <c r="R12" s="52">
        <v>595.48</v>
      </c>
      <c r="S12" s="52">
        <v>603.99</v>
      </c>
      <c r="T12" s="52">
        <v>3036</v>
      </c>
      <c r="U12" s="44">
        <v>11221946.189999999</v>
      </c>
      <c r="V12" s="44">
        <v>11503976.23</v>
      </c>
    </row>
    <row r="13" spans="1:23">
      <c r="A13" s="42">
        <v>9</v>
      </c>
      <c r="B13" s="43" t="s">
        <v>39</v>
      </c>
      <c r="C13" s="54" t="s">
        <v>40</v>
      </c>
      <c r="D13" s="44">
        <v>665838266.67999995</v>
      </c>
      <c r="E13" s="44">
        <v>2622947.0499999998</v>
      </c>
      <c r="F13" s="44">
        <v>6156100.2999999998</v>
      </c>
      <c r="G13" s="44">
        <v>1934957.34</v>
      </c>
      <c r="H13" s="45">
        <f>(E13+F13-G13)</f>
        <v>6844090.0099999998</v>
      </c>
      <c r="I13" s="46">
        <v>610815759.86000001</v>
      </c>
      <c r="J13" s="47">
        <f t="shared" si="0"/>
        <v>2.5304537136012868E-3</v>
      </c>
      <c r="K13" s="48">
        <v>636635448.10000002</v>
      </c>
      <c r="L13" s="47">
        <f t="shared" si="7"/>
        <v>2.723891223227293E-3</v>
      </c>
      <c r="M13" s="47">
        <f t="shared" si="8"/>
        <v>4.2270828516143596E-2</v>
      </c>
      <c r="N13" s="49">
        <f t="shared" si="9"/>
        <v>3.0393490431215591E-3</v>
      </c>
      <c r="O13" s="50">
        <f t="shared" si="10"/>
        <v>1.0750406736580209E-2</v>
      </c>
      <c r="P13" s="51">
        <f t="shared" si="11"/>
        <v>317.22646501036434</v>
      </c>
      <c r="Q13" s="51">
        <f t="shared" si="12"/>
        <v>3.4103135264689466</v>
      </c>
      <c r="R13" s="52">
        <v>317.23</v>
      </c>
      <c r="S13" s="52">
        <v>329.8</v>
      </c>
      <c r="T13" s="52">
        <v>2475</v>
      </c>
      <c r="U13" s="44">
        <v>2006880</v>
      </c>
      <c r="V13" s="44">
        <v>2006880</v>
      </c>
    </row>
    <row r="14" spans="1:23">
      <c r="A14" s="42">
        <v>10</v>
      </c>
      <c r="B14" s="43" t="s">
        <v>41</v>
      </c>
      <c r="C14" s="43" t="s">
        <v>42</v>
      </c>
      <c r="D14" s="44">
        <v>206370743.53999999</v>
      </c>
      <c r="E14" s="44">
        <v>2448319.81</v>
      </c>
      <c r="F14" s="44">
        <v>39770471.490000002</v>
      </c>
      <c r="G14" s="44">
        <v>4413751.76</v>
      </c>
      <c r="H14" s="45">
        <f t="shared" si="13"/>
        <v>37805039.540000007</v>
      </c>
      <c r="I14" s="46">
        <v>225996995.87</v>
      </c>
      <c r="J14" s="47">
        <f t="shared" si="0"/>
        <v>9.3624784270964271E-4</v>
      </c>
      <c r="K14" s="48">
        <v>208263532.99000001</v>
      </c>
      <c r="L14" s="47">
        <f t="shared" si="7"/>
        <v>8.9107072394853783E-4</v>
      </c>
      <c r="M14" s="47">
        <f t="shared" si="8"/>
        <v>-7.8467692951993018E-2</v>
      </c>
      <c r="N14" s="49">
        <f t="shared" si="9"/>
        <v>2.1193109022173029E-2</v>
      </c>
      <c r="O14" s="50">
        <f t="shared" si="10"/>
        <v>0.18152500822991058</v>
      </c>
      <c r="P14" s="51">
        <f t="shared" si="11"/>
        <v>519.78573538063779</v>
      </c>
      <c r="Q14" s="51">
        <f t="shared" si="12"/>
        <v>94.354109892760391</v>
      </c>
      <c r="R14" s="52">
        <v>510.78</v>
      </c>
      <c r="S14" s="52">
        <v>527.46</v>
      </c>
      <c r="T14" s="52">
        <v>74</v>
      </c>
      <c r="U14" s="44">
        <v>395041.66</v>
      </c>
      <c r="V14" s="44">
        <v>400671.89</v>
      </c>
      <c r="W14" s="35"/>
    </row>
    <row r="15" spans="1:23">
      <c r="A15" s="42">
        <v>11</v>
      </c>
      <c r="B15" s="54" t="s">
        <v>43</v>
      </c>
      <c r="C15" s="54" t="s">
        <v>44</v>
      </c>
      <c r="D15" s="44">
        <v>19683238295.5</v>
      </c>
      <c r="E15" s="44">
        <v>60518536.460000001</v>
      </c>
      <c r="F15" s="44">
        <v>-150783684.40000001</v>
      </c>
      <c r="G15" s="44">
        <v>35493017.109999999</v>
      </c>
      <c r="H15" s="45">
        <f t="shared" si="13"/>
        <v>-125758165.05</v>
      </c>
      <c r="I15" s="46">
        <v>20087604754.279999</v>
      </c>
      <c r="J15" s="47">
        <f t="shared" si="0"/>
        <v>8.3217816874065556E-2</v>
      </c>
      <c r="K15" s="48">
        <v>19446442864.23</v>
      </c>
      <c r="L15" s="47">
        <f t="shared" si="7"/>
        <v>8.3203024900597125E-2</v>
      </c>
      <c r="M15" s="47">
        <f t="shared" si="8"/>
        <v>-3.1918284827532215E-2</v>
      </c>
      <c r="N15" s="49">
        <f t="shared" si="9"/>
        <v>1.8251675824624072E-3</v>
      </c>
      <c r="O15" s="50">
        <f t="shared" si="10"/>
        <v>-6.4668981328878886E-3</v>
      </c>
      <c r="P15" s="51">
        <f t="shared" si="11"/>
        <v>5.3877117153339622</v>
      </c>
      <c r="Q15" s="51">
        <f t="shared" si="12"/>
        <v>-3.484178283243141E-2</v>
      </c>
      <c r="R15" s="52">
        <v>5.48</v>
      </c>
      <c r="S15" s="52">
        <v>5.57</v>
      </c>
      <c r="T15" s="52">
        <v>18603</v>
      </c>
      <c r="U15" s="44">
        <v>3627895579.8099999</v>
      </c>
      <c r="V15" s="44">
        <v>3609406718.79</v>
      </c>
    </row>
    <row r="16" spans="1:23">
      <c r="A16" s="42">
        <v>12</v>
      </c>
      <c r="B16" s="56" t="s">
        <v>45</v>
      </c>
      <c r="C16" s="57" t="s">
        <v>46</v>
      </c>
      <c r="D16" s="59">
        <v>377489067.50999999</v>
      </c>
      <c r="E16" s="44">
        <v>5789412.1100000003</v>
      </c>
      <c r="F16" s="52">
        <v>0</v>
      </c>
      <c r="G16" s="44">
        <v>853584.8</v>
      </c>
      <c r="H16" s="45">
        <f t="shared" si="13"/>
        <v>4935827.3100000005</v>
      </c>
      <c r="I16" s="58">
        <v>573627350.89999998</v>
      </c>
      <c r="J16" s="47">
        <f t="shared" si="0"/>
        <v>2.376391631808695E-3</v>
      </c>
      <c r="K16" s="59">
        <v>443459869.31</v>
      </c>
      <c r="L16" s="47">
        <f t="shared" si="7"/>
        <v>1.8973754123683257E-3</v>
      </c>
      <c r="M16" s="47">
        <f t="shared" si="8"/>
        <v>-0.22691993571396488</v>
      </c>
      <c r="N16" s="49">
        <f t="shared" si="9"/>
        <v>1.9248298641501263E-3</v>
      </c>
      <c r="O16" s="50">
        <f t="shared" si="10"/>
        <v>1.1130268264589275E-2</v>
      </c>
      <c r="P16" s="51">
        <f t="shared" si="11"/>
        <v>45.707075065848365</v>
      </c>
      <c r="Q16" s="51">
        <f t="shared" si="12"/>
        <v>0.50873200707261179</v>
      </c>
      <c r="R16" s="52">
        <v>45.707075000000003</v>
      </c>
      <c r="S16" s="52">
        <v>46.021802000000001</v>
      </c>
      <c r="T16" s="52">
        <v>195</v>
      </c>
      <c r="U16" s="59">
        <v>12417503</v>
      </c>
      <c r="V16" s="59">
        <v>9702215</v>
      </c>
    </row>
    <row r="17" spans="1:23">
      <c r="A17" s="42">
        <v>13</v>
      </c>
      <c r="B17" s="43" t="s">
        <v>47</v>
      </c>
      <c r="C17" s="43" t="s">
        <v>48</v>
      </c>
      <c r="D17" s="44">
        <v>9752453413.1000004</v>
      </c>
      <c r="E17" s="44">
        <v>62612737.850000001</v>
      </c>
      <c r="F17" s="44">
        <v>-128373313.53</v>
      </c>
      <c r="G17" s="44">
        <v>13741705.810000001</v>
      </c>
      <c r="H17" s="45">
        <f t="shared" si="13"/>
        <v>-79502281.489999995</v>
      </c>
      <c r="I17" s="46">
        <v>10402617728.440001</v>
      </c>
      <c r="J17" s="47">
        <f t="shared" si="0"/>
        <v>4.3095388809448756E-2</v>
      </c>
      <c r="K17" s="48">
        <v>9816044763.0499992</v>
      </c>
      <c r="L17" s="47">
        <f t="shared" si="7"/>
        <v>4.1998663845495228E-2</v>
      </c>
      <c r="M17" s="47">
        <f t="shared" si="8"/>
        <v>-5.6387053788043512E-2</v>
      </c>
      <c r="N17" s="49">
        <f t="shared" si="9"/>
        <v>1.3999228958008782E-3</v>
      </c>
      <c r="O17" s="50">
        <f t="shared" si="10"/>
        <v>-8.099217496365347E-3</v>
      </c>
      <c r="P17" s="51">
        <f t="shared" si="11"/>
        <v>46.315822988568705</v>
      </c>
      <c r="Q17" s="51">
        <f t="shared" si="12"/>
        <v>-0.37512192390757604</v>
      </c>
      <c r="R17" s="52">
        <v>46.14</v>
      </c>
      <c r="S17" s="52">
        <v>46.3</v>
      </c>
      <c r="T17" s="52">
        <v>2373</v>
      </c>
      <c r="U17" s="44">
        <v>214296796.75999999</v>
      </c>
      <c r="V17" s="44">
        <v>211937176.75</v>
      </c>
    </row>
    <row r="18" spans="1:23">
      <c r="A18" s="42">
        <v>14</v>
      </c>
      <c r="B18" s="55" t="s">
        <v>49</v>
      </c>
      <c r="C18" s="55" t="s">
        <v>50</v>
      </c>
      <c r="D18" s="44">
        <v>408743837.92000002</v>
      </c>
      <c r="E18" s="44">
        <v>3662447.08</v>
      </c>
      <c r="F18" s="44">
        <v>153482327.31999999</v>
      </c>
      <c r="G18" s="44">
        <v>585271.34</v>
      </c>
      <c r="H18" s="45">
        <f t="shared" si="13"/>
        <v>156559503.06</v>
      </c>
      <c r="I18" s="46">
        <v>402144214.66000003</v>
      </c>
      <c r="J18" s="47">
        <f t="shared" si="0"/>
        <v>1.6659807887453779E-3</v>
      </c>
      <c r="K18" s="48">
        <v>422882641.68000001</v>
      </c>
      <c r="L18" s="47">
        <f t="shared" si="7"/>
        <v>1.8093342423282574E-3</v>
      </c>
      <c r="M18" s="47">
        <f t="shared" si="8"/>
        <v>5.1569626676175491E-2</v>
      </c>
      <c r="N18" s="49">
        <f t="shared" si="9"/>
        <v>1.3840041711687975E-3</v>
      </c>
      <c r="O18" s="50">
        <f t="shared" si="10"/>
        <v>0.3702197433264956</v>
      </c>
      <c r="P18" s="51">
        <f t="shared" si="11"/>
        <v>3.1012117918177626</v>
      </c>
      <c r="Q18" s="51">
        <f t="shared" si="12"/>
        <v>1.1481298335678736</v>
      </c>
      <c r="R18" s="52">
        <v>2.91</v>
      </c>
      <c r="S18" s="52">
        <v>2.95</v>
      </c>
      <c r="T18" s="52">
        <v>51</v>
      </c>
      <c r="U18" s="44">
        <v>132338031</v>
      </c>
      <c r="V18" s="44">
        <v>136360452</v>
      </c>
    </row>
    <row r="19" spans="1:23">
      <c r="A19" s="42">
        <v>15</v>
      </c>
      <c r="B19" s="43" t="s">
        <v>51</v>
      </c>
      <c r="C19" s="43" t="s">
        <v>52</v>
      </c>
      <c r="D19" s="44">
        <v>22841170659.869999</v>
      </c>
      <c r="E19" s="44">
        <v>424432737.24000001</v>
      </c>
      <c r="F19" s="44">
        <v>-10903124.380000001</v>
      </c>
      <c r="G19" s="44">
        <v>38035520.060000002</v>
      </c>
      <c r="H19" s="45">
        <f t="shared" si="13"/>
        <v>375494092.80000001</v>
      </c>
      <c r="I19" s="46">
        <v>22829064014.299999</v>
      </c>
      <c r="J19" s="47">
        <f t="shared" si="0"/>
        <v>9.4574982522172363E-2</v>
      </c>
      <c r="K19" s="48">
        <v>22762973634.970001</v>
      </c>
      <c r="L19" s="47">
        <f t="shared" si="7"/>
        <v>9.7393043827351797E-2</v>
      </c>
      <c r="M19" s="47">
        <f t="shared" si="8"/>
        <v>-2.8950104694874645E-3</v>
      </c>
      <c r="N19" s="49">
        <f t="shared" si="9"/>
        <v>1.6709381063275185E-3</v>
      </c>
      <c r="O19" s="50">
        <f t="shared" si="10"/>
        <v>1.6495827778104565E-2</v>
      </c>
      <c r="P19" s="51">
        <f t="shared" si="11"/>
        <v>72.153618045411605</v>
      </c>
      <c r="Q19" s="51">
        <f t="shared" si="12"/>
        <v>1.1902336568442475</v>
      </c>
      <c r="R19" s="52">
        <v>72.153599999999997</v>
      </c>
      <c r="S19" s="52">
        <v>72.401499999999999</v>
      </c>
      <c r="T19" s="52">
        <v>18305</v>
      </c>
      <c r="U19" s="44">
        <v>321921486</v>
      </c>
      <c r="V19" s="44">
        <v>315479310</v>
      </c>
    </row>
    <row r="20" spans="1:23">
      <c r="A20" s="42">
        <v>16</v>
      </c>
      <c r="B20" s="54" t="s">
        <v>53</v>
      </c>
      <c r="C20" s="43" t="s">
        <v>54</v>
      </c>
      <c r="D20" s="44">
        <v>4196517043.6300001</v>
      </c>
      <c r="E20" s="44">
        <v>73097073.469999999</v>
      </c>
      <c r="F20" s="44">
        <v>-196948328.87</v>
      </c>
      <c r="G20" s="44">
        <v>7991363.5099999998</v>
      </c>
      <c r="H20" s="45">
        <f t="shared" si="13"/>
        <v>-131842618.91000001</v>
      </c>
      <c r="I20" s="46">
        <v>4534256264.96</v>
      </c>
      <c r="J20" s="47">
        <f t="shared" si="0"/>
        <v>1.8784265826274241E-2</v>
      </c>
      <c r="K20" s="48">
        <v>4250547458.5500002</v>
      </c>
      <c r="L20" s="47">
        <f t="shared" si="7"/>
        <v>1.8186277485505005E-2</v>
      </c>
      <c r="M20" s="47">
        <f t="shared" si="8"/>
        <v>-6.2570086433458932E-2</v>
      </c>
      <c r="N20" s="49">
        <f t="shared" si="9"/>
        <v>1.8800786458519189E-3</v>
      </c>
      <c r="O20" s="50">
        <f t="shared" si="10"/>
        <v>-3.1017797165115248E-2</v>
      </c>
      <c r="P20" s="51">
        <f t="shared" si="11"/>
        <v>17413.093568370263</v>
      </c>
      <c r="Q20" s="51">
        <f t="shared" si="12"/>
        <v>-540.11580432088158</v>
      </c>
      <c r="R20" s="44">
        <v>17260</v>
      </c>
      <c r="S20" s="44">
        <v>17518.02</v>
      </c>
      <c r="T20" s="52">
        <v>90</v>
      </c>
      <c r="U20" s="44">
        <v>258020.14</v>
      </c>
      <c r="V20" s="44">
        <v>244100.65</v>
      </c>
    </row>
    <row r="21" spans="1:23">
      <c r="A21" s="42">
        <v>17</v>
      </c>
      <c r="B21" s="43" t="s">
        <v>55</v>
      </c>
      <c r="C21" s="43" t="s">
        <v>54</v>
      </c>
      <c r="D21" s="44">
        <v>66604043804.629997</v>
      </c>
      <c r="E21" s="44">
        <v>627472278.83000004</v>
      </c>
      <c r="F21" s="44">
        <v>-2032481150.45</v>
      </c>
      <c r="G21" s="44">
        <v>226286198.02000001</v>
      </c>
      <c r="H21" s="45">
        <f t="shared" si="13"/>
        <v>-1631295069.6399999</v>
      </c>
      <c r="I21" s="46">
        <v>69457051947.5</v>
      </c>
      <c r="J21" s="47">
        <f t="shared" si="0"/>
        <v>0.28774282948533098</v>
      </c>
      <c r="K21" s="48">
        <v>66267320593.589996</v>
      </c>
      <c r="L21" s="47">
        <f t="shared" si="7"/>
        <v>0.28352956702360071</v>
      </c>
      <c r="M21" s="47">
        <f t="shared" si="8"/>
        <v>-4.5923794121308273E-2</v>
      </c>
      <c r="N21" s="49">
        <f t="shared" si="9"/>
        <v>3.4147479631444246E-3</v>
      </c>
      <c r="O21" s="50">
        <f t="shared" si="10"/>
        <v>-2.4616885895304995E-2</v>
      </c>
      <c r="P21" s="51">
        <f t="shared" si="11"/>
        <v>61284.705503236721</v>
      </c>
      <c r="Q21" s="51">
        <f t="shared" si="12"/>
        <v>-1508.6386025005484</v>
      </c>
      <c r="R21" s="44">
        <v>60801.62</v>
      </c>
      <c r="S21" s="44">
        <v>61615.8</v>
      </c>
      <c r="T21" s="44">
        <v>35322</v>
      </c>
      <c r="U21" s="44">
        <v>1121465.26</v>
      </c>
      <c r="V21" s="44">
        <v>1081302.75</v>
      </c>
    </row>
    <row r="22" spans="1:23">
      <c r="A22" s="42">
        <v>18</v>
      </c>
      <c r="B22" s="43" t="s">
        <v>56</v>
      </c>
      <c r="C22" s="43" t="s">
        <v>57</v>
      </c>
      <c r="D22" s="52">
        <v>15122804012</v>
      </c>
      <c r="E22" s="52">
        <v>56404238</v>
      </c>
      <c r="F22" s="52">
        <v>-249624069</v>
      </c>
      <c r="G22" s="52">
        <v>26351788</v>
      </c>
      <c r="H22" s="45">
        <f t="shared" ref="H22" si="14">(E22+F22)-G22</f>
        <v>-219571619</v>
      </c>
      <c r="I22" s="46">
        <v>16573799668.209999</v>
      </c>
      <c r="J22" s="47">
        <f t="shared" si="0"/>
        <v>6.8661019696869496E-2</v>
      </c>
      <c r="K22" s="46">
        <v>15749755199</v>
      </c>
      <c r="L22" s="47">
        <f t="shared" si="7"/>
        <v>6.7386476958782027E-2</v>
      </c>
      <c r="M22" s="47">
        <f t="shared" si="8"/>
        <v>-4.9719707351754024E-2</v>
      </c>
      <c r="N22" s="49">
        <f t="shared" si="9"/>
        <v>1.6731554025470284E-3</v>
      </c>
      <c r="O22" s="50">
        <f t="shared" si="10"/>
        <v>-1.3941271862685286E-2</v>
      </c>
      <c r="P22" s="51">
        <f t="shared" si="11"/>
        <v>2.4331010213700859</v>
      </c>
      <c r="Q22" s="51">
        <f t="shared" si="12"/>
        <v>-3.3920522808297611E-2</v>
      </c>
      <c r="R22" s="52">
        <v>2.4300000000000002</v>
      </c>
      <c r="S22" s="52">
        <v>2.4300000000000002</v>
      </c>
      <c r="T22" s="52">
        <v>5110</v>
      </c>
      <c r="U22" s="52">
        <v>6796236010.3500004</v>
      </c>
      <c r="V22" s="52">
        <v>6473120129.6899996</v>
      </c>
    </row>
    <row r="23" spans="1:23">
      <c r="A23" s="42">
        <v>19</v>
      </c>
      <c r="B23" s="56" t="s">
        <v>58</v>
      </c>
      <c r="C23" s="56" t="s">
        <v>59</v>
      </c>
      <c r="D23" s="52">
        <v>9930042823.3500004</v>
      </c>
      <c r="E23" s="44">
        <v>106103764.09</v>
      </c>
      <c r="F23" s="44"/>
      <c r="G23" s="44">
        <v>25248902.75</v>
      </c>
      <c r="H23" s="45">
        <f t="shared" si="13"/>
        <v>80854861.340000004</v>
      </c>
      <c r="I23" s="46">
        <v>10181329588.950001</v>
      </c>
      <c r="J23" s="47">
        <f t="shared" si="0"/>
        <v>4.2178648556255659E-2</v>
      </c>
      <c r="K23" s="46">
        <v>9913081433.7999992</v>
      </c>
      <c r="L23" s="47">
        <f t="shared" si="7"/>
        <v>4.2413842322559236E-2</v>
      </c>
      <c r="M23" s="47">
        <f t="shared" si="8"/>
        <v>-2.6347065263571917E-2</v>
      </c>
      <c r="N23" s="49">
        <f t="shared" si="9"/>
        <v>2.547028683120713E-3</v>
      </c>
      <c r="O23" s="50">
        <f t="shared" si="10"/>
        <v>8.1563802214228119E-3</v>
      </c>
      <c r="P23" s="51">
        <f t="shared" si="11"/>
        <v>1.8866546591837969</v>
      </c>
      <c r="Q23" s="51">
        <f t="shared" si="12"/>
        <v>1.5388272746821918E-2</v>
      </c>
      <c r="R23" s="52">
        <v>1.8867</v>
      </c>
      <c r="S23" s="52">
        <v>1.9127000000000001</v>
      </c>
      <c r="T23" s="52">
        <v>1628</v>
      </c>
      <c r="U23" s="52">
        <v>5313361280</v>
      </c>
      <c r="V23" s="52">
        <v>5254316886</v>
      </c>
    </row>
    <row r="24" spans="1:23">
      <c r="A24" s="42">
        <v>20</v>
      </c>
      <c r="B24" s="57" t="s">
        <v>60</v>
      </c>
      <c r="C24" s="57" t="s">
        <v>61</v>
      </c>
      <c r="D24" s="44">
        <v>23436707903.25</v>
      </c>
      <c r="E24" s="44">
        <v>143953172</v>
      </c>
      <c r="F24" s="44">
        <v>-184503298.03999999</v>
      </c>
      <c r="G24" s="44">
        <v>48530752.380000003</v>
      </c>
      <c r="H24" s="45">
        <f t="shared" si="13"/>
        <v>-89080878.419999987</v>
      </c>
      <c r="I24" s="46">
        <v>23861614182</v>
      </c>
      <c r="J24" s="47">
        <f t="shared" si="0"/>
        <v>9.8852574192261164E-2</v>
      </c>
      <c r="K24" s="48">
        <v>23389475181</v>
      </c>
      <c r="L24" s="47">
        <f t="shared" si="7"/>
        <v>0.10007357641105014</v>
      </c>
      <c r="M24" s="47">
        <f t="shared" si="8"/>
        <v>-1.9786549116034148E-2</v>
      </c>
      <c r="N24" s="49">
        <f t="shared" si="9"/>
        <v>2.0748970211791262E-3</v>
      </c>
      <c r="O24" s="50">
        <f t="shared" si="10"/>
        <v>-3.8085881675687687E-3</v>
      </c>
      <c r="P24" s="51">
        <f t="shared" si="11"/>
        <v>353.39535081440118</v>
      </c>
      <c r="Q24" s="51">
        <f t="shared" si="12"/>
        <v>-1.3459373515855424</v>
      </c>
      <c r="R24" s="52">
        <v>349.94</v>
      </c>
      <c r="S24" s="52">
        <v>355.79</v>
      </c>
      <c r="T24" s="52">
        <v>192</v>
      </c>
      <c r="U24" s="44">
        <v>67344372</v>
      </c>
      <c r="V24" s="44">
        <v>66185011</v>
      </c>
    </row>
    <row r="25" spans="1:23">
      <c r="A25" s="144" t="s">
        <v>62</v>
      </c>
      <c r="B25" s="144"/>
      <c r="C25" s="144"/>
      <c r="D25" s="144"/>
      <c r="E25" s="144"/>
      <c r="F25" s="144"/>
      <c r="G25" s="144"/>
      <c r="H25" s="144"/>
      <c r="I25" s="61">
        <f>SUM(I5:I24)</f>
        <v>241385865537.41</v>
      </c>
      <c r="J25" s="62">
        <f>(I25/$I$249)</f>
        <v>2.5545108686608451E-2</v>
      </c>
      <c r="K25" s="61">
        <f>SUM(K5:K24)</f>
        <v>233722786971.53998</v>
      </c>
      <c r="L25" s="62">
        <f>(K25/$K$249)</f>
        <v>2.441828739723342E-2</v>
      </c>
      <c r="M25" s="62">
        <f t="shared" si="2"/>
        <v>-3.1746177634756338E-2</v>
      </c>
      <c r="N25" s="49"/>
      <c r="O25" s="49"/>
      <c r="P25" s="63"/>
      <c r="Q25" s="63"/>
      <c r="R25" s="64"/>
      <c r="S25" s="64"/>
      <c r="T25" s="64">
        <f>SUM(T5:T24)</f>
        <v>113122</v>
      </c>
      <c r="U25" s="64"/>
      <c r="V25" s="64"/>
    </row>
    <row r="26" spans="1:23" ht="6" customHeight="1">
      <c r="A26" s="145"/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37"/>
    </row>
    <row r="27" spans="1:23">
      <c r="A27" s="143" t="s">
        <v>63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</row>
    <row r="28" spans="1:23" ht="13.05" customHeight="1">
      <c r="A28" s="42">
        <v>21</v>
      </c>
      <c r="B28" s="43" t="s">
        <v>64</v>
      </c>
      <c r="C28" s="43" t="s">
        <v>24</v>
      </c>
      <c r="D28" s="44">
        <v>7032720745.3599997</v>
      </c>
      <c r="E28" s="44">
        <v>103222291.23</v>
      </c>
      <c r="F28" s="52">
        <v>0</v>
      </c>
      <c r="G28" s="44">
        <v>12603778.08</v>
      </c>
      <c r="H28" s="45">
        <f t="shared" ref="H28:H41" si="15">(E28+F28)-G28</f>
        <v>90618513.150000006</v>
      </c>
      <c r="I28" s="65">
        <v>6650065709.4700003</v>
      </c>
      <c r="J28" s="47">
        <f>(I28/$I$76)</f>
        <v>1.0617825895770832E-3</v>
      </c>
      <c r="K28" s="66">
        <v>6851854779.6899996</v>
      </c>
      <c r="L28" s="47">
        <f>(K28/$K$76)</f>
        <v>1.0625440010563689E-3</v>
      </c>
      <c r="M28" s="47">
        <f t="shared" ref="M28:M76" si="16">((K28-I28)/I28)</f>
        <v>3.0343921253686616E-2</v>
      </c>
      <c r="N28" s="49">
        <f t="shared" ref="N28" si="17">(G28/K28)</f>
        <v>1.8394695283618133E-3</v>
      </c>
      <c r="O28" s="50">
        <f t="shared" ref="O28" si="18">H28/K28</f>
        <v>1.3225398970598131E-2</v>
      </c>
      <c r="P28" s="67">
        <f t="shared" ref="P28" si="19">K28/V28</f>
        <v>100.26822875288103</v>
      </c>
      <c r="Q28" s="67">
        <f t="shared" ref="Q28" si="20">H28/V28</f>
        <v>1.3260873293320508</v>
      </c>
      <c r="R28" s="52">
        <v>100</v>
      </c>
      <c r="S28" s="52">
        <v>100</v>
      </c>
      <c r="T28" s="52">
        <v>935</v>
      </c>
      <c r="U28" s="68">
        <v>66342094</v>
      </c>
      <c r="V28" s="68">
        <v>68335253</v>
      </c>
    </row>
    <row r="29" spans="1:23" ht="15" customHeight="1">
      <c r="A29" s="42">
        <v>22</v>
      </c>
      <c r="B29" s="43" t="s">
        <v>65</v>
      </c>
      <c r="C29" s="43" t="s">
        <v>66</v>
      </c>
      <c r="D29" s="44">
        <v>46387687679.010002</v>
      </c>
      <c r="E29" s="44">
        <v>838192925.67999995</v>
      </c>
      <c r="F29" s="52">
        <v>0</v>
      </c>
      <c r="G29" s="44">
        <v>77098157.579999998</v>
      </c>
      <c r="H29" s="45">
        <f t="shared" si="15"/>
        <v>761094768.0999999</v>
      </c>
      <c r="I29" s="65">
        <v>47126224737.550003</v>
      </c>
      <c r="J29" s="47">
        <f t="shared" ref="J29:J75" si="21">(I29/$I$76)</f>
        <v>7.5244075960890578E-3</v>
      </c>
      <c r="K29" s="66">
        <v>47599368402.410004</v>
      </c>
      <c r="L29" s="47">
        <f>(K29/$K$76)</f>
        <v>7.3814207942598962E-3</v>
      </c>
      <c r="M29" s="47">
        <f t="shared" ref="M29:M30" si="22">((K29-I29)/I29)</f>
        <v>1.003992294088861E-2</v>
      </c>
      <c r="N29" s="49">
        <f t="shared" ref="N29:N30" si="23">(G29/K29)</f>
        <v>1.6197306848318694E-3</v>
      </c>
      <c r="O29" s="50">
        <f t="shared" ref="O29:O30" si="24">H29/K29</f>
        <v>1.5989598048142692E-2</v>
      </c>
      <c r="P29" s="67">
        <f t="shared" ref="P29:P30" si="25">K29/V29</f>
        <v>102.87407354751946</v>
      </c>
      <c r="Q29" s="67">
        <f t="shared" ref="Q29:Q30" si="26">H29/V29</f>
        <v>1.6449150855999048</v>
      </c>
      <c r="R29" s="52">
        <v>100</v>
      </c>
      <c r="S29" s="52">
        <v>100</v>
      </c>
      <c r="T29" s="52">
        <v>5611</v>
      </c>
      <c r="U29" s="68">
        <v>464602002.48000002</v>
      </c>
      <c r="V29" s="68">
        <v>462695475.75</v>
      </c>
    </row>
    <row r="30" spans="1:23" ht="15" customHeight="1">
      <c r="A30" s="140">
        <v>23</v>
      </c>
      <c r="B30" s="43" t="s">
        <v>67</v>
      </c>
      <c r="C30" s="43" t="s">
        <v>68</v>
      </c>
      <c r="D30" s="52">
        <v>1534897765.96</v>
      </c>
      <c r="E30" s="52">
        <v>36656470.259999998</v>
      </c>
      <c r="F30" s="52">
        <v>0</v>
      </c>
      <c r="G30" s="52">
        <v>4092848.84</v>
      </c>
      <c r="H30" s="45">
        <f t="shared" si="15"/>
        <v>32563621.419999998</v>
      </c>
      <c r="I30" s="65">
        <v>2379079511.1999998</v>
      </c>
      <c r="J30" s="47">
        <f t="shared" si="21"/>
        <v>3.7985567580399752E-4</v>
      </c>
      <c r="K30" s="65">
        <v>2126483972.47</v>
      </c>
      <c r="L30" s="47">
        <f t="shared" ref="L30:L75" si="27">(K30/$K$76)</f>
        <v>3.2976221197623538E-4</v>
      </c>
      <c r="M30" s="47">
        <f t="shared" si="22"/>
        <v>-0.10617364301649231</v>
      </c>
      <c r="N30" s="49">
        <f t="shared" si="23"/>
        <v>1.9247024162829616E-3</v>
      </c>
      <c r="O30" s="50">
        <f t="shared" si="24"/>
        <v>1.5313363204979152E-2</v>
      </c>
      <c r="P30" s="67">
        <f t="shared" si="25"/>
        <v>0.9962065379978623</v>
      </c>
      <c r="Q30" s="67">
        <f t="shared" si="26"/>
        <v>1.525527254353613E-2</v>
      </c>
      <c r="R30" s="52">
        <v>1</v>
      </c>
      <c r="S30" s="52">
        <v>1</v>
      </c>
      <c r="T30" s="52">
        <v>306</v>
      </c>
      <c r="U30" s="69">
        <v>2416993042</v>
      </c>
      <c r="V30" s="69">
        <v>2134581426</v>
      </c>
    </row>
    <row r="31" spans="1:23">
      <c r="A31" s="140">
        <v>24</v>
      </c>
      <c r="B31" s="43" t="s">
        <v>69</v>
      </c>
      <c r="C31" s="43" t="s">
        <v>26</v>
      </c>
      <c r="D31" s="44">
        <v>4356191555.6000004</v>
      </c>
      <c r="E31" s="44">
        <v>62554627.880000003</v>
      </c>
      <c r="F31" s="52">
        <v>0</v>
      </c>
      <c r="G31" s="44">
        <v>5435750.1399999997</v>
      </c>
      <c r="H31" s="45">
        <f t="shared" si="15"/>
        <v>57118877.740000002</v>
      </c>
      <c r="I31" s="65">
        <v>3942857830</v>
      </c>
      <c r="J31" s="47">
        <f t="shared" si="21"/>
        <v>6.2953630534958024E-4</v>
      </c>
      <c r="K31" s="66">
        <v>4441667211.8299999</v>
      </c>
      <c r="L31" s="47">
        <f t="shared" si="27"/>
        <v>6.8878675955129603E-4</v>
      </c>
      <c r="M31" s="47">
        <f t="shared" ref="M31:M75" si="28">((K31-I31)/I31)</f>
        <v>0.12650960377894221</v>
      </c>
      <c r="N31" s="49">
        <f t="shared" ref="N31:N75" si="29">(G31/K31)</f>
        <v>1.2238085117053221E-3</v>
      </c>
      <c r="O31" s="50">
        <f t="shared" ref="O31:O75" si="30">H31/K31</f>
        <v>1.2859783278645632E-2</v>
      </c>
      <c r="P31" s="67">
        <f t="shared" ref="P31:P75" si="31">K31/V31</f>
        <v>122.80470928335529</v>
      </c>
      <c r="Q31" s="67">
        <f t="shared" ref="Q31:Q75" si="32">H31/V31</f>
        <v>1.5792419469810304</v>
      </c>
      <c r="R31" s="52">
        <v>100</v>
      </c>
      <c r="S31" s="52">
        <v>100</v>
      </c>
      <c r="T31" s="52">
        <v>2403</v>
      </c>
      <c r="U31" s="68">
        <v>31618242</v>
      </c>
      <c r="V31" s="68">
        <v>36168541.399999999</v>
      </c>
    </row>
    <row r="32" spans="1:23">
      <c r="A32" s="140">
        <v>25</v>
      </c>
      <c r="B32" s="43" t="s">
        <v>70</v>
      </c>
      <c r="C32" s="43" t="s">
        <v>71</v>
      </c>
      <c r="D32" s="44">
        <v>836313390.05999994</v>
      </c>
      <c r="E32" s="44">
        <v>54776495.600000001</v>
      </c>
      <c r="F32" s="52">
        <v>0</v>
      </c>
      <c r="G32" s="44">
        <v>5190188.4400000004</v>
      </c>
      <c r="H32" s="45">
        <f t="shared" si="15"/>
        <v>49586307.160000004</v>
      </c>
      <c r="I32" s="65">
        <v>1590412880.6099999</v>
      </c>
      <c r="J32" s="47">
        <f t="shared" si="21"/>
        <v>2.5393323624849095E-4</v>
      </c>
      <c r="K32" s="66">
        <v>1925642862.3800001</v>
      </c>
      <c r="L32" s="47">
        <f t="shared" si="27"/>
        <v>2.9861699311897196E-4</v>
      </c>
      <c r="M32" s="47">
        <f t="shared" si="28"/>
        <v>0.2107817321257002</v>
      </c>
      <c r="N32" s="49">
        <f t="shared" si="29"/>
        <v>2.6953016789339544E-3</v>
      </c>
      <c r="O32" s="50">
        <f t="shared" si="30"/>
        <v>2.575052110063325E-2</v>
      </c>
      <c r="P32" s="67">
        <f t="shared" si="31"/>
        <v>100.00000001973368</v>
      </c>
      <c r="Q32" s="67">
        <f t="shared" si="32"/>
        <v>2.5750521105714772</v>
      </c>
      <c r="R32" s="52">
        <v>100</v>
      </c>
      <c r="S32" s="52">
        <v>100</v>
      </c>
      <c r="T32" s="52">
        <v>218</v>
      </c>
      <c r="U32" s="68">
        <v>15904128.810000001</v>
      </c>
      <c r="V32" s="68">
        <v>19256428.620000001</v>
      </c>
    </row>
    <row r="33" spans="1:22">
      <c r="A33" s="140">
        <v>26</v>
      </c>
      <c r="B33" s="43" t="s">
        <v>72</v>
      </c>
      <c r="C33" s="54" t="s">
        <v>73</v>
      </c>
      <c r="D33" s="44">
        <v>219022405684</v>
      </c>
      <c r="E33" s="44">
        <v>6926549223</v>
      </c>
      <c r="F33" s="52">
        <v>0</v>
      </c>
      <c r="G33" s="44">
        <v>6926549223</v>
      </c>
      <c r="H33" s="45">
        <f t="shared" si="15"/>
        <v>0</v>
      </c>
      <c r="I33" s="65">
        <v>440926525045</v>
      </c>
      <c r="J33" s="47">
        <f t="shared" si="21"/>
        <v>7.0400523548032279E-2</v>
      </c>
      <c r="K33" s="66">
        <v>444879171839</v>
      </c>
      <c r="L33" s="47">
        <f t="shared" si="27"/>
        <v>6.898915847335596E-2</v>
      </c>
      <c r="M33" s="47">
        <f t="shared" si="28"/>
        <v>8.9644114597020475E-3</v>
      </c>
      <c r="N33" s="49">
        <f t="shared" si="29"/>
        <v>1.5569506646867006E-2</v>
      </c>
      <c r="O33" s="50">
        <f t="shared" si="30"/>
        <v>0</v>
      </c>
      <c r="P33" s="67">
        <f t="shared" si="31"/>
        <v>1</v>
      </c>
      <c r="Q33" s="67">
        <f t="shared" si="32"/>
        <v>0</v>
      </c>
      <c r="R33" s="52">
        <v>1</v>
      </c>
      <c r="S33" s="52">
        <v>1</v>
      </c>
      <c r="T33" s="44">
        <v>89834</v>
      </c>
      <c r="U33" s="68">
        <v>440926525045</v>
      </c>
      <c r="V33" s="68">
        <v>444879171839</v>
      </c>
    </row>
    <row r="34" spans="1:22">
      <c r="A34" s="140">
        <v>27</v>
      </c>
      <c r="B34" s="43" t="s">
        <v>74</v>
      </c>
      <c r="C34" s="54" t="s">
        <v>75</v>
      </c>
      <c r="D34" s="44">
        <v>1407547959.73</v>
      </c>
      <c r="E34" s="44">
        <v>42385363.32</v>
      </c>
      <c r="F34" s="52">
        <v>0</v>
      </c>
      <c r="G34" s="44">
        <v>4985472.18</v>
      </c>
      <c r="H34" s="45">
        <f t="shared" si="15"/>
        <v>37399891.140000001</v>
      </c>
      <c r="I34" s="65">
        <v>2194512565.3400002</v>
      </c>
      <c r="J34" s="47">
        <f t="shared" si="21"/>
        <v>3.5038679860982281E-4</v>
      </c>
      <c r="K34" s="66">
        <v>2296635064.04</v>
      </c>
      <c r="L34" s="47">
        <f t="shared" si="27"/>
        <v>3.5614820926222515E-4</v>
      </c>
      <c r="M34" s="47">
        <f t="shared" si="28"/>
        <v>4.653539027887852E-2</v>
      </c>
      <c r="N34" s="49">
        <f t="shared" si="29"/>
        <v>2.1707724740691187E-3</v>
      </c>
      <c r="O34" s="50">
        <f t="shared" si="30"/>
        <v>1.628464692784496E-2</v>
      </c>
      <c r="P34" s="67">
        <f t="shared" si="31"/>
        <v>0.91647040656649836</v>
      </c>
      <c r="Q34" s="67">
        <f t="shared" si="32"/>
        <v>1.4924396990753951E-2</v>
      </c>
      <c r="R34" s="52">
        <v>1</v>
      </c>
      <c r="S34" s="52">
        <v>1</v>
      </c>
      <c r="T34" s="52">
        <v>457</v>
      </c>
      <c r="U34" s="68">
        <v>2379663600</v>
      </c>
      <c r="V34" s="68">
        <v>2505956600</v>
      </c>
    </row>
    <row r="35" spans="1:22" ht="15" customHeight="1">
      <c r="A35" s="140">
        <v>28</v>
      </c>
      <c r="B35" s="43" t="s">
        <v>76</v>
      </c>
      <c r="C35" s="43" t="s">
        <v>30</v>
      </c>
      <c r="D35" s="44">
        <v>65381340251.449997</v>
      </c>
      <c r="E35" s="44">
        <v>2613787244.6500001</v>
      </c>
      <c r="F35" s="52">
        <v>0</v>
      </c>
      <c r="G35" s="44">
        <v>247878365.61000001</v>
      </c>
      <c r="H35" s="45">
        <f t="shared" si="15"/>
        <v>2365908879.04</v>
      </c>
      <c r="I35" s="65">
        <v>180806673242.10001</v>
      </c>
      <c r="J35" s="47">
        <f t="shared" si="21"/>
        <v>2.8868493352543843E-2</v>
      </c>
      <c r="K35" s="66">
        <v>179247053441.94</v>
      </c>
      <c r="L35" s="47">
        <f t="shared" si="27"/>
        <v>2.7796543777651492E-2</v>
      </c>
      <c r="M35" s="47">
        <f t="shared" si="28"/>
        <v>-8.625897331077343E-3</v>
      </c>
      <c r="N35" s="49">
        <f t="shared" si="29"/>
        <v>1.3828866966021866E-3</v>
      </c>
      <c r="O35" s="50">
        <f t="shared" si="30"/>
        <v>1.3199150745350146E-2</v>
      </c>
      <c r="P35" s="67">
        <f t="shared" si="31"/>
        <v>1.0259285648506817</v>
      </c>
      <c r="Q35" s="67">
        <f t="shared" si="32"/>
        <v>1.3541385781424883E-2</v>
      </c>
      <c r="R35" s="52">
        <v>1</v>
      </c>
      <c r="S35" s="52">
        <v>1</v>
      </c>
      <c r="T35" s="52">
        <v>42410</v>
      </c>
      <c r="U35" s="68">
        <v>178524584824.87</v>
      </c>
      <c r="V35" s="68">
        <v>174716895096.91</v>
      </c>
    </row>
    <row r="36" spans="1:22" ht="15" customHeight="1">
      <c r="A36" s="140">
        <v>29</v>
      </c>
      <c r="B36" s="43" t="s">
        <v>77</v>
      </c>
      <c r="C36" s="43" t="s">
        <v>32</v>
      </c>
      <c r="D36" s="44">
        <v>38612968054.809998</v>
      </c>
      <c r="E36" s="52">
        <v>558194079.37</v>
      </c>
      <c r="F36" s="52">
        <v>0</v>
      </c>
      <c r="G36" s="52">
        <v>48273554.670000002</v>
      </c>
      <c r="H36" s="45">
        <f t="shared" si="15"/>
        <v>509920524.69999999</v>
      </c>
      <c r="I36" s="65">
        <v>37081762565.360001</v>
      </c>
      <c r="J36" s="47">
        <f t="shared" si="21"/>
        <v>5.9206587728391682E-3</v>
      </c>
      <c r="K36" s="65">
        <v>38551974953.360001</v>
      </c>
      <c r="L36" s="47">
        <f t="shared" si="27"/>
        <v>5.9784059984735053E-3</v>
      </c>
      <c r="M36" s="47">
        <f t="shared" si="28"/>
        <v>3.9647856150543441E-2</v>
      </c>
      <c r="N36" s="49">
        <f t="shared" si="29"/>
        <v>1.2521681373885807E-3</v>
      </c>
      <c r="O36" s="50">
        <f t="shared" si="30"/>
        <v>1.3226832745064279E-2</v>
      </c>
      <c r="P36" s="67">
        <f t="shared" si="31"/>
        <v>1</v>
      </c>
      <c r="Q36" s="67">
        <f t="shared" si="32"/>
        <v>1.3226832745064279E-2</v>
      </c>
      <c r="R36" s="52">
        <v>1</v>
      </c>
      <c r="S36" s="52">
        <v>1</v>
      </c>
      <c r="T36" s="52">
        <v>2663</v>
      </c>
      <c r="U36" s="69">
        <v>37074662565.360001</v>
      </c>
      <c r="V36" s="69">
        <v>38551974953.360001</v>
      </c>
    </row>
    <row r="37" spans="1:22">
      <c r="A37" s="140">
        <v>30</v>
      </c>
      <c r="B37" s="54" t="s">
        <v>78</v>
      </c>
      <c r="C37" s="54" t="s">
        <v>52</v>
      </c>
      <c r="D37" s="44">
        <v>48631000657.769997</v>
      </c>
      <c r="E37" s="44">
        <v>676377778.30999994</v>
      </c>
      <c r="F37" s="52">
        <v>0</v>
      </c>
      <c r="G37" s="44">
        <v>79871284.170000002</v>
      </c>
      <c r="H37" s="45">
        <f t="shared" si="15"/>
        <v>596506494.13999999</v>
      </c>
      <c r="I37" s="65">
        <v>44270743927.779999</v>
      </c>
      <c r="J37" s="47">
        <f t="shared" si="21"/>
        <v>7.068487317832604E-3</v>
      </c>
      <c r="K37" s="66">
        <v>47345119416.029999</v>
      </c>
      <c r="L37" s="47">
        <f t="shared" si="27"/>
        <v>7.3419934065030064E-3</v>
      </c>
      <c r="M37" s="47">
        <f t="shared" si="28"/>
        <v>6.944485715589753E-2</v>
      </c>
      <c r="N37" s="49">
        <f t="shared" si="29"/>
        <v>1.687001430245783E-3</v>
      </c>
      <c r="O37" s="50">
        <f t="shared" si="30"/>
        <v>1.2599112675129007E-2</v>
      </c>
      <c r="P37" s="67">
        <f t="shared" si="31"/>
        <v>100.0002440659427</v>
      </c>
      <c r="Q37" s="67">
        <f t="shared" si="32"/>
        <v>1.2599143425272128</v>
      </c>
      <c r="R37" s="52">
        <v>100</v>
      </c>
      <c r="S37" s="52">
        <v>100</v>
      </c>
      <c r="T37" s="52">
        <v>12991</v>
      </c>
      <c r="U37" s="68">
        <v>442706283.75</v>
      </c>
      <c r="V37" s="68">
        <v>473450038.63</v>
      </c>
    </row>
    <row r="38" spans="1:22">
      <c r="A38" s="140">
        <v>31</v>
      </c>
      <c r="B38" s="70" t="s">
        <v>79</v>
      </c>
      <c r="C38" s="70" t="s">
        <v>80</v>
      </c>
      <c r="D38" s="44">
        <v>4019820958.9899998</v>
      </c>
      <c r="E38" s="44">
        <v>144602539.25</v>
      </c>
      <c r="F38" s="52">
        <v>0</v>
      </c>
      <c r="G38" s="44">
        <v>4967579.3</v>
      </c>
      <c r="H38" s="45">
        <f t="shared" si="15"/>
        <v>139634959.94999999</v>
      </c>
      <c r="I38" s="65">
        <v>3470059349.5799999</v>
      </c>
      <c r="J38" s="47">
        <f t="shared" si="21"/>
        <v>5.5404694677473585E-4</v>
      </c>
      <c r="K38" s="66">
        <v>3876675422.0900002</v>
      </c>
      <c r="L38" s="47">
        <f t="shared" si="27"/>
        <v>6.011712662087038E-4</v>
      </c>
      <c r="M38" s="47">
        <f t="shared" si="28"/>
        <v>0.11717842017866789</v>
      </c>
      <c r="N38" s="49">
        <f t="shared" si="29"/>
        <v>1.2814019124979697E-3</v>
      </c>
      <c r="O38" s="50">
        <f t="shared" si="30"/>
        <v>3.601925483736261E-2</v>
      </c>
      <c r="P38" s="67">
        <f t="shared" si="31"/>
        <v>0.99559345369748742</v>
      </c>
      <c r="Q38" s="67">
        <f t="shared" si="32"/>
        <v>3.5860534323139771E-2</v>
      </c>
      <c r="R38" s="52">
        <v>1</v>
      </c>
      <c r="S38" s="52">
        <v>1</v>
      </c>
      <c r="T38" s="52">
        <v>892</v>
      </c>
      <c r="U38" s="68">
        <v>3471114362.8699999</v>
      </c>
      <c r="V38" s="68">
        <v>3893833780.9400001</v>
      </c>
    </row>
    <row r="39" spans="1:22">
      <c r="A39" s="140">
        <v>32</v>
      </c>
      <c r="B39" s="43" t="s">
        <v>81</v>
      </c>
      <c r="C39" s="43" t="s">
        <v>82</v>
      </c>
      <c r="D39" s="44">
        <v>117146625294.71001</v>
      </c>
      <c r="E39" s="44">
        <v>1710555535.8900001</v>
      </c>
      <c r="F39" s="52">
        <v>0</v>
      </c>
      <c r="G39" s="44">
        <v>182494296.71000001</v>
      </c>
      <c r="H39" s="45">
        <f t="shared" si="15"/>
        <v>1528061239.1800001</v>
      </c>
      <c r="I39" s="65">
        <v>106138007822.33</v>
      </c>
      <c r="J39" s="47">
        <f t="shared" si="21"/>
        <v>1.6946522594154623E-2</v>
      </c>
      <c r="K39" s="66">
        <v>113604132760.12</v>
      </c>
      <c r="L39" s="47">
        <f t="shared" si="27"/>
        <v>1.7617038545136545E-2</v>
      </c>
      <c r="M39" s="47">
        <f t="shared" si="28"/>
        <v>7.0343556384513381E-2</v>
      </c>
      <c r="N39" s="49">
        <f t="shared" si="29"/>
        <v>1.6064054385710117E-3</v>
      </c>
      <c r="O39" s="50">
        <f t="shared" si="30"/>
        <v>1.3450753965144622E-2</v>
      </c>
      <c r="P39" s="67">
        <f t="shared" si="31"/>
        <v>100.00000000010563</v>
      </c>
      <c r="Q39" s="67">
        <f t="shared" si="32"/>
        <v>1.345075396515883</v>
      </c>
      <c r="R39" s="52">
        <v>100</v>
      </c>
      <c r="S39" s="52">
        <v>100</v>
      </c>
      <c r="T39" s="44">
        <v>6679</v>
      </c>
      <c r="U39" s="68">
        <v>1061380078.22</v>
      </c>
      <c r="V39" s="68">
        <v>1136041327.5999999</v>
      </c>
    </row>
    <row r="40" spans="1:22">
      <c r="A40" s="140">
        <v>33</v>
      </c>
      <c r="B40" s="43" t="s">
        <v>83</v>
      </c>
      <c r="C40" s="43" t="s">
        <v>84</v>
      </c>
      <c r="D40" s="44">
        <v>22336111852.27</v>
      </c>
      <c r="E40" s="44">
        <v>695201432.48000002</v>
      </c>
      <c r="F40" s="52">
        <v>0</v>
      </c>
      <c r="G40" s="44">
        <v>53979695.100000001</v>
      </c>
      <c r="H40" s="45">
        <f t="shared" si="15"/>
        <v>641221737.38</v>
      </c>
      <c r="I40" s="65">
        <v>47056159900</v>
      </c>
      <c r="J40" s="47">
        <f t="shared" si="21"/>
        <v>7.5132206954023175E-3</v>
      </c>
      <c r="K40" s="66">
        <v>47056550500</v>
      </c>
      <c r="L40" s="47">
        <f t="shared" si="27"/>
        <v>7.2972438926154851E-3</v>
      </c>
      <c r="M40" s="47">
        <f t="shared" si="28"/>
        <v>8.3007198383818816E-6</v>
      </c>
      <c r="N40" s="49">
        <f t="shared" si="29"/>
        <v>1.1471239291116334E-3</v>
      </c>
      <c r="O40" s="50">
        <f t="shared" si="30"/>
        <v>1.3626620110626255E-2</v>
      </c>
      <c r="P40" s="67">
        <f t="shared" si="31"/>
        <v>100</v>
      </c>
      <c r="Q40" s="67">
        <f t="shared" si="32"/>
        <v>1.3626620110626255</v>
      </c>
      <c r="R40" s="52">
        <v>100</v>
      </c>
      <c r="S40" s="52">
        <v>100</v>
      </c>
      <c r="T40" s="52">
        <v>6156</v>
      </c>
      <c r="U40" s="68">
        <v>470561599</v>
      </c>
      <c r="V40" s="68">
        <v>470565505</v>
      </c>
    </row>
    <row r="41" spans="1:22">
      <c r="A41" s="140">
        <v>34</v>
      </c>
      <c r="B41" s="43" t="s">
        <v>85</v>
      </c>
      <c r="C41" s="43" t="s">
        <v>86</v>
      </c>
      <c r="D41" s="44">
        <v>104297028220.27</v>
      </c>
      <c r="E41" s="44">
        <v>1585056770.49</v>
      </c>
      <c r="F41" s="52">
        <v>0</v>
      </c>
      <c r="G41" s="44">
        <v>184750765.02000001</v>
      </c>
      <c r="H41" s="45">
        <f t="shared" si="15"/>
        <v>1400306005.47</v>
      </c>
      <c r="I41" s="65">
        <v>98551160217.839996</v>
      </c>
      <c r="J41" s="47">
        <f t="shared" si="21"/>
        <v>1.5735168744710617E-2</v>
      </c>
      <c r="K41" s="66">
        <v>104712396524.55</v>
      </c>
      <c r="L41" s="47">
        <f t="shared" si="27"/>
        <v>1.6238162124100099E-2</v>
      </c>
      <c r="M41" s="47">
        <f t="shared" si="28"/>
        <v>6.2518150908533729E-2</v>
      </c>
      <c r="N41" s="49">
        <f t="shared" si="29"/>
        <v>1.7643638303769017E-3</v>
      </c>
      <c r="O41" s="50">
        <f t="shared" si="30"/>
        <v>1.3372877060852063E-2</v>
      </c>
      <c r="P41" s="67">
        <f t="shared" si="31"/>
        <v>1</v>
      </c>
      <c r="Q41" s="67">
        <f t="shared" si="32"/>
        <v>1.3372877060852063E-2</v>
      </c>
      <c r="R41" s="52">
        <v>1</v>
      </c>
      <c r="S41" s="52">
        <v>1</v>
      </c>
      <c r="T41" s="44">
        <v>21802</v>
      </c>
      <c r="U41" s="68">
        <v>98551160217.839996</v>
      </c>
      <c r="V41" s="68">
        <v>104712396524.55</v>
      </c>
    </row>
    <row r="42" spans="1:22">
      <c r="A42" s="140">
        <v>35</v>
      </c>
      <c r="B42" s="56" t="s">
        <v>87</v>
      </c>
      <c r="C42" s="57" t="s">
        <v>88</v>
      </c>
      <c r="D42" s="44">
        <v>2865081534.6300001</v>
      </c>
      <c r="E42" s="44">
        <v>45160658.57</v>
      </c>
      <c r="F42" s="52">
        <v>0</v>
      </c>
      <c r="G42" s="44">
        <v>3939285.41</v>
      </c>
      <c r="H42" s="45">
        <f t="shared" ref="H42:H46" si="33">(E42+F42)-G42</f>
        <v>41221373.159999996</v>
      </c>
      <c r="I42" s="65">
        <v>2182990643.8000002</v>
      </c>
      <c r="J42" s="47">
        <f t="shared" si="21"/>
        <v>3.485471512703651E-4</v>
      </c>
      <c r="K42" s="66">
        <v>2677197361.4000001</v>
      </c>
      <c r="L42" s="47">
        <f t="shared" si="27"/>
        <v>4.151634976899219E-4</v>
      </c>
      <c r="M42" s="47">
        <f t="shared" si="28"/>
        <v>0.22638975526698493</v>
      </c>
      <c r="N42" s="49">
        <f t="shared" si="29"/>
        <v>1.4714213702720857E-3</v>
      </c>
      <c r="O42" s="50">
        <f t="shared" si="30"/>
        <v>1.5397211185970951E-2</v>
      </c>
      <c r="P42" s="67">
        <f t="shared" si="31"/>
        <v>1000.000000522935</v>
      </c>
      <c r="Q42" s="67">
        <f t="shared" si="32"/>
        <v>15.397211194022692</v>
      </c>
      <c r="R42" s="52">
        <v>1000</v>
      </c>
      <c r="S42" s="52">
        <v>1000</v>
      </c>
      <c r="T42" s="52">
        <v>403</v>
      </c>
      <c r="U42" s="68">
        <v>2182990.64</v>
      </c>
      <c r="V42" s="68">
        <v>2677197.36</v>
      </c>
    </row>
    <row r="43" spans="1:22">
      <c r="A43" s="140">
        <v>36</v>
      </c>
      <c r="B43" s="43" t="s">
        <v>89</v>
      </c>
      <c r="C43" s="43" t="s">
        <v>90</v>
      </c>
      <c r="D43" s="44">
        <v>37853296870.529999</v>
      </c>
      <c r="E43" s="44">
        <v>1311348789.76</v>
      </c>
      <c r="F43" s="52">
        <v>0</v>
      </c>
      <c r="G43" s="44">
        <v>135452698.18000001</v>
      </c>
      <c r="H43" s="45">
        <f t="shared" si="33"/>
        <v>1175896091.5799999</v>
      </c>
      <c r="I43" s="65">
        <v>95822954076.399994</v>
      </c>
      <c r="J43" s="47">
        <f t="shared" si="21"/>
        <v>1.5299569773465391E-2</v>
      </c>
      <c r="K43" s="66">
        <v>81914543783.949997</v>
      </c>
      <c r="L43" s="47">
        <f t="shared" si="27"/>
        <v>1.2702809661830459E-2</v>
      </c>
      <c r="M43" s="47">
        <f t="shared" si="28"/>
        <v>-0.14514695801760369</v>
      </c>
      <c r="N43" s="49">
        <f t="shared" si="29"/>
        <v>1.6535854553161786E-3</v>
      </c>
      <c r="O43" s="50">
        <f t="shared" si="30"/>
        <v>1.4355156450378721E-2</v>
      </c>
      <c r="P43" s="67">
        <f t="shared" si="31"/>
        <v>102.40965091415434</v>
      </c>
      <c r="Q43" s="67">
        <f t="shared" si="32"/>
        <v>1.4701065609013557</v>
      </c>
      <c r="R43" s="52">
        <v>100</v>
      </c>
      <c r="S43" s="52">
        <v>100</v>
      </c>
      <c r="T43" s="52">
        <v>9146</v>
      </c>
      <c r="U43" s="68">
        <v>913656066</v>
      </c>
      <c r="V43" s="68">
        <v>799871331</v>
      </c>
    </row>
    <row r="44" spans="1:22">
      <c r="A44" s="140">
        <v>37</v>
      </c>
      <c r="B44" s="43" t="s">
        <v>91</v>
      </c>
      <c r="C44" s="43" t="s">
        <v>90</v>
      </c>
      <c r="D44" s="44">
        <v>3351896520.5599999</v>
      </c>
      <c r="E44" s="44">
        <v>140100698.63</v>
      </c>
      <c r="F44" s="52">
        <v>0</v>
      </c>
      <c r="G44" s="44">
        <v>12758414</v>
      </c>
      <c r="H44" s="45">
        <f t="shared" si="33"/>
        <v>127342284.63</v>
      </c>
      <c r="I44" s="65">
        <v>9623558469.2900009</v>
      </c>
      <c r="J44" s="47">
        <f t="shared" si="21"/>
        <v>1.5365452431422028E-3</v>
      </c>
      <c r="K44" s="66">
        <v>8877962243.6299992</v>
      </c>
      <c r="L44" s="47">
        <f t="shared" si="27"/>
        <v>1.3767404340698515E-3</v>
      </c>
      <c r="M44" s="47">
        <f t="shared" si="28"/>
        <v>-7.7476146483579242E-2</v>
      </c>
      <c r="N44" s="49">
        <f t="shared" si="29"/>
        <v>1.4370881121007529E-3</v>
      </c>
      <c r="O44" s="50">
        <f t="shared" si="30"/>
        <v>1.4343638904453438E-2</v>
      </c>
      <c r="P44" s="67">
        <f t="shared" si="31"/>
        <v>971436.94535835425</v>
      </c>
      <c r="Q44" s="67">
        <f t="shared" si="32"/>
        <v>13933.940762665499</v>
      </c>
      <c r="R44" s="44">
        <v>1000000</v>
      </c>
      <c r="S44" s="44">
        <v>1000000</v>
      </c>
      <c r="T44" s="52">
        <v>102</v>
      </c>
      <c r="U44" s="68">
        <v>9662</v>
      </c>
      <c r="V44" s="68">
        <v>9139</v>
      </c>
    </row>
    <row r="45" spans="1:22">
      <c r="A45" s="140">
        <v>38</v>
      </c>
      <c r="B45" s="54" t="s">
        <v>92</v>
      </c>
      <c r="C45" s="54" t="s">
        <v>93</v>
      </c>
      <c r="D45" s="44">
        <v>9613226542</v>
      </c>
      <c r="E45" s="44">
        <v>162607397</v>
      </c>
      <c r="F45" s="52">
        <v>0</v>
      </c>
      <c r="G45" s="44">
        <v>16002311</v>
      </c>
      <c r="H45" s="45">
        <f t="shared" si="33"/>
        <v>146605086</v>
      </c>
      <c r="I45" s="65">
        <v>8627330801</v>
      </c>
      <c r="J45" s="47">
        <f t="shared" si="21"/>
        <v>1.377482575244204E-3</v>
      </c>
      <c r="K45" s="66">
        <v>8855839460</v>
      </c>
      <c r="L45" s="47">
        <f t="shared" si="27"/>
        <v>1.3733097672229124E-3</v>
      </c>
      <c r="M45" s="47">
        <f t="shared" si="28"/>
        <v>2.6486599884811814E-2</v>
      </c>
      <c r="N45" s="49">
        <f t="shared" si="29"/>
        <v>1.8069784431254809E-3</v>
      </c>
      <c r="O45" s="50">
        <f t="shared" si="30"/>
        <v>1.6554623270011264E-2</v>
      </c>
      <c r="P45" s="67">
        <f t="shared" si="31"/>
        <v>0.90911667999602064</v>
      </c>
      <c r="Q45" s="67">
        <f t="shared" si="32"/>
        <v>1.5050084145817509E-2</v>
      </c>
      <c r="R45" s="52">
        <v>1</v>
      </c>
      <c r="S45" s="52">
        <v>1</v>
      </c>
      <c r="T45" s="52">
        <v>1381</v>
      </c>
      <c r="U45" s="68">
        <v>9052938605</v>
      </c>
      <c r="V45" s="68">
        <v>9741147264</v>
      </c>
    </row>
    <row r="46" spans="1:22">
      <c r="A46" s="140">
        <v>39</v>
      </c>
      <c r="B46" s="43" t="s">
        <v>94</v>
      </c>
      <c r="C46" s="43" t="s">
        <v>36</v>
      </c>
      <c r="D46" s="44">
        <v>72496393605.309998</v>
      </c>
      <c r="E46" s="44">
        <v>1171901973.1400001</v>
      </c>
      <c r="F46" s="52">
        <v>0</v>
      </c>
      <c r="G46" s="44">
        <v>103056515.03</v>
      </c>
      <c r="H46" s="45">
        <f t="shared" si="33"/>
        <v>1068845458.1100001</v>
      </c>
      <c r="I46" s="65">
        <v>71822354223.289993</v>
      </c>
      <c r="J46" s="47">
        <f t="shared" si="21"/>
        <v>1.1467514546229227E-2</v>
      </c>
      <c r="K46" s="66">
        <v>72273164617.690002</v>
      </c>
      <c r="L46" s="47">
        <f t="shared" si="27"/>
        <v>1.1207683170623227E-2</v>
      </c>
      <c r="M46" s="47">
        <f t="shared" si="28"/>
        <v>6.2767420989637219E-3</v>
      </c>
      <c r="N46" s="49">
        <f t="shared" si="29"/>
        <v>1.4259305729193887E-3</v>
      </c>
      <c r="O46" s="50">
        <f t="shared" si="30"/>
        <v>1.4788967160411061E-2</v>
      </c>
      <c r="P46" s="67">
        <f t="shared" si="31"/>
        <v>0.99942334656677245</v>
      </c>
      <c r="Q46" s="67">
        <f t="shared" si="32"/>
        <v>1.4780439051724121E-2</v>
      </c>
      <c r="R46" s="52">
        <v>1</v>
      </c>
      <c r="S46" s="52">
        <v>1</v>
      </c>
      <c r="T46" s="44">
        <v>4474</v>
      </c>
      <c r="U46" s="68">
        <v>71587168198</v>
      </c>
      <c r="V46" s="68">
        <v>72314865233</v>
      </c>
    </row>
    <row r="47" spans="1:22">
      <c r="A47" s="140">
        <v>40</v>
      </c>
      <c r="B47" s="43" t="s">
        <v>97</v>
      </c>
      <c r="C47" s="43" t="s">
        <v>98</v>
      </c>
      <c r="D47" s="44">
        <v>6434477267.9099998</v>
      </c>
      <c r="E47" s="44">
        <v>210372687.88999999</v>
      </c>
      <c r="F47" s="52">
        <v>0</v>
      </c>
      <c r="G47" s="44">
        <v>16230696.800000001</v>
      </c>
      <c r="H47" s="45">
        <f>(E47+F47)-G47</f>
        <v>194141991.08999997</v>
      </c>
      <c r="I47" s="65">
        <v>10168840056.940001</v>
      </c>
      <c r="J47" s="47">
        <f t="shared" si="21"/>
        <v>1.6236076153769974E-3</v>
      </c>
      <c r="K47" s="66">
        <v>13888957058.83</v>
      </c>
      <c r="L47" s="47">
        <f t="shared" si="27"/>
        <v>2.1538150585930847E-3</v>
      </c>
      <c r="M47" s="47">
        <f t="shared" si="28"/>
        <v>0.36583494096272118</v>
      </c>
      <c r="N47" s="49">
        <f t="shared" si="29"/>
        <v>1.1686044338139287E-3</v>
      </c>
      <c r="O47" s="50">
        <f t="shared" si="30"/>
        <v>1.3978154750400993E-2</v>
      </c>
      <c r="P47" s="67">
        <f t="shared" si="31"/>
        <v>1.0595749876418543</v>
      </c>
      <c r="Q47" s="67">
        <f t="shared" si="32"/>
        <v>1.4810903146912059E-2</v>
      </c>
      <c r="R47" s="52">
        <v>1</v>
      </c>
      <c r="S47" s="52">
        <v>1</v>
      </c>
      <c r="T47" s="52">
        <v>2854</v>
      </c>
      <c r="U47" s="68">
        <v>9540211047.1599998</v>
      </c>
      <c r="V47" s="68">
        <v>13108045415.209999</v>
      </c>
    </row>
    <row r="48" spans="1:22">
      <c r="A48" s="140">
        <v>41</v>
      </c>
      <c r="B48" s="43" t="s">
        <v>95</v>
      </c>
      <c r="C48" s="43" t="s">
        <v>96</v>
      </c>
      <c r="D48" s="44">
        <v>777059614475.25</v>
      </c>
      <c r="E48" s="44">
        <v>11288740907.99</v>
      </c>
      <c r="F48" s="52">
        <v>0</v>
      </c>
      <c r="G48" s="44">
        <v>1228749776.6700001</v>
      </c>
      <c r="H48" s="45">
        <f t="shared" ref="H48:H52" si="34">(E48+F48)-G48</f>
        <v>10059991131.32</v>
      </c>
      <c r="I48" s="65">
        <v>746647413451.26001</v>
      </c>
      <c r="J48" s="47">
        <f t="shared" si="21"/>
        <v>0.11921344221100832</v>
      </c>
      <c r="K48" s="66">
        <v>753677286089.71997</v>
      </c>
      <c r="L48" s="47">
        <f t="shared" si="27"/>
        <v>0.11687569348971347</v>
      </c>
      <c r="M48" s="47">
        <f t="shared" si="28"/>
        <v>9.4152507754168488E-3</v>
      </c>
      <c r="N48" s="49">
        <f t="shared" si="29"/>
        <v>1.6303394030156909E-3</v>
      </c>
      <c r="O48" s="50">
        <f t="shared" si="30"/>
        <v>1.3347876228981152E-2</v>
      </c>
      <c r="P48" s="67">
        <f t="shared" si="31"/>
        <v>100.04264221342173</v>
      </c>
      <c r="Q48" s="67">
        <f t="shared" si="32"/>
        <v>1.3353568058849981</v>
      </c>
      <c r="R48" s="52">
        <v>100</v>
      </c>
      <c r="S48" s="52">
        <v>100</v>
      </c>
      <c r="T48" s="44">
        <v>71462</v>
      </c>
      <c r="U48" s="68">
        <v>7463321582</v>
      </c>
      <c r="V48" s="68">
        <v>7533560384</v>
      </c>
    </row>
    <row r="49" spans="1:22">
      <c r="A49" s="140">
        <v>42</v>
      </c>
      <c r="B49" s="43" t="s">
        <v>99</v>
      </c>
      <c r="C49" s="43" t="s">
        <v>100</v>
      </c>
      <c r="D49" s="44">
        <v>7739950963.2200003</v>
      </c>
      <c r="E49" s="44">
        <v>108220436.73999999</v>
      </c>
      <c r="F49" s="52">
        <v>0</v>
      </c>
      <c r="G49" s="44">
        <v>9200145.2200000007</v>
      </c>
      <c r="H49" s="45">
        <f t="shared" si="34"/>
        <v>99020291.519999996</v>
      </c>
      <c r="I49" s="65">
        <v>6255663579.8000002</v>
      </c>
      <c r="J49" s="47">
        <f t="shared" si="21"/>
        <v>9.9881038255371759E-4</v>
      </c>
      <c r="K49" s="66">
        <v>7877422727.7799997</v>
      </c>
      <c r="L49" s="47">
        <f t="shared" si="27"/>
        <v>1.2215828461511011E-3</v>
      </c>
      <c r="M49" s="47">
        <f t="shared" si="28"/>
        <v>0.25924654152067572</v>
      </c>
      <c r="N49" s="49">
        <f t="shared" si="29"/>
        <v>1.1679131027912688E-3</v>
      </c>
      <c r="O49" s="50">
        <f t="shared" si="30"/>
        <v>1.2570138094887502E-2</v>
      </c>
      <c r="P49" s="67">
        <f t="shared" si="31"/>
        <v>1.0037761670617729</v>
      </c>
      <c r="Q49" s="67">
        <f t="shared" si="32"/>
        <v>1.2617605036323351E-2</v>
      </c>
      <c r="R49" s="52">
        <v>1</v>
      </c>
      <c r="S49" s="52">
        <v>1</v>
      </c>
      <c r="T49" s="52">
        <v>1028</v>
      </c>
      <c r="U49" s="68">
        <v>6226068960.5900002</v>
      </c>
      <c r="V49" s="68">
        <v>7847788168.5900002</v>
      </c>
    </row>
    <row r="50" spans="1:22">
      <c r="A50" s="140">
        <v>43</v>
      </c>
      <c r="B50" s="43" t="s">
        <v>101</v>
      </c>
      <c r="C50" s="43" t="s">
        <v>102</v>
      </c>
      <c r="D50" s="52">
        <v>28733523.370000001</v>
      </c>
      <c r="E50" s="71">
        <v>188791.45</v>
      </c>
      <c r="F50" s="52">
        <v>0</v>
      </c>
      <c r="G50" s="44">
        <v>0</v>
      </c>
      <c r="H50" s="45">
        <f t="shared" si="34"/>
        <v>188791.45</v>
      </c>
      <c r="I50" s="65">
        <v>63510000</v>
      </c>
      <c r="J50" s="47">
        <f t="shared" si="21"/>
        <v>1.0140322699069228E-5</v>
      </c>
      <c r="K50" s="66">
        <v>62879332</v>
      </c>
      <c r="L50" s="47">
        <f t="shared" si="27"/>
        <v>9.7509446938474898E-6</v>
      </c>
      <c r="M50" s="47">
        <f t="shared" si="28"/>
        <v>-9.9302157140607784E-3</v>
      </c>
      <c r="N50" s="49">
        <f t="shared" si="29"/>
        <v>0</v>
      </c>
      <c r="O50" s="50">
        <f t="shared" si="30"/>
        <v>3.0024404521345745E-3</v>
      </c>
      <c r="P50" s="67">
        <f t="shared" si="31"/>
        <v>1</v>
      </c>
      <c r="Q50" s="67">
        <f t="shared" si="32"/>
        <v>3.0024404521345745E-3</v>
      </c>
      <c r="R50" s="52">
        <v>1</v>
      </c>
      <c r="S50" s="52">
        <v>1</v>
      </c>
      <c r="T50" s="52">
        <v>36</v>
      </c>
      <c r="U50" s="68">
        <v>64612619</v>
      </c>
      <c r="V50" s="68">
        <v>62879332</v>
      </c>
    </row>
    <row r="51" spans="1:22" ht="15.6" customHeight="1">
      <c r="A51" s="140">
        <v>44</v>
      </c>
      <c r="B51" s="43" t="s">
        <v>103</v>
      </c>
      <c r="C51" s="43" t="s">
        <v>104</v>
      </c>
      <c r="D51" s="44">
        <v>2321357130.0300002</v>
      </c>
      <c r="E51" s="44">
        <v>32460806.18</v>
      </c>
      <c r="F51" s="52">
        <v>0</v>
      </c>
      <c r="G51" s="44">
        <v>1885172.75</v>
      </c>
      <c r="H51" s="45">
        <f t="shared" si="34"/>
        <v>30575633.43</v>
      </c>
      <c r="I51" s="65">
        <v>2096910131.98</v>
      </c>
      <c r="J51" s="47">
        <f t="shared" si="21"/>
        <v>3.3480310831719484E-4</v>
      </c>
      <c r="K51" s="66">
        <v>2248139869.5500002</v>
      </c>
      <c r="L51" s="47">
        <f t="shared" si="27"/>
        <v>3.4862786920216587E-4</v>
      </c>
      <c r="M51" s="47">
        <f t="shared" si="28"/>
        <v>7.2120276049790474E-2</v>
      </c>
      <c r="N51" s="49">
        <f t="shared" si="29"/>
        <v>8.3854780369041113E-4</v>
      </c>
      <c r="O51" s="50">
        <f t="shared" si="30"/>
        <v>1.3600414210936166E-2</v>
      </c>
      <c r="P51" s="67">
        <f t="shared" si="31"/>
        <v>9.9284365436387052</v>
      </c>
      <c r="Q51" s="67">
        <f t="shared" si="32"/>
        <v>0.13503084946048177</v>
      </c>
      <c r="R51" s="52">
        <v>10</v>
      </c>
      <c r="S51" s="52">
        <v>10</v>
      </c>
      <c r="T51" s="52">
        <v>593</v>
      </c>
      <c r="U51" s="68">
        <v>211499339</v>
      </c>
      <c r="V51" s="68">
        <v>226434430</v>
      </c>
    </row>
    <row r="52" spans="1:22">
      <c r="A52" s="140">
        <v>45</v>
      </c>
      <c r="B52" s="43" t="s">
        <v>105</v>
      </c>
      <c r="C52" s="43" t="s">
        <v>106</v>
      </c>
      <c r="D52" s="44">
        <v>4169485545.3899999</v>
      </c>
      <c r="E52" s="44">
        <v>521554828.56999999</v>
      </c>
      <c r="F52" s="52">
        <v>0</v>
      </c>
      <c r="G52" s="44">
        <v>27052964.530000001</v>
      </c>
      <c r="H52" s="45">
        <f t="shared" si="34"/>
        <v>494501864.03999996</v>
      </c>
      <c r="I52" s="65">
        <v>14913289221.450001</v>
      </c>
      <c r="J52" s="47">
        <f t="shared" si="21"/>
        <v>2.3811299828381972E-3</v>
      </c>
      <c r="K52" s="66">
        <v>15636231205.049999</v>
      </c>
      <c r="L52" s="47">
        <f t="shared" si="27"/>
        <v>2.4247717151425026E-3</v>
      </c>
      <c r="M52" s="47">
        <f t="shared" si="28"/>
        <v>4.847636043698398E-2</v>
      </c>
      <c r="N52" s="49">
        <f t="shared" si="29"/>
        <v>1.7301461058763805E-3</v>
      </c>
      <c r="O52" s="50">
        <f t="shared" si="30"/>
        <v>3.1625387061320238E-2</v>
      </c>
      <c r="P52" s="67">
        <f t="shared" si="31"/>
        <v>100.10480314098311</v>
      </c>
      <c r="Q52" s="67">
        <f t="shared" si="32"/>
        <v>3.1658531460308565</v>
      </c>
      <c r="R52" s="52">
        <v>100</v>
      </c>
      <c r="S52" s="52">
        <v>100</v>
      </c>
      <c r="T52" s="52">
        <v>1163</v>
      </c>
      <c r="U52" s="68">
        <v>151395356</v>
      </c>
      <c r="V52" s="68">
        <v>156198611</v>
      </c>
    </row>
    <row r="53" spans="1:22">
      <c r="A53" s="140">
        <v>46</v>
      </c>
      <c r="B53" s="56" t="s">
        <v>107</v>
      </c>
      <c r="C53" s="56" t="s">
        <v>108</v>
      </c>
      <c r="D53" s="52">
        <v>221613611.34999999</v>
      </c>
      <c r="E53" s="52">
        <v>3315571.03</v>
      </c>
      <c r="F53" s="52">
        <v>0</v>
      </c>
      <c r="G53" s="52">
        <v>329897.78000000003</v>
      </c>
      <c r="H53" s="45">
        <v>2221712.87</v>
      </c>
      <c r="I53" s="65">
        <v>240389706.50999999</v>
      </c>
      <c r="J53" s="47">
        <f t="shared" si="21"/>
        <v>3.8381816998046646E-5</v>
      </c>
      <c r="K53" s="65">
        <v>289090017.10000002</v>
      </c>
      <c r="L53" s="47">
        <f t="shared" si="27"/>
        <v>4.4830323074766846E-5</v>
      </c>
      <c r="M53" s="47">
        <f t="shared" si="28"/>
        <v>0.20258900140540811</v>
      </c>
      <c r="N53" s="49">
        <f t="shared" si="29"/>
        <v>1.1411593638181012E-3</v>
      </c>
      <c r="O53" s="50">
        <f t="shared" si="30"/>
        <v>7.6851940177217548E-3</v>
      </c>
      <c r="P53" s="67">
        <f t="shared" si="31"/>
        <v>1.5858190375169858</v>
      </c>
      <c r="Q53" s="67">
        <f t="shared" si="32"/>
        <v>1.2187326980314812E-2</v>
      </c>
      <c r="R53" s="52">
        <v>1.1599999999999999</v>
      </c>
      <c r="S53" s="52">
        <v>1.1599999999999999</v>
      </c>
      <c r="T53" s="52">
        <v>166</v>
      </c>
      <c r="U53" s="69">
        <v>225551288.78999999</v>
      </c>
      <c r="V53" s="69">
        <v>182296977.31</v>
      </c>
    </row>
    <row r="54" spans="1:22">
      <c r="A54" s="140">
        <v>47</v>
      </c>
      <c r="B54" s="54" t="s">
        <v>109</v>
      </c>
      <c r="C54" s="54" t="s">
        <v>44</v>
      </c>
      <c r="D54" s="44">
        <v>6511821332.7700005</v>
      </c>
      <c r="E54" s="44">
        <v>94620179.439999998</v>
      </c>
      <c r="F54" s="52">
        <v>0</v>
      </c>
      <c r="G54" s="44">
        <v>7590793.1100000003</v>
      </c>
      <c r="H54" s="45">
        <f t="shared" ref="H54:H75" si="35">(E54+F54)-G54</f>
        <v>87029386.329999998</v>
      </c>
      <c r="I54" s="65">
        <v>5739760730.7700005</v>
      </c>
      <c r="J54" s="47">
        <f t="shared" si="21"/>
        <v>9.1643876594950738E-4</v>
      </c>
      <c r="K54" s="66">
        <v>6578562419.3199997</v>
      </c>
      <c r="L54" s="47">
        <f t="shared" si="27"/>
        <v>1.0201634825861836E-3</v>
      </c>
      <c r="M54" s="47">
        <f t="shared" si="28"/>
        <v>0.14613879008114547</v>
      </c>
      <c r="N54" s="49">
        <f t="shared" si="29"/>
        <v>1.1538680681522865E-3</v>
      </c>
      <c r="O54" s="50">
        <f t="shared" si="30"/>
        <v>1.3229240794981448E-2</v>
      </c>
      <c r="P54" s="67">
        <f t="shared" si="31"/>
        <v>100.00000000486429</v>
      </c>
      <c r="Q54" s="67">
        <f t="shared" si="32"/>
        <v>1.3229240795624957</v>
      </c>
      <c r="R54" s="52">
        <v>100</v>
      </c>
      <c r="S54" s="52">
        <v>100</v>
      </c>
      <c r="T54" s="44">
        <v>27437</v>
      </c>
      <c r="U54" s="68">
        <v>57397607.299999997</v>
      </c>
      <c r="V54" s="68">
        <v>65785624.189999998</v>
      </c>
    </row>
    <row r="55" spans="1:22">
      <c r="A55" s="140">
        <v>48</v>
      </c>
      <c r="B55" s="54" t="s">
        <v>110</v>
      </c>
      <c r="C55" s="54" t="s">
        <v>44</v>
      </c>
      <c r="D55" s="44">
        <v>626435178980.84998</v>
      </c>
      <c r="E55" s="44">
        <v>9516842029.5699997</v>
      </c>
      <c r="F55" s="52">
        <v>0</v>
      </c>
      <c r="G55" s="44">
        <v>733421006.80999994</v>
      </c>
      <c r="H55" s="45">
        <f t="shared" si="35"/>
        <v>8783421022.7600002</v>
      </c>
      <c r="I55" s="65">
        <v>581461612985.53003</v>
      </c>
      <c r="J55" s="47">
        <f t="shared" si="21"/>
        <v>9.2839055153433742E-2</v>
      </c>
      <c r="K55" s="66">
        <v>609136796834.01001</v>
      </c>
      <c r="L55" s="47">
        <f t="shared" si="27"/>
        <v>9.4461232777025159E-2</v>
      </c>
      <c r="M55" s="47">
        <f t="shared" si="28"/>
        <v>4.7595891509296745E-2</v>
      </c>
      <c r="N55" s="49">
        <f t="shared" si="29"/>
        <v>1.2040333314650459E-3</v>
      </c>
      <c r="O55" s="50">
        <f t="shared" si="30"/>
        <v>1.4419455643480829E-2</v>
      </c>
      <c r="P55" s="67">
        <f t="shared" si="31"/>
        <v>100.00000000000163</v>
      </c>
      <c r="Q55" s="67">
        <f t="shared" si="32"/>
        <v>1.4419455643481065</v>
      </c>
      <c r="R55" s="52">
        <v>100</v>
      </c>
      <c r="S55" s="52">
        <v>100</v>
      </c>
      <c r="T55" s="44">
        <v>64572</v>
      </c>
      <c r="U55" s="68">
        <v>5814616129.8599997</v>
      </c>
      <c r="V55" s="68">
        <v>6091367968.3400002</v>
      </c>
    </row>
    <row r="56" spans="1:22">
      <c r="A56" s="140">
        <v>49</v>
      </c>
      <c r="B56" s="43" t="s">
        <v>111</v>
      </c>
      <c r="C56" s="54" t="s">
        <v>112</v>
      </c>
      <c r="D56" s="44">
        <v>3134893479.21</v>
      </c>
      <c r="E56" s="44">
        <v>110680235.18000001</v>
      </c>
      <c r="F56" s="52"/>
      <c r="G56" s="44">
        <v>110680235.23999999</v>
      </c>
      <c r="H56" s="45">
        <f t="shared" si="35"/>
        <v>-5.9999987483024597E-2</v>
      </c>
      <c r="I56" s="65">
        <v>6866405248.5299997</v>
      </c>
      <c r="J56" s="47">
        <f t="shared" si="21"/>
        <v>1.0963244371386684E-3</v>
      </c>
      <c r="K56" s="66">
        <v>7000614546.5799999</v>
      </c>
      <c r="L56" s="47">
        <f t="shared" si="27"/>
        <v>1.0856127617043675E-3</v>
      </c>
      <c r="M56" s="47">
        <f t="shared" si="28"/>
        <v>1.9545787525245835E-2</v>
      </c>
      <c r="N56" s="49">
        <f t="shared" si="29"/>
        <v>1.5810074173283895E-2</v>
      </c>
      <c r="O56" s="50">
        <f t="shared" si="30"/>
        <v>-8.5706743434883591E-12</v>
      </c>
      <c r="P56" s="67">
        <f t="shared" si="31"/>
        <v>99.999999994000532</v>
      </c>
      <c r="Q56" s="67">
        <f t="shared" si="32"/>
        <v>-8.5706743429741633E-10</v>
      </c>
      <c r="R56" s="52">
        <v>100</v>
      </c>
      <c r="S56" s="52">
        <v>100</v>
      </c>
      <c r="T56" s="52">
        <v>1195</v>
      </c>
      <c r="U56" s="68">
        <v>68658366.579999998</v>
      </c>
      <c r="V56" s="68">
        <v>70006145.469999999</v>
      </c>
    </row>
    <row r="57" spans="1:22">
      <c r="A57" s="140">
        <v>50</v>
      </c>
      <c r="B57" s="43" t="s">
        <v>113</v>
      </c>
      <c r="C57" s="43" t="s">
        <v>48</v>
      </c>
      <c r="D57" s="44">
        <v>134677373741.61</v>
      </c>
      <c r="E57" s="44">
        <v>1980549993.8800001</v>
      </c>
      <c r="F57" s="52">
        <v>0</v>
      </c>
      <c r="G57" s="44">
        <v>186723537.58000001</v>
      </c>
      <c r="H57" s="45">
        <f t="shared" si="35"/>
        <v>1793826456.3000002</v>
      </c>
      <c r="I57" s="66">
        <v>122644835945.45</v>
      </c>
      <c r="J57" s="47">
        <f t="shared" si="21"/>
        <v>1.9582084929322438E-2</v>
      </c>
      <c r="K57" s="66">
        <v>135205106665.67999</v>
      </c>
      <c r="L57" s="47">
        <f t="shared" si="27"/>
        <v>2.0966786311005917E-2</v>
      </c>
      <c r="M57" s="47">
        <f t="shared" si="28"/>
        <v>0.1024117373014919</v>
      </c>
      <c r="N57" s="49">
        <f t="shared" si="29"/>
        <v>1.3810390907919553E-3</v>
      </c>
      <c r="O57" s="50">
        <f t="shared" si="30"/>
        <v>1.3267446034679539E-2</v>
      </c>
      <c r="P57" s="67">
        <f t="shared" si="31"/>
        <v>10.013460334755024</v>
      </c>
      <c r="Q57" s="67">
        <f t="shared" si="32"/>
        <v>0.13285304461176639</v>
      </c>
      <c r="R57" s="52">
        <v>10</v>
      </c>
      <c r="S57" s="52">
        <v>10</v>
      </c>
      <c r="T57" s="44">
        <v>12623</v>
      </c>
      <c r="U57" s="68">
        <v>12832039059.280001</v>
      </c>
      <c r="V57" s="68">
        <v>13502336070.219999</v>
      </c>
    </row>
    <row r="58" spans="1:22">
      <c r="A58" s="140">
        <v>51</v>
      </c>
      <c r="B58" s="43" t="s">
        <v>327</v>
      </c>
      <c r="C58" s="43" t="s">
        <v>328</v>
      </c>
      <c r="D58" s="44">
        <v>783261291.77999997</v>
      </c>
      <c r="E58" s="44">
        <v>17162197.73</v>
      </c>
      <c r="F58" s="52">
        <v>0</v>
      </c>
      <c r="G58" s="44">
        <v>14195704.800000001</v>
      </c>
      <c r="H58" s="45">
        <f t="shared" si="35"/>
        <v>2966492.9299999997</v>
      </c>
      <c r="I58" s="65">
        <v>652383499.14999998</v>
      </c>
      <c r="J58" s="47">
        <f t="shared" si="21"/>
        <v>1.0416279648762329E-4</v>
      </c>
      <c r="K58" s="66">
        <v>792758147.48000002</v>
      </c>
      <c r="L58" s="47">
        <f t="shared" si="27"/>
        <v>1.2293611598282361E-4</v>
      </c>
      <c r="M58" s="47">
        <f t="shared" si="28"/>
        <v>0.21517197861824561</v>
      </c>
      <c r="N58" s="49">
        <f t="shared" si="29"/>
        <v>1.7906728357349536E-2</v>
      </c>
      <c r="O58" s="50">
        <f t="shared" si="30"/>
        <v>3.7419898356514077E-3</v>
      </c>
      <c r="P58" s="67">
        <f t="shared" si="31"/>
        <v>1</v>
      </c>
      <c r="Q58" s="67">
        <f t="shared" si="32"/>
        <v>3.7419898356514077E-3</v>
      </c>
      <c r="R58" s="52">
        <v>1</v>
      </c>
      <c r="S58" s="52">
        <v>1</v>
      </c>
      <c r="T58" s="44">
        <v>402</v>
      </c>
      <c r="U58" s="165">
        <v>642151399.98000002</v>
      </c>
      <c r="V58" s="68">
        <v>792758147.48000002</v>
      </c>
    </row>
    <row r="59" spans="1:22" ht="14.1" customHeight="1">
      <c r="A59" s="140">
        <v>52</v>
      </c>
      <c r="B59" s="43" t="s">
        <v>114</v>
      </c>
      <c r="C59" s="43" t="s">
        <v>115</v>
      </c>
      <c r="D59" s="44">
        <v>50653979370</v>
      </c>
      <c r="E59" s="44">
        <v>817778590.38</v>
      </c>
      <c r="F59" s="44">
        <v>-32670967.68</v>
      </c>
      <c r="G59" s="44">
        <v>63807699.479999997</v>
      </c>
      <c r="H59" s="45">
        <f t="shared" si="35"/>
        <v>721299923.22000003</v>
      </c>
      <c r="I59" s="65">
        <v>49021518348</v>
      </c>
      <c r="J59" s="47">
        <f t="shared" si="21"/>
        <v>7.8270196071022358E-3</v>
      </c>
      <c r="K59" s="66">
        <v>49691492601.550003</v>
      </c>
      <c r="L59" s="47">
        <f t="shared" si="27"/>
        <v>7.7058547013897317E-3</v>
      </c>
      <c r="M59" s="47">
        <f t="shared" si="28"/>
        <v>1.3666942112929004E-2</v>
      </c>
      <c r="N59" s="49">
        <f t="shared" si="29"/>
        <v>1.2840769342881376E-3</v>
      </c>
      <c r="O59" s="50">
        <f t="shared" si="30"/>
        <v>1.4515561627494782E-2</v>
      </c>
      <c r="P59" s="67">
        <f t="shared" si="31"/>
        <v>100.00000000311925</v>
      </c>
      <c r="Q59" s="67">
        <f t="shared" si="32"/>
        <v>1.4515561627947557</v>
      </c>
      <c r="R59" s="52">
        <v>100</v>
      </c>
      <c r="S59" s="52">
        <v>100</v>
      </c>
      <c r="T59" s="52">
        <v>7341</v>
      </c>
      <c r="U59" s="68">
        <v>490215183</v>
      </c>
      <c r="V59" s="68">
        <v>496914926</v>
      </c>
    </row>
    <row r="60" spans="1:22">
      <c r="A60" s="140">
        <v>53</v>
      </c>
      <c r="B60" s="43" t="s">
        <v>116</v>
      </c>
      <c r="C60" s="54" t="s">
        <v>117</v>
      </c>
      <c r="D60" s="44">
        <v>295495538.73000002</v>
      </c>
      <c r="E60" s="44">
        <v>7897799.46</v>
      </c>
      <c r="F60" s="52">
        <v>0</v>
      </c>
      <c r="G60" s="44">
        <v>70361.5</v>
      </c>
      <c r="H60" s="45">
        <f t="shared" si="35"/>
        <v>7827437.96</v>
      </c>
      <c r="I60" s="65">
        <v>200644950.75</v>
      </c>
      <c r="J60" s="47">
        <f t="shared" si="21"/>
        <v>3.2035971477623248E-5</v>
      </c>
      <c r="K60" s="66">
        <v>279976278.31</v>
      </c>
      <c r="L60" s="47">
        <f t="shared" si="27"/>
        <v>4.34170198466813E-5</v>
      </c>
      <c r="M60" s="47">
        <f t="shared" si="28"/>
        <v>0.39538162940788585</v>
      </c>
      <c r="N60" s="49">
        <f t="shared" si="29"/>
        <v>2.5131236269271772E-4</v>
      </c>
      <c r="O60" s="50">
        <f t="shared" si="30"/>
        <v>2.7957504140165665E-2</v>
      </c>
      <c r="P60" s="67">
        <f t="shared" si="31"/>
        <v>1.0020472282038178</v>
      </c>
      <c r="Q60" s="67">
        <f t="shared" si="32"/>
        <v>2.8014739531149763E-2</v>
      </c>
      <c r="R60" s="52">
        <v>1.01</v>
      </c>
      <c r="S60" s="52">
        <v>1.01</v>
      </c>
      <c r="T60" s="52">
        <v>151</v>
      </c>
      <c r="U60" s="68">
        <v>198814274</v>
      </c>
      <c r="V60" s="68">
        <v>279404274</v>
      </c>
    </row>
    <row r="61" spans="1:22" ht="15" customHeight="1">
      <c r="A61" s="140">
        <v>54</v>
      </c>
      <c r="B61" s="54" t="s">
        <v>118</v>
      </c>
      <c r="C61" s="54" t="s">
        <v>50</v>
      </c>
      <c r="D61" s="44">
        <v>3139632600.48</v>
      </c>
      <c r="E61" s="44">
        <v>83896730.510000005</v>
      </c>
      <c r="F61" s="52">
        <v>0</v>
      </c>
      <c r="G61" s="44">
        <v>4178410.19</v>
      </c>
      <c r="H61" s="45">
        <f t="shared" si="35"/>
        <v>79718320.320000008</v>
      </c>
      <c r="I61" s="65">
        <v>3083979105.71</v>
      </c>
      <c r="J61" s="47">
        <f t="shared" si="21"/>
        <v>4.9240345345750796E-4</v>
      </c>
      <c r="K61" s="66">
        <v>3190482877.8400002</v>
      </c>
      <c r="L61" s="47">
        <f t="shared" si="27"/>
        <v>4.947606963840713E-4</v>
      </c>
      <c r="M61" s="47">
        <f t="shared" si="28"/>
        <v>3.453453103258966E-2</v>
      </c>
      <c r="N61" s="49">
        <f t="shared" si="29"/>
        <v>1.3096482100003746E-3</v>
      </c>
      <c r="O61" s="50">
        <f t="shared" si="30"/>
        <v>2.4986286832534385E-2</v>
      </c>
      <c r="P61" s="67">
        <f t="shared" si="31"/>
        <v>10.598925509787611</v>
      </c>
      <c r="Q61" s="67">
        <f t="shared" si="32"/>
        <v>0.26482779290421898</v>
      </c>
      <c r="R61" s="52">
        <v>10</v>
      </c>
      <c r="S61" s="52">
        <v>10</v>
      </c>
      <c r="T61" s="44">
        <v>1082</v>
      </c>
      <c r="U61" s="68">
        <v>298337166.5</v>
      </c>
      <c r="V61" s="68">
        <v>301019464.18000001</v>
      </c>
    </row>
    <row r="62" spans="1:22" ht="15" customHeight="1">
      <c r="A62" s="140">
        <v>55</v>
      </c>
      <c r="B62" s="52" t="s">
        <v>119</v>
      </c>
      <c r="C62" s="52" t="s">
        <v>120</v>
      </c>
      <c r="D62" s="44">
        <v>1089329450.5999999</v>
      </c>
      <c r="E62" s="44">
        <v>39249822.469999999</v>
      </c>
      <c r="F62" s="52">
        <v>0</v>
      </c>
      <c r="G62" s="44">
        <v>3868315.79</v>
      </c>
      <c r="H62" s="45">
        <f t="shared" si="35"/>
        <v>35381506.68</v>
      </c>
      <c r="I62" s="65">
        <v>1700540419</v>
      </c>
      <c r="J62" s="47">
        <f t="shared" si="21"/>
        <v>2.7151674714958896E-4</v>
      </c>
      <c r="K62" s="66">
        <v>2345563627</v>
      </c>
      <c r="L62" s="47">
        <f t="shared" si="27"/>
        <v>3.6373575347106621E-4</v>
      </c>
      <c r="M62" s="47">
        <f t="shared" si="28"/>
        <v>0.37930483791693986</v>
      </c>
      <c r="N62" s="49">
        <f t="shared" si="29"/>
        <v>1.6492052253332457E-3</v>
      </c>
      <c r="O62" s="50">
        <f t="shared" si="30"/>
        <v>1.5084436965478233E-2</v>
      </c>
      <c r="P62" s="67">
        <f t="shared" si="31"/>
        <v>1</v>
      </c>
      <c r="Q62" s="67">
        <f t="shared" si="32"/>
        <v>1.5084436965478233E-2</v>
      </c>
      <c r="R62" s="52">
        <v>1</v>
      </c>
      <c r="S62" s="52">
        <v>1</v>
      </c>
      <c r="T62" s="52">
        <v>331</v>
      </c>
      <c r="U62" s="68">
        <v>2426699625</v>
      </c>
      <c r="V62" s="68">
        <v>2345563627</v>
      </c>
    </row>
    <row r="63" spans="1:22" ht="15" customHeight="1">
      <c r="A63" s="140">
        <v>56</v>
      </c>
      <c r="B63" s="52" t="s">
        <v>121</v>
      </c>
      <c r="C63" s="52" t="s">
        <v>122</v>
      </c>
      <c r="D63" s="44">
        <v>2067760382.6099999</v>
      </c>
      <c r="E63" s="44">
        <v>36857302.270000003</v>
      </c>
      <c r="F63" s="52">
        <v>0</v>
      </c>
      <c r="G63" s="44">
        <v>3550595.1</v>
      </c>
      <c r="H63" s="45">
        <f t="shared" si="35"/>
        <v>33306707.170000002</v>
      </c>
      <c r="I63" s="65">
        <v>2367103578.4400001</v>
      </c>
      <c r="J63" s="47">
        <f t="shared" si="21"/>
        <v>3.7794353877347077E-4</v>
      </c>
      <c r="K63" s="66">
        <v>2846545287.3699999</v>
      </c>
      <c r="L63" s="47">
        <f t="shared" si="27"/>
        <v>4.4142494493543729E-4</v>
      </c>
      <c r="M63" s="47">
        <f t="shared" si="28"/>
        <v>0.20254361207377661</v>
      </c>
      <c r="N63" s="49">
        <f t="shared" si="29"/>
        <v>1.2473348362851766E-3</v>
      </c>
      <c r="O63" s="50">
        <f t="shared" si="30"/>
        <v>1.170074732967729E-2</v>
      </c>
      <c r="P63" s="67">
        <f t="shared" si="31"/>
        <v>1</v>
      </c>
      <c r="Q63" s="67">
        <f t="shared" si="32"/>
        <v>1.170074732967729E-2</v>
      </c>
      <c r="R63" s="52">
        <v>1</v>
      </c>
      <c r="S63" s="52">
        <v>1</v>
      </c>
      <c r="T63" s="44">
        <v>3992</v>
      </c>
      <c r="U63" s="68">
        <v>2367103578.4200001</v>
      </c>
      <c r="V63" s="68">
        <v>2846545287.3699999</v>
      </c>
    </row>
    <row r="64" spans="1:22" ht="15" customHeight="1">
      <c r="A64" s="140">
        <v>57</v>
      </c>
      <c r="B64" s="166" t="s">
        <v>332</v>
      </c>
      <c r="C64" s="167" t="s">
        <v>170</v>
      </c>
      <c r="D64" s="44">
        <f>180838809.93+229402587.97</f>
        <v>410241397.89999998</v>
      </c>
      <c r="E64" s="44">
        <v>5379833.9800000004</v>
      </c>
      <c r="F64" s="52">
        <v>0</v>
      </c>
      <c r="G64" s="44">
        <v>548111.87</v>
      </c>
      <c r="H64" s="45">
        <f t="shared" si="35"/>
        <v>4831722.1100000003</v>
      </c>
      <c r="I64" s="65">
        <v>371782905.52999997</v>
      </c>
      <c r="J64" s="47">
        <f t="shared" si="21"/>
        <v>5.9360709117804584E-5</v>
      </c>
      <c r="K64" s="66">
        <v>406489241.72000003</v>
      </c>
      <c r="L64" s="47">
        <f t="shared" si="27"/>
        <v>6.3035881403061413E-5</v>
      </c>
      <c r="M64" s="47">
        <f t="shared" si="28"/>
        <v>9.335108116529453E-2</v>
      </c>
      <c r="N64" s="49">
        <f t="shared" si="29"/>
        <v>1.3484043702626531E-3</v>
      </c>
      <c r="O64" s="50">
        <f t="shared" si="30"/>
        <v>1.1886469835106267E-2</v>
      </c>
      <c r="P64" s="67">
        <f t="shared" si="31"/>
        <v>1.0005963793978323</v>
      </c>
      <c r="Q64" s="67">
        <f t="shared" si="32"/>
        <v>1.189355868082888E-2</v>
      </c>
      <c r="R64" s="52">
        <v>1</v>
      </c>
      <c r="S64" s="52">
        <v>1</v>
      </c>
      <c r="T64" s="44">
        <f>47+6+53</f>
        <v>106</v>
      </c>
      <c r="U64" s="68">
        <v>371565284.79000002</v>
      </c>
      <c r="V64" s="68">
        <v>406246964.39999998</v>
      </c>
    </row>
    <row r="65" spans="1:23" ht="15" customHeight="1">
      <c r="A65" s="140">
        <v>58</v>
      </c>
      <c r="B65" s="56" t="s">
        <v>123</v>
      </c>
      <c r="C65" s="57" t="s">
        <v>124</v>
      </c>
      <c r="D65" s="52">
        <v>33492513765.4706</v>
      </c>
      <c r="E65" s="52">
        <v>445706570</v>
      </c>
      <c r="F65" s="52">
        <v>0</v>
      </c>
      <c r="G65" s="52">
        <v>35345983.797600001</v>
      </c>
      <c r="H65" s="45">
        <f t="shared" si="35"/>
        <v>410360586.20239997</v>
      </c>
      <c r="I65" s="65">
        <v>25590361159.630001</v>
      </c>
      <c r="J65" s="47">
        <f t="shared" si="21"/>
        <v>4.0858844299224628E-3</v>
      </c>
      <c r="K65" s="65">
        <v>34585192796.502502</v>
      </c>
      <c r="L65" s="47">
        <f t="shared" si="27"/>
        <v>5.3632615274085372E-3</v>
      </c>
      <c r="M65" s="47">
        <f t="shared" si="28"/>
        <v>0.35149295395886287</v>
      </c>
      <c r="N65" s="49">
        <f t="shared" si="29"/>
        <v>1.0219975931773449E-3</v>
      </c>
      <c r="O65" s="50">
        <f t="shared" si="30"/>
        <v>1.1865210311734868E-2</v>
      </c>
      <c r="P65" s="67">
        <f t="shared" si="31"/>
        <v>99.997680355148091</v>
      </c>
      <c r="Q65" s="67">
        <f t="shared" si="32"/>
        <v>1.1864935080994703</v>
      </c>
      <c r="R65" s="52">
        <v>100</v>
      </c>
      <c r="S65" s="52">
        <v>100</v>
      </c>
      <c r="T65" s="52">
        <v>211</v>
      </c>
      <c r="U65" s="69">
        <v>342487003.60316598</v>
      </c>
      <c r="V65" s="69">
        <v>345859950.68756598</v>
      </c>
    </row>
    <row r="66" spans="1:23" ht="15" customHeight="1">
      <c r="A66" s="140">
        <v>59</v>
      </c>
      <c r="B66" s="56" t="s">
        <v>125</v>
      </c>
      <c r="C66" s="57" t="s">
        <v>88</v>
      </c>
      <c r="D66" s="44">
        <v>546376341.10000002</v>
      </c>
      <c r="E66" s="44">
        <v>9243275.3200000003</v>
      </c>
      <c r="F66" s="52">
        <v>0</v>
      </c>
      <c r="G66" s="44">
        <v>577823.74</v>
      </c>
      <c r="H66" s="45">
        <f t="shared" si="35"/>
        <v>8665451.5800000001</v>
      </c>
      <c r="I66" s="65">
        <v>498378500</v>
      </c>
      <c r="J66" s="47">
        <f t="shared" si="21"/>
        <v>7.9573591816691429E-5</v>
      </c>
      <c r="K66" s="66">
        <v>514493500</v>
      </c>
      <c r="L66" s="47">
        <f t="shared" si="27"/>
        <v>7.9784525443813941E-5</v>
      </c>
      <c r="M66" s="47">
        <f t="shared" si="28"/>
        <v>3.2334861957327612E-2</v>
      </c>
      <c r="N66" s="49">
        <f t="shared" si="29"/>
        <v>1.1230924005842639E-3</v>
      </c>
      <c r="O66" s="50">
        <f t="shared" si="30"/>
        <v>1.6842684271035493E-2</v>
      </c>
      <c r="P66" s="67">
        <f t="shared" si="31"/>
        <v>1000</v>
      </c>
      <c r="Q66" s="67">
        <f t="shared" si="32"/>
        <v>16.842684271035495</v>
      </c>
      <c r="R66" s="52">
        <v>1000</v>
      </c>
      <c r="S66" s="52">
        <v>1000</v>
      </c>
      <c r="T66" s="52">
        <v>72</v>
      </c>
      <c r="U66" s="68">
        <v>498378.5</v>
      </c>
      <c r="V66" s="68">
        <v>514493.5</v>
      </c>
    </row>
    <row r="67" spans="1:23" ht="15" customHeight="1">
      <c r="A67" s="140">
        <v>60</v>
      </c>
      <c r="B67" s="56" t="s">
        <v>126</v>
      </c>
      <c r="C67" s="56" t="s">
        <v>40</v>
      </c>
      <c r="D67" s="44">
        <v>3688669515.4200001</v>
      </c>
      <c r="E67" s="44">
        <v>40146365.82</v>
      </c>
      <c r="F67" s="52">
        <v>0</v>
      </c>
      <c r="G67" s="44">
        <v>50109054.630000003</v>
      </c>
      <c r="H67" s="45">
        <f t="shared" si="35"/>
        <v>-9962688.8100000024</v>
      </c>
      <c r="I67" s="65">
        <v>3003591870.25</v>
      </c>
      <c r="J67" s="47">
        <f t="shared" si="21"/>
        <v>4.795684273442902E-4</v>
      </c>
      <c r="K67" s="66">
        <v>3260653828.8099999</v>
      </c>
      <c r="L67" s="47">
        <f t="shared" si="27"/>
        <v>5.0564238103719631E-4</v>
      </c>
      <c r="M67" s="47">
        <f t="shared" si="28"/>
        <v>8.5584849628256493E-2</v>
      </c>
      <c r="N67" s="49">
        <f t="shared" si="29"/>
        <v>1.5367793473583082E-2</v>
      </c>
      <c r="O67" s="50">
        <f t="shared" si="30"/>
        <v>-3.0554267128798398E-3</v>
      </c>
      <c r="P67" s="67">
        <f t="shared" si="31"/>
        <v>1.0839951027255776</v>
      </c>
      <c r="Q67" s="67">
        <f t="shared" si="32"/>
        <v>-3.3120675934986562E-3</v>
      </c>
      <c r="R67" s="52">
        <v>1</v>
      </c>
      <c r="S67" s="52">
        <v>1</v>
      </c>
      <c r="T67" s="52">
        <v>3112</v>
      </c>
      <c r="U67" s="68">
        <v>3204269000</v>
      </c>
      <c r="V67" s="68">
        <v>3007996826.3800001</v>
      </c>
    </row>
    <row r="68" spans="1:23">
      <c r="A68" s="140">
        <v>61</v>
      </c>
      <c r="B68" s="43" t="s">
        <v>127</v>
      </c>
      <c r="C68" s="43" t="s">
        <v>54</v>
      </c>
      <c r="D68" s="44">
        <v>3065159617289.8799</v>
      </c>
      <c r="E68" s="44">
        <v>44515647739.620003</v>
      </c>
      <c r="F68" s="52">
        <v>0</v>
      </c>
      <c r="G68" s="44">
        <v>4937087277.6899996</v>
      </c>
      <c r="H68" s="45">
        <f t="shared" si="35"/>
        <v>39578560461.93</v>
      </c>
      <c r="I68" s="65">
        <v>2970412364614.0801</v>
      </c>
      <c r="J68" s="47">
        <f t="shared" si="21"/>
        <v>0.47427082233494028</v>
      </c>
      <c r="K68" s="66">
        <v>3057728225227.3901</v>
      </c>
      <c r="L68" s="47">
        <f t="shared" si="27"/>
        <v>0.4741739115964006</v>
      </c>
      <c r="M68" s="47">
        <f t="shared" si="28"/>
        <v>2.9395198341309846E-2</v>
      </c>
      <c r="N68" s="49">
        <f t="shared" si="29"/>
        <v>1.6146259294587404E-3</v>
      </c>
      <c r="O68" s="50">
        <f t="shared" si="30"/>
        <v>1.2943779677798773E-2</v>
      </c>
      <c r="P68" s="67">
        <f t="shared" si="31"/>
        <v>1.0000000000000064</v>
      </c>
      <c r="Q68" s="67">
        <f t="shared" si="32"/>
        <v>1.2943779677798858E-2</v>
      </c>
      <c r="R68" s="52">
        <v>100</v>
      </c>
      <c r="S68" s="52">
        <v>100</v>
      </c>
      <c r="T68" s="44">
        <v>372941</v>
      </c>
      <c r="U68" s="68">
        <v>2970412364626.8901</v>
      </c>
      <c r="V68" s="68">
        <v>3057728225227.3701</v>
      </c>
    </row>
    <row r="69" spans="1:23">
      <c r="A69" s="140">
        <v>62</v>
      </c>
      <c r="B69" s="43" t="s">
        <v>128</v>
      </c>
      <c r="C69" s="43" t="s">
        <v>129</v>
      </c>
      <c r="D69" s="52">
        <v>8217544687.8100004</v>
      </c>
      <c r="E69" s="52">
        <v>1051469987.51</v>
      </c>
      <c r="F69" s="52">
        <v>0</v>
      </c>
      <c r="G69" s="52">
        <v>92437157.780000001</v>
      </c>
      <c r="H69" s="45">
        <f t="shared" si="35"/>
        <v>959032829.73000002</v>
      </c>
      <c r="I69" s="65">
        <v>16387797180.610001</v>
      </c>
      <c r="J69" s="47">
        <f t="shared" si="21"/>
        <v>2.6165572624513036E-3</v>
      </c>
      <c r="K69" s="65">
        <v>19328113446.419998</v>
      </c>
      <c r="L69" s="47">
        <f t="shared" si="27"/>
        <v>2.9972863778586485E-3</v>
      </c>
      <c r="M69" s="47">
        <f t="shared" si="28"/>
        <v>0.17942107980741745</v>
      </c>
      <c r="N69" s="49">
        <f t="shared" si="29"/>
        <v>4.7825235523501876E-3</v>
      </c>
      <c r="O69" s="50">
        <f t="shared" si="30"/>
        <v>4.9618543081742648E-2</v>
      </c>
      <c r="P69" s="67">
        <f t="shared" si="31"/>
        <v>100.00000000217298</v>
      </c>
      <c r="Q69" s="67">
        <f t="shared" si="32"/>
        <v>4.961854308282085</v>
      </c>
      <c r="R69" s="52">
        <v>100</v>
      </c>
      <c r="S69" s="52">
        <v>100</v>
      </c>
      <c r="T69" s="52">
        <v>1875</v>
      </c>
      <c r="U69" s="69">
        <v>187682482.66</v>
      </c>
      <c r="V69" s="69">
        <v>193281134.46000001</v>
      </c>
    </row>
    <row r="70" spans="1:23">
      <c r="A70" s="140">
        <v>63</v>
      </c>
      <c r="B70" s="43" t="s">
        <v>130</v>
      </c>
      <c r="C70" s="43" t="s">
        <v>131</v>
      </c>
      <c r="D70" s="44">
        <v>20576248335.27</v>
      </c>
      <c r="E70" s="44">
        <v>339687197.49000001</v>
      </c>
      <c r="F70" s="52">
        <v>0</v>
      </c>
      <c r="G70" s="44">
        <v>30422552.920000002</v>
      </c>
      <c r="H70" s="45">
        <f t="shared" si="35"/>
        <v>309264644.56999999</v>
      </c>
      <c r="I70" s="65">
        <v>18131419932.439999</v>
      </c>
      <c r="J70" s="47">
        <f t="shared" si="21"/>
        <v>2.8949527492879478E-3</v>
      </c>
      <c r="K70" s="66">
        <v>20673161626.959999</v>
      </c>
      <c r="L70" s="47">
        <f t="shared" si="27"/>
        <v>3.2058682759456979E-3</v>
      </c>
      <c r="M70" s="47">
        <f t="shared" si="28"/>
        <v>0.14018437077685347</v>
      </c>
      <c r="N70" s="49">
        <f t="shared" si="29"/>
        <v>1.4715965302726489E-3</v>
      </c>
      <c r="O70" s="50">
        <f t="shared" si="30"/>
        <v>1.4959716861434781E-2</v>
      </c>
      <c r="P70" s="67">
        <f t="shared" si="31"/>
        <v>1.0284279147492859</v>
      </c>
      <c r="Q70" s="67">
        <f t="shared" si="32"/>
        <v>1.5384990417045103E-2</v>
      </c>
      <c r="R70" s="52">
        <v>1</v>
      </c>
      <c r="S70" s="52">
        <v>1</v>
      </c>
      <c r="T70" s="52">
        <v>1103</v>
      </c>
      <c r="U70" s="68">
        <v>17855159126.220001</v>
      </c>
      <c r="V70" s="68">
        <v>20101711875.450001</v>
      </c>
    </row>
    <row r="71" spans="1:23">
      <c r="A71" s="140">
        <v>64</v>
      </c>
      <c r="B71" s="43" t="s">
        <v>132</v>
      </c>
      <c r="C71" s="43" t="s">
        <v>57</v>
      </c>
      <c r="D71" s="52">
        <v>74611622560.710007</v>
      </c>
      <c r="E71" s="52">
        <v>3954508700.79</v>
      </c>
      <c r="F71" s="52">
        <v>0</v>
      </c>
      <c r="G71" s="52">
        <v>-309748118.56999999</v>
      </c>
      <c r="H71" s="45">
        <f t="shared" si="35"/>
        <v>4264256819.3600001</v>
      </c>
      <c r="I71" s="65">
        <v>261543688058.92001</v>
      </c>
      <c r="J71" s="47">
        <f t="shared" si="21"/>
        <v>4.1759366978777322E-2</v>
      </c>
      <c r="K71" s="65">
        <v>275075957097.53003</v>
      </c>
      <c r="L71" s="47">
        <f t="shared" si="27"/>
        <v>4.2657107811914736E-2</v>
      </c>
      <c r="M71" s="47">
        <f t="shared" si="28"/>
        <v>5.1739994717675979E-2</v>
      </c>
      <c r="N71" s="49">
        <f t="shared" si="29"/>
        <v>-1.1260457723688904E-3</v>
      </c>
      <c r="O71" s="50">
        <f t="shared" si="30"/>
        <v>1.5502106633943582E-2</v>
      </c>
      <c r="P71" s="67">
        <f t="shared" si="31"/>
        <v>1.0198023593766694</v>
      </c>
      <c r="Q71" s="67">
        <f t="shared" si="32"/>
        <v>1.5809084920604382E-2</v>
      </c>
      <c r="R71" s="52">
        <v>1</v>
      </c>
      <c r="S71" s="52">
        <v>1</v>
      </c>
      <c r="T71" s="52">
        <v>21539</v>
      </c>
      <c r="U71" s="69">
        <v>259456250129.23999</v>
      </c>
      <c r="V71" s="69">
        <v>269734576085.57001</v>
      </c>
    </row>
    <row r="72" spans="1:23">
      <c r="A72" s="140">
        <v>65</v>
      </c>
      <c r="B72" s="72" t="s">
        <v>133</v>
      </c>
      <c r="C72" s="43" t="s">
        <v>134</v>
      </c>
      <c r="D72" s="44">
        <v>1701897586.55</v>
      </c>
      <c r="E72" s="44">
        <v>55803219.380000003</v>
      </c>
      <c r="F72" s="52">
        <v>0</v>
      </c>
      <c r="G72" s="44">
        <v>7701183.6799999997</v>
      </c>
      <c r="H72" s="45">
        <f t="shared" si="35"/>
        <v>48102035.700000003</v>
      </c>
      <c r="I72" s="65">
        <v>3742856604.6300001</v>
      </c>
      <c r="J72" s="47">
        <f t="shared" si="21"/>
        <v>5.9760311427004833E-4</v>
      </c>
      <c r="K72" s="66">
        <v>3613755079.1999998</v>
      </c>
      <c r="L72" s="47">
        <f t="shared" si="27"/>
        <v>5.6039917717938949E-4</v>
      </c>
      <c r="M72" s="47">
        <f t="shared" si="28"/>
        <v>-3.4492778929948516E-2</v>
      </c>
      <c r="N72" s="49">
        <f t="shared" si="29"/>
        <v>2.1310751590018825E-3</v>
      </c>
      <c r="O72" s="50">
        <f t="shared" si="30"/>
        <v>1.3310817873868935E-2</v>
      </c>
      <c r="P72" s="67">
        <f t="shared" si="31"/>
        <v>1.0248533963928401</v>
      </c>
      <c r="Q72" s="67">
        <f t="shared" si="32"/>
        <v>1.36416369068011E-2</v>
      </c>
      <c r="R72" s="52">
        <v>1</v>
      </c>
      <c r="S72" s="52">
        <v>1</v>
      </c>
      <c r="T72" s="52">
        <v>175</v>
      </c>
      <c r="U72" s="68">
        <v>3703260607.8099999</v>
      </c>
      <c r="V72" s="68">
        <v>3526119044.8499999</v>
      </c>
    </row>
    <row r="73" spans="1:23">
      <c r="A73" s="140">
        <v>66</v>
      </c>
      <c r="B73" s="43" t="s">
        <v>135</v>
      </c>
      <c r="C73" s="43" t="s">
        <v>136</v>
      </c>
      <c r="D73" s="44">
        <v>13286733336.91</v>
      </c>
      <c r="E73" s="44">
        <v>182418886.41</v>
      </c>
      <c r="F73" s="52">
        <v>0</v>
      </c>
      <c r="G73" s="44">
        <v>18633437.91</v>
      </c>
      <c r="H73" s="45">
        <f t="shared" si="35"/>
        <v>163785448.5</v>
      </c>
      <c r="I73" s="65">
        <v>12401161298.17</v>
      </c>
      <c r="J73" s="47">
        <f t="shared" si="21"/>
        <v>1.980031135359031E-3</v>
      </c>
      <c r="K73" s="66">
        <v>13393745049.98</v>
      </c>
      <c r="L73" s="47">
        <f t="shared" si="27"/>
        <v>2.0770205896247207E-3</v>
      </c>
      <c r="M73" s="47">
        <f t="shared" si="28"/>
        <v>8.0039580805748564E-2</v>
      </c>
      <c r="N73" s="49">
        <f t="shared" si="29"/>
        <v>1.3912044645069473E-3</v>
      </c>
      <c r="O73" s="50">
        <f t="shared" si="30"/>
        <v>1.2228502774154611E-2</v>
      </c>
      <c r="P73" s="67">
        <f t="shared" si="31"/>
        <v>1.0239697029735673</v>
      </c>
      <c r="Q73" s="67">
        <f t="shared" si="32"/>
        <v>1.252161635346254E-2</v>
      </c>
      <c r="R73" s="52">
        <v>1</v>
      </c>
      <c r="S73" s="52">
        <v>1</v>
      </c>
      <c r="T73" s="52">
        <v>786</v>
      </c>
      <c r="U73" s="68">
        <v>12250429735.780001</v>
      </c>
      <c r="V73" s="68">
        <v>13080216153.940001</v>
      </c>
    </row>
    <row r="74" spans="1:23">
      <c r="A74" s="140">
        <v>67</v>
      </c>
      <c r="B74" s="56" t="s">
        <v>137</v>
      </c>
      <c r="C74" s="56" t="s">
        <v>59</v>
      </c>
      <c r="D74" s="52">
        <v>8063367611.1400003</v>
      </c>
      <c r="E74" s="44">
        <v>423238554.63</v>
      </c>
      <c r="F74" s="52"/>
      <c r="G74" s="44">
        <v>58081654.979999997</v>
      </c>
      <c r="H74" s="45">
        <f t="shared" si="35"/>
        <v>365156899.64999998</v>
      </c>
      <c r="I74" s="65">
        <v>22567077657.310001</v>
      </c>
      <c r="J74" s="47">
        <f t="shared" si="21"/>
        <v>3.6031719385935857E-3</v>
      </c>
      <c r="K74" s="65">
        <v>21439088490.02</v>
      </c>
      <c r="L74" s="47">
        <f t="shared" si="27"/>
        <v>3.3246435593922551E-3</v>
      </c>
      <c r="M74" s="47">
        <f t="shared" si="28"/>
        <v>-4.9983838599705399E-2</v>
      </c>
      <c r="N74" s="49">
        <f t="shared" si="29"/>
        <v>2.7091475930535614E-3</v>
      </c>
      <c r="O74" s="50">
        <f t="shared" si="30"/>
        <v>1.7032295930863958E-2</v>
      </c>
      <c r="P74" s="67">
        <f t="shared" si="31"/>
        <v>0.99716637925828422</v>
      </c>
      <c r="Q74" s="67">
        <f t="shared" si="32"/>
        <v>1.6984032863835222E-2</v>
      </c>
      <c r="R74" s="52">
        <v>1</v>
      </c>
      <c r="S74" s="52">
        <v>1</v>
      </c>
      <c r="T74" s="52">
        <v>4988</v>
      </c>
      <c r="U74" s="68">
        <v>22615098538.650002</v>
      </c>
      <c r="V74" s="68">
        <v>21500011368.18</v>
      </c>
    </row>
    <row r="75" spans="1:23">
      <c r="A75" s="140">
        <v>68</v>
      </c>
      <c r="B75" s="43" t="s">
        <v>138</v>
      </c>
      <c r="C75" s="43" t="s">
        <v>139</v>
      </c>
      <c r="D75" s="44">
        <v>167400024792.20999</v>
      </c>
      <c r="E75" s="44">
        <v>2450331279.5100002</v>
      </c>
      <c r="F75" s="52">
        <v>0</v>
      </c>
      <c r="G75" s="44">
        <v>200350084.16999999</v>
      </c>
      <c r="H75" s="45">
        <f t="shared" si="35"/>
        <v>2249981195.3400002</v>
      </c>
      <c r="I75" s="65">
        <v>164075575568.45999</v>
      </c>
      <c r="J75" s="47">
        <f t="shared" si="21"/>
        <v>2.6197123024715843E-2</v>
      </c>
      <c r="K75" s="66">
        <v>168657231218.70999</v>
      </c>
      <c r="L75" s="47">
        <f t="shared" si="27"/>
        <v>2.6154338500782571E-2</v>
      </c>
      <c r="M75" s="47">
        <f t="shared" si="28"/>
        <v>2.7924056547577486E-2</v>
      </c>
      <c r="N75" s="49">
        <f t="shared" si="29"/>
        <v>1.1879128023285974E-3</v>
      </c>
      <c r="O75" s="50">
        <f t="shared" si="30"/>
        <v>1.3340555747783428E-2</v>
      </c>
      <c r="P75" s="67">
        <f t="shared" si="31"/>
        <v>1.0261560394231262</v>
      </c>
      <c r="Q75" s="67">
        <f t="shared" si="32"/>
        <v>1.3689491849848863E-2</v>
      </c>
      <c r="R75" s="52">
        <v>1</v>
      </c>
      <c r="S75" s="52">
        <v>1</v>
      </c>
      <c r="T75" s="52">
        <v>9429</v>
      </c>
      <c r="U75" s="68">
        <v>161964191609.88</v>
      </c>
      <c r="V75" s="68">
        <v>164358269833.42999</v>
      </c>
    </row>
    <row r="76" spans="1:23" ht="15" customHeight="1">
      <c r="A76" s="144" t="s">
        <v>62</v>
      </c>
      <c r="B76" s="144"/>
      <c r="C76" s="144"/>
      <c r="D76" s="144"/>
      <c r="E76" s="144"/>
      <c r="F76" s="144"/>
      <c r="G76" s="144"/>
      <c r="H76" s="144"/>
      <c r="I76" s="73">
        <f>SUM(I28:I75)</f>
        <v>6263114289827.2393</v>
      </c>
      <c r="J76" s="62">
        <f>(I76/$I$249)</f>
        <v>0.66280573178586455</v>
      </c>
      <c r="K76" s="64">
        <f>SUM(K28:K75)</f>
        <v>6448537446804.9941</v>
      </c>
      <c r="L76" s="62">
        <f>(K76/$K$249)</f>
        <v>0.67371368751939475</v>
      </c>
      <c r="M76" s="62">
        <f t="shared" si="16"/>
        <v>2.9605584122730351E-2</v>
      </c>
      <c r="N76" s="49"/>
      <c r="O76" s="49"/>
      <c r="P76" s="74"/>
      <c r="Q76" s="74"/>
      <c r="R76" s="64"/>
      <c r="S76" s="64"/>
      <c r="T76" s="64">
        <f>SUM(T28:T75)</f>
        <v>821628</v>
      </c>
      <c r="U76" s="64"/>
      <c r="V76" s="64"/>
    </row>
    <row r="77" spans="1:23" ht="6" customHeight="1">
      <c r="A77" s="146"/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37"/>
    </row>
    <row r="78" spans="1:23" ht="12.75" customHeight="1">
      <c r="A78" s="147" t="s">
        <v>140</v>
      </c>
      <c r="B78" s="148"/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9"/>
    </row>
    <row r="79" spans="1:23">
      <c r="A79" s="42">
        <v>69</v>
      </c>
      <c r="B79" s="43" t="s">
        <v>141</v>
      </c>
      <c r="C79" s="43" t="s">
        <v>26</v>
      </c>
      <c r="D79" s="44">
        <v>1297219942.8099999</v>
      </c>
      <c r="E79" s="44">
        <v>17290630.559999999</v>
      </c>
      <c r="F79" s="52">
        <v>0</v>
      </c>
      <c r="G79" s="44">
        <v>1623911.84</v>
      </c>
      <c r="H79" s="45">
        <f t="shared" ref="H79:H116" si="36">(E79+F79)-G79</f>
        <v>15666718.719999999</v>
      </c>
      <c r="I79" s="52">
        <v>1117378298.3699999</v>
      </c>
      <c r="J79" s="47">
        <f>(I79/$I$117)</f>
        <v>4.800769932756078E-3</v>
      </c>
      <c r="K79" s="44">
        <v>1320054235.6600001</v>
      </c>
      <c r="L79" s="47">
        <f>(K79/$K$117)</f>
        <v>5.6147224417168497E-3</v>
      </c>
      <c r="M79" s="47">
        <f t="shared" ref="M79:M117" si="37">((K79-I79)/I79)</f>
        <v>0.18138524578977253</v>
      </c>
      <c r="N79" s="49">
        <f t="shared" ref="N79" si="38">(G79/K79)</f>
        <v>1.2301856970203028E-3</v>
      </c>
      <c r="O79" s="50">
        <f t="shared" ref="O79" si="39">H79/K79</f>
        <v>1.1868238665335566E-2</v>
      </c>
      <c r="P79" s="67">
        <f t="shared" ref="P79" si="40">K79/V79</f>
        <v>1.8434134477850503</v>
      </c>
      <c r="Q79" s="67">
        <f t="shared" ref="Q79" si="41">H79/V79</f>
        <v>2.1878070757202078E-2</v>
      </c>
      <c r="R79" s="52">
        <v>1.84</v>
      </c>
      <c r="S79" s="52">
        <v>1.84</v>
      </c>
      <c r="T79" s="58">
        <v>456</v>
      </c>
      <c r="U79" s="44">
        <v>623801408.33000004</v>
      </c>
      <c r="V79" s="44">
        <v>716092332.53999996</v>
      </c>
    </row>
    <row r="80" spans="1:23" ht="13.05" customHeight="1">
      <c r="A80" s="42">
        <v>70</v>
      </c>
      <c r="B80" s="43" t="s">
        <v>142</v>
      </c>
      <c r="C80" s="54" t="s">
        <v>28</v>
      </c>
      <c r="D80" s="44">
        <v>1035691291</v>
      </c>
      <c r="E80" s="44">
        <v>16441372</v>
      </c>
      <c r="F80" s="44">
        <v>11536750</v>
      </c>
      <c r="G80" s="44">
        <v>2589210</v>
      </c>
      <c r="H80" s="45">
        <f t="shared" si="36"/>
        <v>25388912</v>
      </c>
      <c r="I80" s="52">
        <v>1253967355</v>
      </c>
      <c r="J80" s="47">
        <f t="shared" ref="J80:J116" si="42">(I80/$I$117)</f>
        <v>5.3876192005191852E-3</v>
      </c>
      <c r="K80" s="44">
        <v>1316035038</v>
      </c>
      <c r="L80" s="47">
        <f t="shared" ref="L80:L116" si="43">(K80/$K$117)</f>
        <v>5.5976271749545595E-3</v>
      </c>
      <c r="M80" s="47">
        <f t="shared" ref="M80:M116" si="44">((K80-I80)/I80)</f>
        <v>4.9497048509687877E-2</v>
      </c>
      <c r="N80" s="49">
        <f t="shared" ref="N80:N116" si="45">(G80/K80)</f>
        <v>1.9674324202909256E-3</v>
      </c>
      <c r="O80" s="50">
        <f t="shared" ref="O80:O116" si="46">H80/K80</f>
        <v>1.9291972680745603E-2</v>
      </c>
      <c r="P80" s="67">
        <f t="shared" ref="P80:P116" si="47">K80/V80</f>
        <v>1.4359018719002981</v>
      </c>
      <c r="Q80" s="67">
        <f t="shared" ref="Q80:Q116" si="48">H80/V80</f>
        <v>2.7701379684932019E-2</v>
      </c>
      <c r="R80" s="52">
        <v>1.4359</v>
      </c>
      <c r="S80" s="52">
        <v>1.4359</v>
      </c>
      <c r="T80" s="59">
        <v>1650</v>
      </c>
      <c r="U80" s="44">
        <v>884527801</v>
      </c>
      <c r="V80" s="44">
        <v>916521570</v>
      </c>
    </row>
    <row r="81" spans="1:24" ht="15" customHeight="1">
      <c r="A81" s="140">
        <v>71</v>
      </c>
      <c r="B81" s="43" t="s">
        <v>143</v>
      </c>
      <c r="C81" s="43" t="s">
        <v>144</v>
      </c>
      <c r="D81" s="44">
        <v>535712424</v>
      </c>
      <c r="E81" s="44">
        <v>9155177</v>
      </c>
      <c r="F81" s="44">
        <v>413919</v>
      </c>
      <c r="G81" s="44">
        <v>1733910</v>
      </c>
      <c r="H81" s="45">
        <f t="shared" si="36"/>
        <v>7835186</v>
      </c>
      <c r="I81" s="52">
        <v>714436581</v>
      </c>
      <c r="J81" s="47">
        <f t="shared" si="42"/>
        <v>3.069547405680972E-3</v>
      </c>
      <c r="K81" s="44">
        <v>744599312</v>
      </c>
      <c r="L81" s="47">
        <f t="shared" si="43"/>
        <v>3.167080832162212E-3</v>
      </c>
      <c r="M81" s="47">
        <f t="shared" si="44"/>
        <v>4.2218906201276947E-2</v>
      </c>
      <c r="N81" s="49">
        <f t="shared" si="45"/>
        <v>2.3286484046603577E-3</v>
      </c>
      <c r="O81" s="50">
        <f t="shared" si="46"/>
        <v>1.0522687670707921E-2</v>
      </c>
      <c r="P81" s="67">
        <f t="shared" si="47"/>
        <v>1.2863464638125097</v>
      </c>
      <c r="Q81" s="67">
        <f t="shared" si="48"/>
        <v>1.3535822075018628E-2</v>
      </c>
      <c r="R81" s="52">
        <v>1.2863</v>
      </c>
      <c r="S81" s="52">
        <v>1.2863</v>
      </c>
      <c r="T81" s="58">
        <v>975</v>
      </c>
      <c r="U81" s="44">
        <v>561352243</v>
      </c>
      <c r="V81" s="44">
        <v>578848182</v>
      </c>
    </row>
    <row r="82" spans="1:24">
      <c r="A82" s="140">
        <v>72</v>
      </c>
      <c r="B82" s="43" t="s">
        <v>145</v>
      </c>
      <c r="C82" s="54" t="s">
        <v>75</v>
      </c>
      <c r="D82" s="44">
        <v>279362530.22000003</v>
      </c>
      <c r="E82" s="44">
        <v>20610353.829999998</v>
      </c>
      <c r="F82" s="44">
        <v>44793883.810000002</v>
      </c>
      <c r="G82" s="44">
        <v>569334.72</v>
      </c>
      <c r="H82" s="45">
        <f t="shared" si="36"/>
        <v>64834902.920000002</v>
      </c>
      <c r="I82" s="52">
        <v>327086863.54000002</v>
      </c>
      <c r="J82" s="47">
        <f t="shared" si="42"/>
        <v>1.4053152653608777E-3</v>
      </c>
      <c r="K82" s="44">
        <v>341549257.44999999</v>
      </c>
      <c r="L82" s="47">
        <f t="shared" si="43"/>
        <v>1.4527465833988464E-3</v>
      </c>
      <c r="M82" s="47">
        <f t="shared" si="44"/>
        <v>4.4215758937782394E-2</v>
      </c>
      <c r="N82" s="49">
        <f t="shared" si="45"/>
        <v>1.6669183363203356E-3</v>
      </c>
      <c r="O82" s="50">
        <f t="shared" si="46"/>
        <v>0.18982592263281761</v>
      </c>
      <c r="P82" s="67">
        <f t="shared" si="47"/>
        <v>1347.5576128983894</v>
      </c>
      <c r="Q82" s="67">
        <f t="shared" si="48"/>
        <v>255.80136716931406</v>
      </c>
      <c r="R82" s="44">
        <v>1347.56</v>
      </c>
      <c r="S82" s="44">
        <v>1347.56</v>
      </c>
      <c r="T82" s="58">
        <v>98</v>
      </c>
      <c r="U82" s="44">
        <v>261152</v>
      </c>
      <c r="V82" s="44">
        <v>253458</v>
      </c>
    </row>
    <row r="83" spans="1:24">
      <c r="A83" s="140">
        <v>73</v>
      </c>
      <c r="B83" s="43" t="s">
        <v>146</v>
      </c>
      <c r="C83" s="54" t="s">
        <v>32</v>
      </c>
      <c r="D83" s="44">
        <v>1887594234.8399999</v>
      </c>
      <c r="E83" s="52">
        <v>38129002.850000001</v>
      </c>
      <c r="F83" s="52">
        <v>9936048.5999999996</v>
      </c>
      <c r="G83" s="52">
        <v>2700978.16</v>
      </c>
      <c r="H83" s="45">
        <f t="shared" si="36"/>
        <v>45364073.290000007</v>
      </c>
      <c r="I83" s="52">
        <v>1886694337.21</v>
      </c>
      <c r="J83" s="47">
        <f t="shared" si="42"/>
        <v>8.1061046734054853E-3</v>
      </c>
      <c r="K83" s="52">
        <v>1896099521.4300001</v>
      </c>
      <c r="L83" s="47">
        <f t="shared" si="43"/>
        <v>8.0648750991498316E-3</v>
      </c>
      <c r="M83" s="47">
        <f t="shared" si="44"/>
        <v>4.9850068633312365E-3</v>
      </c>
      <c r="N83" s="49">
        <f t="shared" si="45"/>
        <v>1.4244917682184619E-3</v>
      </c>
      <c r="O83" s="50">
        <f t="shared" si="46"/>
        <v>2.3924943167427909E-2</v>
      </c>
      <c r="P83" s="67">
        <f t="shared" si="47"/>
        <v>1.1290025304347127</v>
      </c>
      <c r="Q83" s="67">
        <f t="shared" si="48"/>
        <v>2.7011321376532799E-2</v>
      </c>
      <c r="R83" s="52">
        <v>1.1248</v>
      </c>
      <c r="S83" s="52">
        <v>1.1248</v>
      </c>
      <c r="T83" s="58">
        <v>1121</v>
      </c>
      <c r="U83" s="52">
        <v>1695825969.4200001</v>
      </c>
      <c r="V83" s="52">
        <v>1679446653.4100001</v>
      </c>
    </row>
    <row r="84" spans="1:24">
      <c r="A84" s="140">
        <v>74</v>
      </c>
      <c r="B84" s="43" t="s">
        <v>147</v>
      </c>
      <c r="C84" s="43" t="s">
        <v>148</v>
      </c>
      <c r="D84" s="44">
        <v>519444175.06</v>
      </c>
      <c r="E84" s="44">
        <v>6875020.6299999999</v>
      </c>
      <c r="F84" s="44">
        <v>717285.75</v>
      </c>
      <c r="G84" s="44">
        <v>1343315.04</v>
      </c>
      <c r="H84" s="45">
        <f t="shared" si="36"/>
        <v>6248991.3399999999</v>
      </c>
      <c r="I84" s="52">
        <v>543652246.71000004</v>
      </c>
      <c r="J84" s="47">
        <f t="shared" si="42"/>
        <v>2.3357795329370353E-3</v>
      </c>
      <c r="K84" s="44">
        <v>525924675.72000003</v>
      </c>
      <c r="L84" s="47">
        <f t="shared" si="43"/>
        <v>2.2369695120453446E-3</v>
      </c>
      <c r="M84" s="47">
        <f t="shared" si="44"/>
        <v>-3.2608291600524579E-2</v>
      </c>
      <c r="N84" s="49">
        <f t="shared" si="45"/>
        <v>2.5541966407280252E-3</v>
      </c>
      <c r="O84" s="50">
        <f t="shared" si="46"/>
        <v>1.1881913187368556E-2</v>
      </c>
      <c r="P84" s="67">
        <f t="shared" si="47"/>
        <v>3.0004556554072361</v>
      </c>
      <c r="Q84" s="67">
        <f t="shared" si="48"/>
        <v>3.5651153620097804E-2</v>
      </c>
      <c r="R84" s="52">
        <v>2.9885999999999999</v>
      </c>
      <c r="S84" s="52">
        <v>2.9885999999999999</v>
      </c>
      <c r="T84" s="58">
        <v>1385</v>
      </c>
      <c r="U84" s="44">
        <v>175322704.81</v>
      </c>
      <c r="V84" s="44">
        <v>175281602.56999999</v>
      </c>
    </row>
    <row r="85" spans="1:24">
      <c r="A85" s="140">
        <v>75</v>
      </c>
      <c r="B85" s="43" t="s">
        <v>149</v>
      </c>
      <c r="C85" s="43" t="s">
        <v>150</v>
      </c>
      <c r="D85" s="52">
        <v>6049840551.6999998</v>
      </c>
      <c r="E85" s="44">
        <v>95601731.650000006</v>
      </c>
      <c r="F85" s="52">
        <v>0</v>
      </c>
      <c r="G85" s="44">
        <v>10718677.76</v>
      </c>
      <c r="H85" s="45">
        <f t="shared" ref="H85" si="49">(E85+F85)-G85</f>
        <v>84883053.890000001</v>
      </c>
      <c r="I85" s="52">
        <v>5567833361.5799999</v>
      </c>
      <c r="J85" s="47">
        <f t="shared" si="42"/>
        <v>2.3921967190397624E-2</v>
      </c>
      <c r="K85" s="44">
        <v>6373239084.3900003</v>
      </c>
      <c r="L85" s="47">
        <f t="shared" si="43"/>
        <v>2.7107953254405664E-2</v>
      </c>
      <c r="M85" s="47">
        <f t="shared" si="44"/>
        <v>0.14465334547682082</v>
      </c>
      <c r="N85" s="49">
        <f t="shared" si="45"/>
        <v>1.6818257746289951E-3</v>
      </c>
      <c r="O85" s="50">
        <f t="shared" si="46"/>
        <v>1.3318667755287009E-2</v>
      </c>
      <c r="P85" s="67">
        <f t="shared" si="47"/>
        <v>1267.1931728805782</v>
      </c>
      <c r="Q85" s="67">
        <f t="shared" si="48"/>
        <v>16.877324851364392</v>
      </c>
      <c r="R85" s="44">
        <v>1267.19</v>
      </c>
      <c r="S85" s="44">
        <v>1267.19</v>
      </c>
      <c r="T85" s="58">
        <v>486</v>
      </c>
      <c r="U85" s="44">
        <v>4452514</v>
      </c>
      <c r="V85" s="44">
        <v>5029414</v>
      </c>
    </row>
    <row r="86" spans="1:24">
      <c r="A86" s="140">
        <v>76</v>
      </c>
      <c r="B86" s="43" t="s">
        <v>336</v>
      </c>
      <c r="C86" s="43" t="s">
        <v>52</v>
      </c>
      <c r="D86" s="44">
        <v>1495490812.47</v>
      </c>
      <c r="E86" s="44">
        <v>19723159.079999998</v>
      </c>
      <c r="F86" s="44">
        <v>10666073.189999999</v>
      </c>
      <c r="G86" s="44">
        <v>2973738.8</v>
      </c>
      <c r="H86" s="45">
        <f>(E86+F86)-G86</f>
        <v>27415493.469999995</v>
      </c>
      <c r="I86" s="52">
        <v>1408532475.2</v>
      </c>
      <c r="J86" s="47">
        <f t="shared" si="42"/>
        <v>6.0517018865633336E-3</v>
      </c>
      <c r="K86" s="44">
        <v>1508254587.9100001</v>
      </c>
      <c r="L86" s="47">
        <f t="shared" si="43"/>
        <v>6.4152143554364145E-3</v>
      </c>
      <c r="M86" s="47">
        <f t="shared" si="44"/>
        <v>7.0798589642628099E-2</v>
      </c>
      <c r="N86" s="49">
        <f t="shared" si="45"/>
        <v>1.971642469273528E-3</v>
      </c>
      <c r="O86" s="50">
        <f t="shared" si="46"/>
        <v>1.8176966733441106E-2</v>
      </c>
      <c r="P86" s="67">
        <f t="shared" si="47"/>
        <v>112.44638360334301</v>
      </c>
      <c r="Q86" s="67">
        <f t="shared" si="48"/>
        <v>2.0439341740537231</v>
      </c>
      <c r="R86" s="52">
        <v>112.45</v>
      </c>
      <c r="S86" s="52">
        <v>113.04</v>
      </c>
      <c r="T86" s="58">
        <v>4686</v>
      </c>
      <c r="U86" s="44">
        <v>12767505</v>
      </c>
      <c r="V86" s="44">
        <v>13413100</v>
      </c>
    </row>
    <row r="87" spans="1:24">
      <c r="A87" s="140">
        <v>77</v>
      </c>
      <c r="B87" s="56" t="s">
        <v>151</v>
      </c>
      <c r="C87" s="57" t="s">
        <v>80</v>
      </c>
      <c r="D87" s="44">
        <v>209862458.16999999</v>
      </c>
      <c r="E87" s="44">
        <v>11298344.9</v>
      </c>
      <c r="F87" s="52">
        <v>0</v>
      </c>
      <c r="G87" s="44">
        <v>465903.93</v>
      </c>
      <c r="H87" s="45">
        <f t="shared" si="36"/>
        <v>10832440.970000001</v>
      </c>
      <c r="I87" s="52">
        <v>203767175.52000001</v>
      </c>
      <c r="J87" s="47">
        <f t="shared" si="42"/>
        <v>8.7547729443651667E-4</v>
      </c>
      <c r="K87" s="44">
        <v>204399767.37</v>
      </c>
      <c r="L87" s="47">
        <f t="shared" si="43"/>
        <v>8.6939455208084079E-4</v>
      </c>
      <c r="M87" s="47">
        <f t="shared" si="44"/>
        <v>3.1044835773262427E-3</v>
      </c>
      <c r="N87" s="49">
        <f t="shared" si="45"/>
        <v>2.2793760286264459E-3</v>
      </c>
      <c r="O87" s="50">
        <f t="shared" si="46"/>
        <v>5.2996346861742517E-2</v>
      </c>
      <c r="P87" s="67">
        <f t="shared" si="47"/>
        <v>11.913849972087871</v>
      </c>
      <c r="Q87" s="67">
        <f t="shared" si="48"/>
        <v>0.63139052557953024</v>
      </c>
      <c r="R87" s="52">
        <v>11.9138</v>
      </c>
      <c r="S87" s="52">
        <v>11.9697</v>
      </c>
      <c r="T87" s="58">
        <v>47</v>
      </c>
      <c r="U87" s="44">
        <v>17160822.530000001</v>
      </c>
      <c r="V87" s="44">
        <v>17156483.239999998</v>
      </c>
    </row>
    <row r="88" spans="1:24">
      <c r="A88" s="140">
        <v>78</v>
      </c>
      <c r="B88" s="54" t="s">
        <v>152</v>
      </c>
      <c r="C88" s="43" t="s">
        <v>82</v>
      </c>
      <c r="D88" s="44">
        <v>2222917197.0999999</v>
      </c>
      <c r="E88" s="44">
        <v>27274948.079999998</v>
      </c>
      <c r="F88" s="52">
        <v>0</v>
      </c>
      <c r="G88" s="44">
        <v>4615644.83</v>
      </c>
      <c r="H88" s="45">
        <f t="shared" si="36"/>
        <v>22659303.25</v>
      </c>
      <c r="I88" s="52">
        <v>2191813037.7399998</v>
      </c>
      <c r="J88" s="47">
        <f t="shared" si="42"/>
        <v>9.4170346293235875E-3</v>
      </c>
      <c r="K88" s="44">
        <v>2194830529.3600001</v>
      </c>
      <c r="L88" s="47">
        <f t="shared" si="43"/>
        <v>9.3354984182156993E-3</v>
      </c>
      <c r="M88" s="47">
        <f t="shared" si="44"/>
        <v>1.3767103160914345E-3</v>
      </c>
      <c r="N88" s="49">
        <f t="shared" si="45"/>
        <v>2.1029618315660551E-3</v>
      </c>
      <c r="O88" s="50">
        <f t="shared" si="46"/>
        <v>1.0323942075203102E-2</v>
      </c>
      <c r="P88" s="67">
        <f t="shared" si="47"/>
        <v>5063.5281442473633</v>
      </c>
      <c r="Q88" s="67">
        <f t="shared" si="48"/>
        <v>52.275571257370423</v>
      </c>
      <c r="R88" s="44">
        <v>5063.53</v>
      </c>
      <c r="S88" s="44">
        <v>5063.53</v>
      </c>
      <c r="T88" s="59">
        <v>1208</v>
      </c>
      <c r="U88" s="44">
        <v>437128.01</v>
      </c>
      <c r="V88" s="44">
        <v>433458.74</v>
      </c>
    </row>
    <row r="89" spans="1:24">
      <c r="A89" s="140">
        <v>79</v>
      </c>
      <c r="B89" s="43" t="s">
        <v>153</v>
      </c>
      <c r="C89" s="43" t="s">
        <v>84</v>
      </c>
      <c r="D89" s="44">
        <v>336968670.45999998</v>
      </c>
      <c r="E89" s="44">
        <v>4332847.13</v>
      </c>
      <c r="F89" s="52">
        <v>0</v>
      </c>
      <c r="G89" s="44">
        <v>758692.88</v>
      </c>
      <c r="H89" s="45">
        <f t="shared" si="36"/>
        <v>3574154.25</v>
      </c>
      <c r="I89" s="52">
        <v>365383432.81</v>
      </c>
      <c r="J89" s="47">
        <f t="shared" si="42"/>
        <v>1.569854901173857E-3</v>
      </c>
      <c r="K89" s="44">
        <v>369160764.89999998</v>
      </c>
      <c r="L89" s="47">
        <f t="shared" si="43"/>
        <v>1.5701894477457303E-3</v>
      </c>
      <c r="M89" s="47">
        <f t="shared" si="44"/>
        <v>1.0337994968601088E-2</v>
      </c>
      <c r="N89" s="49">
        <f t="shared" si="45"/>
        <v>2.0551828691911999E-3</v>
      </c>
      <c r="O89" s="50">
        <f t="shared" si="46"/>
        <v>9.6818367221884593E-3</v>
      </c>
      <c r="P89" s="67">
        <f t="shared" si="47"/>
        <v>116.34974849142128</v>
      </c>
      <c r="Q89" s="67">
        <f t="shared" si="48"/>
        <v>1.1264792675616337</v>
      </c>
      <c r="R89" s="52">
        <v>116.45</v>
      </c>
      <c r="S89" s="52">
        <v>116.45</v>
      </c>
      <c r="T89" s="58">
        <v>101</v>
      </c>
      <c r="U89" s="44">
        <v>3171232</v>
      </c>
      <c r="V89" s="44">
        <v>3172854</v>
      </c>
      <c r="W89" s="38"/>
      <c r="X89" s="38"/>
    </row>
    <row r="90" spans="1:24">
      <c r="A90" s="140">
        <v>80</v>
      </c>
      <c r="B90" s="54" t="s">
        <v>154</v>
      </c>
      <c r="C90" s="54" t="s">
        <v>86</v>
      </c>
      <c r="D90" s="44">
        <v>1082165685.0599999</v>
      </c>
      <c r="E90" s="52">
        <v>17149735.329999998</v>
      </c>
      <c r="F90" s="44">
        <v>7134780.5</v>
      </c>
      <c r="G90" s="44">
        <v>1953705.55</v>
      </c>
      <c r="H90" s="45">
        <f t="shared" si="36"/>
        <v>22330810.279999997</v>
      </c>
      <c r="I90" s="52">
        <v>1080972817.9200001</v>
      </c>
      <c r="J90" s="47">
        <f t="shared" si="42"/>
        <v>4.6443552823311907E-3</v>
      </c>
      <c r="K90" s="44">
        <v>1091452268.74</v>
      </c>
      <c r="L90" s="47">
        <f t="shared" si="43"/>
        <v>4.6423861852109977E-3</v>
      </c>
      <c r="M90" s="47">
        <f t="shared" si="44"/>
        <v>9.6944628452030977E-3</v>
      </c>
      <c r="N90" s="49">
        <f t="shared" si="45"/>
        <v>1.7900054871436632E-3</v>
      </c>
      <c r="O90" s="50">
        <f t="shared" si="46"/>
        <v>2.045972226140429E-2</v>
      </c>
      <c r="P90" s="67">
        <f t="shared" si="47"/>
        <v>1.597360418175527</v>
      </c>
      <c r="Q90" s="67">
        <f t="shared" si="48"/>
        <v>3.2681550507231899E-2</v>
      </c>
      <c r="R90" s="52">
        <v>1.5973999999999999</v>
      </c>
      <c r="S90" s="52">
        <v>1.5973999999999999</v>
      </c>
      <c r="T90" s="58">
        <v>3301</v>
      </c>
      <c r="U90" s="44">
        <v>691918831.98000002</v>
      </c>
      <c r="V90" s="44">
        <v>683284909.48000002</v>
      </c>
    </row>
    <row r="91" spans="1:24">
      <c r="A91" s="140">
        <v>81</v>
      </c>
      <c r="B91" s="56" t="s">
        <v>155</v>
      </c>
      <c r="C91" s="57" t="s">
        <v>86</v>
      </c>
      <c r="D91" s="71">
        <v>240388951.16999999</v>
      </c>
      <c r="E91" s="52">
        <v>5571707.0700000003</v>
      </c>
      <c r="F91" s="44">
        <v>1284862.8</v>
      </c>
      <c r="G91" s="44">
        <v>669283.76</v>
      </c>
      <c r="H91" s="45">
        <f t="shared" si="36"/>
        <v>6187286.1100000003</v>
      </c>
      <c r="I91" s="52">
        <v>212093836.34</v>
      </c>
      <c r="J91" s="47">
        <f t="shared" si="42"/>
        <v>9.1125245040941103E-4</v>
      </c>
      <c r="K91" s="44">
        <v>233860413.09999999</v>
      </c>
      <c r="L91" s="47">
        <f t="shared" si="43"/>
        <v>9.9470254644896407E-4</v>
      </c>
      <c r="M91" s="47">
        <f t="shared" si="44"/>
        <v>0.10262710664116978</v>
      </c>
      <c r="N91" s="49">
        <f t="shared" si="45"/>
        <v>2.8618942005965353E-3</v>
      </c>
      <c r="O91" s="50">
        <f t="shared" si="46"/>
        <v>2.6457176005048287E-2</v>
      </c>
      <c r="P91" s="67">
        <f t="shared" si="47"/>
        <v>1.0513540601898608</v>
      </c>
      <c r="Q91" s="67">
        <f t="shared" si="48"/>
        <v>2.7815859414065277E-2</v>
      </c>
      <c r="R91" s="58">
        <v>1.0773999999999999</v>
      </c>
      <c r="S91" s="69">
        <v>1.0773999999999999</v>
      </c>
      <c r="T91" s="58">
        <v>332</v>
      </c>
      <c r="U91" s="44">
        <v>200918507.34</v>
      </c>
      <c r="V91" s="44">
        <v>222437351.94</v>
      </c>
    </row>
    <row r="92" spans="1:24">
      <c r="A92" s="140">
        <v>82</v>
      </c>
      <c r="B92" s="43" t="s">
        <v>156</v>
      </c>
      <c r="C92" s="43" t="s">
        <v>34</v>
      </c>
      <c r="D92" s="52">
        <v>336352179.17000002</v>
      </c>
      <c r="E92" s="52">
        <v>4993922.01</v>
      </c>
      <c r="F92" s="52">
        <v>0</v>
      </c>
      <c r="G92" s="52">
        <v>531754.63</v>
      </c>
      <c r="H92" s="45">
        <f t="shared" si="36"/>
        <v>4462167.38</v>
      </c>
      <c r="I92" s="52">
        <v>242761363.34</v>
      </c>
      <c r="J92" s="47">
        <f t="shared" si="42"/>
        <v>1.0430142196762358E-3</v>
      </c>
      <c r="K92" s="52">
        <v>342065403.81999999</v>
      </c>
      <c r="L92" s="47">
        <f t="shared" si="43"/>
        <v>1.4549419618375215E-3</v>
      </c>
      <c r="M92" s="47">
        <f t="shared" si="44"/>
        <v>0.40906031797539166</v>
      </c>
      <c r="N92" s="49">
        <f t="shared" si="45"/>
        <v>1.5545408102124742E-3</v>
      </c>
      <c r="O92" s="50">
        <f t="shared" si="46"/>
        <v>1.3044778367437766E-2</v>
      </c>
      <c r="P92" s="67">
        <f t="shared" si="47"/>
        <v>183.36661229135026</v>
      </c>
      <c r="Q92" s="67">
        <f t="shared" si="48"/>
        <v>2.3919768173285543</v>
      </c>
      <c r="R92" s="52">
        <v>183.37</v>
      </c>
      <c r="S92" s="52">
        <v>185.76</v>
      </c>
      <c r="T92" s="58">
        <v>465</v>
      </c>
      <c r="U92" s="52">
        <v>2167559.36</v>
      </c>
      <c r="V92" s="52">
        <v>1865472.67</v>
      </c>
    </row>
    <row r="93" spans="1:24">
      <c r="A93" s="140">
        <v>83</v>
      </c>
      <c r="B93" s="43" t="s">
        <v>157</v>
      </c>
      <c r="C93" s="43" t="s">
        <v>88</v>
      </c>
      <c r="D93" s="44">
        <v>3484650599.8600001</v>
      </c>
      <c r="E93" s="44">
        <v>54706461.479999997</v>
      </c>
      <c r="F93" s="52">
        <v>0</v>
      </c>
      <c r="G93" s="44">
        <v>5519994.0800000001</v>
      </c>
      <c r="H93" s="45">
        <f t="shared" si="36"/>
        <v>49186467.399999999</v>
      </c>
      <c r="I93" s="52">
        <v>3369703010.9899998</v>
      </c>
      <c r="J93" s="47">
        <f t="shared" si="42"/>
        <v>1.4477790486066549E-2</v>
      </c>
      <c r="K93" s="44">
        <v>3467336572.21</v>
      </c>
      <c r="L93" s="47">
        <f t="shared" si="43"/>
        <v>1.4747979241352455E-2</v>
      </c>
      <c r="M93" s="47">
        <f t="shared" si="44"/>
        <v>2.8973936546210961E-2</v>
      </c>
      <c r="N93" s="49">
        <f t="shared" si="45"/>
        <v>1.5919983436974748E-3</v>
      </c>
      <c r="O93" s="50">
        <f t="shared" si="46"/>
        <v>1.4185662792074921E-2</v>
      </c>
      <c r="P93" s="67">
        <f t="shared" si="47"/>
        <v>1439.2504859562048</v>
      </c>
      <c r="Q93" s="67">
        <f t="shared" si="48"/>
        <v>20.416722067104683</v>
      </c>
      <c r="R93" s="44">
        <v>1439.25</v>
      </c>
      <c r="S93" s="44">
        <v>1439.25</v>
      </c>
      <c r="T93" s="58">
        <v>323</v>
      </c>
      <c r="U93" s="44">
        <v>2375130.2000000002</v>
      </c>
      <c r="V93" s="44">
        <v>2409126.56</v>
      </c>
    </row>
    <row r="94" spans="1:24">
      <c r="A94" s="140">
        <v>84</v>
      </c>
      <c r="B94" s="43" t="s">
        <v>158</v>
      </c>
      <c r="C94" s="43" t="s">
        <v>90</v>
      </c>
      <c r="D94" s="44">
        <v>145458487.90000001</v>
      </c>
      <c r="E94" s="44">
        <v>1700070.23</v>
      </c>
      <c r="F94" s="52">
        <v>0</v>
      </c>
      <c r="G94" s="44">
        <v>552405.98</v>
      </c>
      <c r="H94" s="45">
        <f t="shared" si="36"/>
        <v>1147664.25</v>
      </c>
      <c r="I94" s="52">
        <v>158061577.53</v>
      </c>
      <c r="J94" s="47">
        <f t="shared" si="42"/>
        <v>6.7910507125201823E-4</v>
      </c>
      <c r="K94" s="44">
        <v>159259674.15000001</v>
      </c>
      <c r="L94" s="47">
        <f t="shared" si="43"/>
        <v>6.7739555114827287E-4</v>
      </c>
      <c r="M94" s="47">
        <f t="shared" si="44"/>
        <v>7.5799358624812326E-3</v>
      </c>
      <c r="N94" s="49">
        <f t="shared" si="45"/>
        <v>3.4685866522602073E-3</v>
      </c>
      <c r="O94" s="50">
        <f t="shared" si="46"/>
        <v>7.2062451221585645E-3</v>
      </c>
      <c r="P94" s="67">
        <f t="shared" si="47"/>
        <v>1081.0458467960902</v>
      </c>
      <c r="Q94" s="67">
        <f t="shared" si="48"/>
        <v>7.7902813603040997</v>
      </c>
      <c r="R94" s="44">
        <v>1051.42</v>
      </c>
      <c r="S94" s="44">
        <v>1061.33</v>
      </c>
      <c r="T94" s="58">
        <v>286</v>
      </c>
      <c r="U94" s="44">
        <v>146922</v>
      </c>
      <c r="V94" s="44">
        <v>147320</v>
      </c>
    </row>
    <row r="95" spans="1:24">
      <c r="A95" s="140">
        <v>85</v>
      </c>
      <c r="B95" s="43" t="s">
        <v>159</v>
      </c>
      <c r="C95" s="54" t="s">
        <v>93</v>
      </c>
      <c r="D95" s="44">
        <v>813909933.75999999</v>
      </c>
      <c r="E95" s="44">
        <v>10055847.18</v>
      </c>
      <c r="F95" s="52">
        <v>0</v>
      </c>
      <c r="G95" s="44">
        <v>1397126</v>
      </c>
      <c r="H95" s="45">
        <f t="shared" si="36"/>
        <v>8658721.1799999997</v>
      </c>
      <c r="I95" s="52">
        <v>853273685</v>
      </c>
      <c r="J95" s="47">
        <f t="shared" si="42"/>
        <v>3.6660553165706292E-3</v>
      </c>
      <c r="K95" s="44">
        <v>807276631</v>
      </c>
      <c r="L95" s="47">
        <f t="shared" si="43"/>
        <v>3.4336727191235802E-3</v>
      </c>
      <c r="M95" s="47">
        <f t="shared" si="44"/>
        <v>-5.3906565746252917E-2</v>
      </c>
      <c r="N95" s="49">
        <f t="shared" si="45"/>
        <v>1.7306657301219463E-3</v>
      </c>
      <c r="O95" s="50">
        <f t="shared" si="46"/>
        <v>1.0725841486671252E-2</v>
      </c>
      <c r="P95" s="67">
        <f t="shared" si="47"/>
        <v>1.231862688364914</v>
      </c>
      <c r="Q95" s="67">
        <f t="shared" si="48"/>
        <v>1.3212763928746773E-2</v>
      </c>
      <c r="R95" s="52">
        <v>1.2294</v>
      </c>
      <c r="S95" s="52">
        <v>1.2294</v>
      </c>
      <c r="T95" s="58">
        <v>112</v>
      </c>
      <c r="U95" s="44">
        <v>652660035</v>
      </c>
      <c r="V95" s="44">
        <v>655330045</v>
      </c>
    </row>
    <row r="96" spans="1:24">
      <c r="A96" s="140">
        <v>86</v>
      </c>
      <c r="B96" s="43" t="s">
        <v>335</v>
      </c>
      <c r="C96" s="43" t="s">
        <v>314</v>
      </c>
      <c r="D96" s="44">
        <v>1090224017.75</v>
      </c>
      <c r="E96" s="44">
        <v>15764422.92</v>
      </c>
      <c r="F96" s="52">
        <v>0</v>
      </c>
      <c r="G96" s="44">
        <v>1647467.36</v>
      </c>
      <c r="H96" s="45">
        <f>(E96+F96)-G96</f>
        <v>14116955.560000001</v>
      </c>
      <c r="I96" s="52">
        <v>1070906408.14</v>
      </c>
      <c r="J96" s="47">
        <f t="shared" si="42"/>
        <v>4.6011053664583631E-3</v>
      </c>
      <c r="K96" s="44">
        <v>1094863595.53</v>
      </c>
      <c r="L96" s="47">
        <f t="shared" si="43"/>
        <v>4.6568959322853421E-3</v>
      </c>
      <c r="M96" s="47">
        <f t="shared" si="44"/>
        <v>2.2370944097355756E-2</v>
      </c>
      <c r="N96" s="49">
        <f t="shared" si="45"/>
        <v>1.5047238457156816E-3</v>
      </c>
      <c r="O96" s="50">
        <f t="shared" si="46"/>
        <v>1.289380304326064E-2</v>
      </c>
      <c r="P96" s="67">
        <f t="shared" si="47"/>
        <v>4.0011628116208771</v>
      </c>
      <c r="Q96" s="67">
        <f t="shared" si="48"/>
        <v>5.159020523705856E-2</v>
      </c>
      <c r="R96" s="52">
        <v>4</v>
      </c>
      <c r="S96" s="52">
        <v>4.03</v>
      </c>
      <c r="T96" s="58">
        <v>847</v>
      </c>
      <c r="U96" s="44">
        <v>271496077</v>
      </c>
      <c r="V96" s="44">
        <v>273636352</v>
      </c>
    </row>
    <row r="97" spans="1:22">
      <c r="A97" s="140">
        <v>87</v>
      </c>
      <c r="B97" s="168" t="s">
        <v>333</v>
      </c>
      <c r="C97" s="45" t="s">
        <v>334</v>
      </c>
      <c r="D97" s="44">
        <v>12295659302.780001</v>
      </c>
      <c r="E97" s="44">
        <v>143550577.58000001</v>
      </c>
      <c r="F97" s="52">
        <v>0</v>
      </c>
      <c r="G97" s="44">
        <v>14328869.710000001</v>
      </c>
      <c r="H97" s="45">
        <f t="shared" si="36"/>
        <v>129221707.87</v>
      </c>
      <c r="I97" s="52">
        <v>11737659747.469999</v>
      </c>
      <c r="J97" s="47">
        <f t="shared" si="42"/>
        <v>5.0430372666783296E-2</v>
      </c>
      <c r="K97" s="44">
        <v>11818137619.559999</v>
      </c>
      <c r="L97" s="47">
        <f t="shared" si="43"/>
        <v>5.0267300175485023E-2</v>
      </c>
      <c r="M97" s="47">
        <f t="shared" si="44"/>
        <v>6.8563814100461385E-3</v>
      </c>
      <c r="N97" s="49">
        <f t="shared" si="45"/>
        <v>1.2124473560271062E-3</v>
      </c>
      <c r="O97" s="50">
        <f t="shared" si="46"/>
        <v>1.0934185404655242E-2</v>
      </c>
      <c r="P97" s="67">
        <f t="shared" si="47"/>
        <v>1777.5790081139205</v>
      </c>
      <c r="Q97" s="67">
        <f t="shared" si="48"/>
        <v>19.436378446140772</v>
      </c>
      <c r="R97" s="44">
        <v>1777.57</v>
      </c>
      <c r="S97" s="44">
        <v>1777.57</v>
      </c>
      <c r="T97" s="59">
        <v>4667</v>
      </c>
      <c r="U97" s="44">
        <v>6662158.5700000003</v>
      </c>
      <c r="V97" s="44">
        <v>6648445.7599999998</v>
      </c>
    </row>
    <row r="98" spans="1:22" ht="14.55" customHeight="1">
      <c r="A98" s="140">
        <v>88</v>
      </c>
      <c r="B98" s="43" t="s">
        <v>160</v>
      </c>
      <c r="C98" s="43" t="s">
        <v>104</v>
      </c>
      <c r="D98" s="44">
        <v>22687176.890000001</v>
      </c>
      <c r="E98" s="44">
        <v>304090.14</v>
      </c>
      <c r="F98" s="52">
        <v>0</v>
      </c>
      <c r="G98" s="44">
        <v>255123.05</v>
      </c>
      <c r="H98" s="45">
        <f t="shared" si="36"/>
        <v>48967.090000000026</v>
      </c>
      <c r="I98" s="52">
        <v>24303709.07</v>
      </c>
      <c r="J98" s="47">
        <f t="shared" si="42"/>
        <v>1.0441988709456019E-4</v>
      </c>
      <c r="K98" s="44">
        <v>23759739.09</v>
      </c>
      <c r="L98" s="47">
        <f t="shared" si="43"/>
        <v>1.01059741845577E-4</v>
      </c>
      <c r="M98" s="47">
        <f t="shared" si="44"/>
        <v>-2.2382179544416365E-2</v>
      </c>
      <c r="N98" s="49">
        <f t="shared" si="45"/>
        <v>1.0737620014833252E-2</v>
      </c>
      <c r="O98" s="50">
        <f t="shared" si="46"/>
        <v>2.060927092444769E-3</v>
      </c>
      <c r="P98" s="67">
        <f t="shared" si="47"/>
        <v>0.72590117978571134</v>
      </c>
      <c r="Q98" s="67">
        <f t="shared" si="48"/>
        <v>1.4960294078579938E-3</v>
      </c>
      <c r="R98" s="52">
        <v>0.7258</v>
      </c>
      <c r="S98" s="52">
        <v>0.73</v>
      </c>
      <c r="T98" s="58">
        <v>728</v>
      </c>
      <c r="U98" s="44">
        <v>32731368.609999999</v>
      </c>
      <c r="V98" s="44">
        <v>32731368.609999999</v>
      </c>
    </row>
    <row r="99" spans="1:22" ht="14.55" customHeight="1">
      <c r="A99" s="140">
        <v>89</v>
      </c>
      <c r="B99" s="43" t="s">
        <v>161</v>
      </c>
      <c r="C99" s="54" t="s">
        <v>44</v>
      </c>
      <c r="D99" s="44">
        <v>14254894682.299999</v>
      </c>
      <c r="E99" s="44">
        <v>139699031.47999999</v>
      </c>
      <c r="F99" s="52">
        <v>0</v>
      </c>
      <c r="G99" s="44">
        <v>5272864.3899999997</v>
      </c>
      <c r="H99" s="45">
        <f t="shared" si="36"/>
        <v>134426167.09</v>
      </c>
      <c r="I99" s="52">
        <v>13528035331.49</v>
      </c>
      <c r="J99" s="47">
        <f t="shared" si="42"/>
        <v>5.8122647775976151E-2</v>
      </c>
      <c r="K99" s="44">
        <v>13916821595</v>
      </c>
      <c r="L99" s="47">
        <f t="shared" si="43"/>
        <v>5.9193848567705425E-2</v>
      </c>
      <c r="M99" s="47">
        <f t="shared" si="44"/>
        <v>2.8739299830552605E-2</v>
      </c>
      <c r="N99" s="49">
        <f t="shared" si="45"/>
        <v>3.7888424120450181E-4</v>
      </c>
      <c r="O99" s="50">
        <f t="shared" si="46"/>
        <v>9.6592577674701457E-3</v>
      </c>
      <c r="P99" s="67">
        <f t="shared" si="47"/>
        <v>1</v>
      </c>
      <c r="Q99" s="67">
        <f t="shared" si="48"/>
        <v>9.6592577674701457E-3</v>
      </c>
      <c r="R99" s="52">
        <v>1</v>
      </c>
      <c r="S99" s="52">
        <v>1</v>
      </c>
      <c r="T99" s="58">
        <v>7648</v>
      </c>
      <c r="U99" s="44">
        <v>13528035331.49</v>
      </c>
      <c r="V99" s="44">
        <v>13916821595</v>
      </c>
    </row>
    <row r="100" spans="1:22">
      <c r="A100" s="140">
        <v>90</v>
      </c>
      <c r="B100" s="54" t="s">
        <v>162</v>
      </c>
      <c r="C100" s="54" t="s">
        <v>163</v>
      </c>
      <c r="D100" s="52">
        <v>2047574477.5999999</v>
      </c>
      <c r="E100" s="44">
        <v>31887688.07</v>
      </c>
      <c r="F100" s="52">
        <v>0</v>
      </c>
      <c r="G100" s="44">
        <v>3378591.34</v>
      </c>
      <c r="H100" s="45">
        <f t="shared" si="36"/>
        <v>28509096.73</v>
      </c>
      <c r="I100" s="52">
        <v>1964368638.05</v>
      </c>
      <c r="J100" s="47">
        <f t="shared" si="42"/>
        <v>8.4398291144157436E-3</v>
      </c>
      <c r="K100" s="44">
        <v>2147711045.2600002</v>
      </c>
      <c r="L100" s="47">
        <f t="shared" si="43"/>
        <v>9.1350802704824631E-3</v>
      </c>
      <c r="M100" s="47">
        <f t="shared" si="44"/>
        <v>9.3334012597554805E-2</v>
      </c>
      <c r="N100" s="49">
        <f t="shared" si="45"/>
        <v>1.5731126156177076E-3</v>
      </c>
      <c r="O100" s="50">
        <f t="shared" si="46"/>
        <v>1.3274177079323402E-2</v>
      </c>
      <c r="P100" s="67">
        <f t="shared" si="47"/>
        <v>293.51842878531454</v>
      </c>
      <c r="Q100" s="67">
        <f t="shared" si="48"/>
        <v>3.8962155997410406</v>
      </c>
      <c r="R100" s="52">
        <v>293.27999999999997</v>
      </c>
      <c r="S100" s="52">
        <v>293.27999999999997</v>
      </c>
      <c r="T100" s="58">
        <v>579</v>
      </c>
      <c r="U100" s="44">
        <v>7070106.6799999997</v>
      </c>
      <c r="V100" s="44">
        <v>7317125.0410000002</v>
      </c>
    </row>
    <row r="101" spans="1:22">
      <c r="A101" s="140">
        <v>91</v>
      </c>
      <c r="B101" s="56" t="s">
        <v>164</v>
      </c>
      <c r="C101" s="57" t="s">
        <v>48</v>
      </c>
      <c r="D101" s="44">
        <v>748670214.95000005</v>
      </c>
      <c r="E101" s="44">
        <v>12447587.9</v>
      </c>
      <c r="F101" s="52">
        <v>0</v>
      </c>
      <c r="G101" s="44">
        <v>1786816.91</v>
      </c>
      <c r="H101" s="45">
        <f t="shared" si="36"/>
        <v>10660770.99</v>
      </c>
      <c r="I101" s="52">
        <v>770217153.63999999</v>
      </c>
      <c r="J101" s="47">
        <f t="shared" si="42"/>
        <v>3.3092063433502218E-3</v>
      </c>
      <c r="K101" s="44">
        <v>745593984.01999998</v>
      </c>
      <c r="L101" s="47">
        <f t="shared" si="43"/>
        <v>3.1713115729620775E-3</v>
      </c>
      <c r="M101" s="47">
        <f t="shared" si="44"/>
        <v>-3.19691265036521E-2</v>
      </c>
      <c r="N101" s="49">
        <f t="shared" si="45"/>
        <v>2.3965012437011158E-3</v>
      </c>
      <c r="O101" s="50">
        <f t="shared" si="46"/>
        <v>1.4298359721896621E-2</v>
      </c>
      <c r="P101" s="67">
        <f t="shared" si="47"/>
        <v>112.23285355067151</v>
      </c>
      <c r="Q101" s="67">
        <f t="shared" si="48"/>
        <v>1.6047457126824436</v>
      </c>
      <c r="R101" s="52">
        <v>112.23</v>
      </c>
      <c r="S101" s="52">
        <v>112.23</v>
      </c>
      <c r="T101" s="58">
        <v>646</v>
      </c>
      <c r="U101" s="44">
        <v>6618855.5099999998</v>
      </c>
      <c r="V101" s="44">
        <v>6643277.4400000004</v>
      </c>
    </row>
    <row r="102" spans="1:22">
      <c r="A102" s="140">
        <v>92</v>
      </c>
      <c r="B102" s="43" t="s">
        <v>165</v>
      </c>
      <c r="C102" s="43" t="s">
        <v>24</v>
      </c>
      <c r="D102" s="44">
        <v>1854343598.3199999</v>
      </c>
      <c r="E102" s="44">
        <v>23461406.260000002</v>
      </c>
      <c r="F102" s="44">
        <v>70746129.719999999</v>
      </c>
      <c r="G102" s="44">
        <v>2604916</v>
      </c>
      <c r="H102" s="45">
        <f t="shared" si="36"/>
        <v>91602619.980000004</v>
      </c>
      <c r="I102" s="52">
        <v>1809592968.04</v>
      </c>
      <c r="J102" s="47">
        <f t="shared" si="42"/>
        <v>7.7748418097668935E-3</v>
      </c>
      <c r="K102" s="44">
        <v>1836255999.7</v>
      </c>
      <c r="L102" s="47">
        <f t="shared" si="43"/>
        <v>7.8103364935592787E-3</v>
      </c>
      <c r="M102" s="47">
        <f t="shared" si="44"/>
        <v>1.4734270154066335E-2</v>
      </c>
      <c r="N102" s="49">
        <f t="shared" si="45"/>
        <v>1.4186017638202846E-3</v>
      </c>
      <c r="O102" s="50">
        <f t="shared" si="46"/>
        <v>4.9885538832801994E-2</v>
      </c>
      <c r="P102" s="67">
        <f t="shared" si="47"/>
        <v>421.51662950725171</v>
      </c>
      <c r="Q102" s="67">
        <f t="shared" si="48"/>
        <v>21.027584189955817</v>
      </c>
      <c r="R102" s="52">
        <v>421.52</v>
      </c>
      <c r="S102" s="52">
        <v>421.52</v>
      </c>
      <c r="T102" s="58">
        <v>97</v>
      </c>
      <c r="U102" s="44">
        <v>4345485.83</v>
      </c>
      <c r="V102" s="44">
        <v>4356307.37</v>
      </c>
    </row>
    <row r="103" spans="1:22">
      <c r="A103" s="140">
        <v>93</v>
      </c>
      <c r="B103" s="56" t="s">
        <v>166</v>
      </c>
      <c r="C103" s="57" t="s">
        <v>167</v>
      </c>
      <c r="D103" s="44">
        <v>3713348957.02</v>
      </c>
      <c r="E103" s="44">
        <v>61629009.93</v>
      </c>
      <c r="F103" s="44">
        <v>9716834.25</v>
      </c>
      <c r="G103" s="44">
        <v>7523131.6600000001</v>
      </c>
      <c r="H103" s="45">
        <f t="shared" si="36"/>
        <v>63822712.520000011</v>
      </c>
      <c r="I103" s="52">
        <v>4071324355.71</v>
      </c>
      <c r="J103" s="47">
        <f t="shared" si="42"/>
        <v>1.7492277755798993E-2</v>
      </c>
      <c r="K103" s="44">
        <v>4008140763.8400002</v>
      </c>
      <c r="L103" s="47">
        <f t="shared" si="43"/>
        <v>1.704823732870394E-2</v>
      </c>
      <c r="M103" s="47">
        <f t="shared" si="44"/>
        <v>-1.551917419239403E-2</v>
      </c>
      <c r="N103" s="49">
        <f t="shared" si="45"/>
        <v>1.8769629369983659E-3</v>
      </c>
      <c r="O103" s="50">
        <f t="shared" si="46"/>
        <v>1.5923271232334328E-2</v>
      </c>
      <c r="P103" s="67">
        <f t="shared" si="47"/>
        <v>107.84730466116471</v>
      </c>
      <c r="Q103" s="67">
        <f t="shared" si="48"/>
        <v>1.7172818837959198</v>
      </c>
      <c r="R103" s="52">
        <v>107.85</v>
      </c>
      <c r="S103" s="52">
        <v>107.85</v>
      </c>
      <c r="T103" s="58">
        <v>519</v>
      </c>
      <c r="U103" s="44">
        <v>38393770</v>
      </c>
      <c r="V103" s="44">
        <v>37164960</v>
      </c>
    </row>
    <row r="104" spans="1:22">
      <c r="A104" s="140">
        <v>94</v>
      </c>
      <c r="B104" s="54" t="s">
        <v>168</v>
      </c>
      <c r="C104" s="54" t="s">
        <v>50</v>
      </c>
      <c r="D104" s="44">
        <v>70089809</v>
      </c>
      <c r="E104" s="44">
        <v>3650999.46</v>
      </c>
      <c r="F104" s="52">
        <v>0</v>
      </c>
      <c r="G104" s="44">
        <v>164404.17000000001</v>
      </c>
      <c r="H104" s="45">
        <f t="shared" si="36"/>
        <v>3486595.29</v>
      </c>
      <c r="I104" s="52">
        <v>71289556.099999994</v>
      </c>
      <c r="J104" s="47">
        <f t="shared" si="42"/>
        <v>3.0629264765895728E-4</v>
      </c>
      <c r="K104" s="44">
        <v>71799444.150000006</v>
      </c>
      <c r="L104" s="47">
        <f t="shared" si="43"/>
        <v>3.0539196002824979E-4</v>
      </c>
      <c r="M104" s="47">
        <f t="shared" si="44"/>
        <v>7.1523527132750933E-3</v>
      </c>
      <c r="N104" s="49">
        <f t="shared" si="45"/>
        <v>2.2897693978874627E-3</v>
      </c>
      <c r="O104" s="50">
        <f t="shared" si="46"/>
        <v>4.8560198916247459E-2</v>
      </c>
      <c r="P104" s="67">
        <f t="shared" si="47"/>
        <v>14.945467179562437</v>
      </c>
      <c r="Q104" s="67">
        <f t="shared" si="48"/>
        <v>0.72575485913579973</v>
      </c>
      <c r="R104" s="52">
        <v>13.04</v>
      </c>
      <c r="S104" s="52">
        <v>13.24</v>
      </c>
      <c r="T104" s="58">
        <v>52</v>
      </c>
      <c r="U104" s="44">
        <v>4804730</v>
      </c>
      <c r="V104" s="44">
        <v>4804095</v>
      </c>
    </row>
    <row r="105" spans="1:22">
      <c r="A105" s="140">
        <v>95</v>
      </c>
      <c r="B105" s="56" t="s">
        <v>169</v>
      </c>
      <c r="C105" s="57" t="s">
        <v>170</v>
      </c>
      <c r="D105" s="44">
        <v>1272670736.02</v>
      </c>
      <c r="E105" s="44">
        <v>18906008.350000001</v>
      </c>
      <c r="F105" s="52">
        <v>0</v>
      </c>
      <c r="G105" s="44">
        <v>1813313.99</v>
      </c>
      <c r="H105" s="45">
        <f t="shared" si="36"/>
        <v>17092694.360000003</v>
      </c>
      <c r="I105" s="52">
        <v>1204070095.9400001</v>
      </c>
      <c r="J105" s="47">
        <f t="shared" si="42"/>
        <v>5.17323767783199E-3</v>
      </c>
      <c r="K105" s="44">
        <v>1237958622.96</v>
      </c>
      <c r="L105" s="47">
        <f t="shared" si="43"/>
        <v>5.2655367290838206E-3</v>
      </c>
      <c r="M105" s="47">
        <f t="shared" si="44"/>
        <v>2.8144978547568446E-2</v>
      </c>
      <c r="N105" s="49">
        <f t="shared" si="45"/>
        <v>1.4647613873105922E-3</v>
      </c>
      <c r="O105" s="50">
        <f t="shared" si="46"/>
        <v>1.3807161275819385E-2</v>
      </c>
      <c r="P105" s="67">
        <f t="shared" si="47"/>
        <v>182.43028538975778</v>
      </c>
      <c r="Q105" s="67">
        <f t="shared" si="48"/>
        <v>2.5188443719701428</v>
      </c>
      <c r="R105" s="52">
        <v>173.82</v>
      </c>
      <c r="S105" s="52">
        <v>173.82</v>
      </c>
      <c r="T105" s="58">
        <v>194</v>
      </c>
      <c r="U105" s="44">
        <v>7031467.7000000002</v>
      </c>
      <c r="V105" s="44">
        <v>6785927.1299999999</v>
      </c>
    </row>
    <row r="106" spans="1:22">
      <c r="A106" s="140">
        <v>96</v>
      </c>
      <c r="B106" s="43" t="s">
        <v>171</v>
      </c>
      <c r="C106" s="43" t="s">
        <v>172</v>
      </c>
      <c r="D106" s="44">
        <v>13281282869.469999</v>
      </c>
      <c r="E106" s="44">
        <v>198441935.02000001</v>
      </c>
      <c r="F106" s="52">
        <v>0</v>
      </c>
      <c r="G106" s="44">
        <v>21642954.969999999</v>
      </c>
      <c r="H106" s="45">
        <f t="shared" si="36"/>
        <v>176798980.05000001</v>
      </c>
      <c r="I106" s="52">
        <v>12806890534</v>
      </c>
      <c r="J106" s="47">
        <f t="shared" si="42"/>
        <v>5.5024278793865254E-2</v>
      </c>
      <c r="K106" s="44">
        <v>13134325716</v>
      </c>
      <c r="L106" s="47">
        <f t="shared" si="43"/>
        <v>5.5865578369643759E-2</v>
      </c>
      <c r="M106" s="47">
        <f t="shared" si="44"/>
        <v>2.5567110231068054E-2</v>
      </c>
      <c r="N106" s="49">
        <f t="shared" si="45"/>
        <v>1.6478162212495567E-3</v>
      </c>
      <c r="O106" s="50">
        <f t="shared" si="46"/>
        <v>1.3460834143516532E-2</v>
      </c>
      <c r="P106" s="67">
        <f t="shared" si="47"/>
        <v>1.100000000041875</v>
      </c>
      <c r="Q106" s="67">
        <f t="shared" si="48"/>
        <v>1.4806917558431857E-2</v>
      </c>
      <c r="R106" s="52">
        <v>1.1000000000000001</v>
      </c>
      <c r="S106" s="52">
        <v>1.1000000000000001</v>
      </c>
      <c r="T106" s="58">
        <v>5604</v>
      </c>
      <c r="U106" s="44">
        <v>11749440857</v>
      </c>
      <c r="V106" s="44">
        <v>11940296105</v>
      </c>
    </row>
    <row r="107" spans="1:22">
      <c r="A107" s="140">
        <v>97</v>
      </c>
      <c r="B107" s="43" t="s">
        <v>173</v>
      </c>
      <c r="C107" s="43" t="s">
        <v>54</v>
      </c>
      <c r="D107" s="44">
        <v>14765469286.709999</v>
      </c>
      <c r="E107" s="44">
        <v>165862766.52000001</v>
      </c>
      <c r="F107" s="52">
        <v>0</v>
      </c>
      <c r="G107" s="44">
        <v>25765922.850000001</v>
      </c>
      <c r="H107" s="45">
        <f t="shared" si="36"/>
        <v>140096843.67000002</v>
      </c>
      <c r="I107" s="52">
        <v>14926683870.879999</v>
      </c>
      <c r="J107" s="47">
        <f t="shared" si="42"/>
        <v>6.4131883738578768E-2</v>
      </c>
      <c r="K107" s="44">
        <v>14990240674.280001</v>
      </c>
      <c r="L107" s="47">
        <f t="shared" si="43"/>
        <v>6.3759532333560021E-2</v>
      </c>
      <c r="M107" s="47">
        <f t="shared" si="44"/>
        <v>4.2579318989928172E-3</v>
      </c>
      <c r="N107" s="49">
        <f t="shared" si="45"/>
        <v>1.7188465088628451E-3</v>
      </c>
      <c r="O107" s="50">
        <f t="shared" si="46"/>
        <v>9.3458702040972418E-3</v>
      </c>
      <c r="P107" s="67">
        <f t="shared" si="47"/>
        <v>261.16146431983077</v>
      </c>
      <c r="Q107" s="67">
        <f t="shared" si="48"/>
        <v>2.4407811478451116</v>
      </c>
      <c r="R107" s="52">
        <v>261.16000000000003</v>
      </c>
      <c r="S107" s="52">
        <v>261.16000000000003</v>
      </c>
      <c r="T107" s="59">
        <v>5922</v>
      </c>
      <c r="U107" s="44">
        <v>57577317.060000002</v>
      </c>
      <c r="V107" s="44">
        <v>57398363.549999997</v>
      </c>
    </row>
    <row r="108" spans="1:22">
      <c r="A108" s="140">
        <v>98</v>
      </c>
      <c r="B108" s="54" t="s">
        <v>174</v>
      </c>
      <c r="C108" s="43" t="s">
        <v>54</v>
      </c>
      <c r="D108" s="44">
        <v>1345798449.9400001</v>
      </c>
      <c r="E108" s="44">
        <v>14716754.140000001</v>
      </c>
      <c r="F108" s="44">
        <v>-10091112.710000001</v>
      </c>
      <c r="G108" s="44">
        <v>2561230.5299999998</v>
      </c>
      <c r="H108" s="45">
        <f t="shared" si="36"/>
        <v>2064410.9</v>
      </c>
      <c r="I108" s="52">
        <v>1323485008.25</v>
      </c>
      <c r="J108" s="47">
        <f t="shared" si="42"/>
        <v>5.6862989404114052E-3</v>
      </c>
      <c r="K108" s="44">
        <v>1358763833.4300001</v>
      </c>
      <c r="L108" s="47">
        <f t="shared" si="43"/>
        <v>5.7793699550066227E-3</v>
      </c>
      <c r="M108" s="47">
        <f t="shared" si="44"/>
        <v>2.6656006649178502E-2</v>
      </c>
      <c r="N108" s="49">
        <f t="shared" si="45"/>
        <v>1.884971079583822E-3</v>
      </c>
      <c r="O108" s="50">
        <f t="shared" si="46"/>
        <v>1.5193301802776847E-3</v>
      </c>
      <c r="P108" s="67">
        <f t="shared" si="47"/>
        <v>11128.217657531372</v>
      </c>
      <c r="Q108" s="67">
        <f t="shared" si="48"/>
        <v>16.90743693978645</v>
      </c>
      <c r="R108" s="44">
        <v>11096.16</v>
      </c>
      <c r="S108" s="44">
        <v>11150.19</v>
      </c>
      <c r="T108" s="58">
        <v>32</v>
      </c>
      <c r="U108" s="44">
        <v>120121.31</v>
      </c>
      <c r="V108" s="44">
        <v>122100.76</v>
      </c>
    </row>
    <row r="109" spans="1:22">
      <c r="A109" s="140">
        <v>99</v>
      </c>
      <c r="B109" s="43" t="s">
        <v>175</v>
      </c>
      <c r="C109" s="43" t="s">
        <v>54</v>
      </c>
      <c r="D109" s="44">
        <v>5958288916.1000004</v>
      </c>
      <c r="E109" s="44">
        <v>86525904.25</v>
      </c>
      <c r="F109" s="52">
        <v>0</v>
      </c>
      <c r="G109" s="44">
        <v>8869020.9900000002</v>
      </c>
      <c r="H109" s="45">
        <f t="shared" si="36"/>
        <v>77656883.260000005</v>
      </c>
      <c r="I109" s="52">
        <v>6548027183.96</v>
      </c>
      <c r="J109" s="47">
        <f t="shared" si="42"/>
        <v>2.8133329660583125E-2</v>
      </c>
      <c r="K109" s="44">
        <v>6101289235.9399996</v>
      </c>
      <c r="L109" s="47">
        <f t="shared" si="43"/>
        <v>2.5951240995268611E-2</v>
      </c>
      <c r="M109" s="47">
        <f t="shared" si="44"/>
        <v>-6.822481572989289E-2</v>
      </c>
      <c r="N109" s="49">
        <f t="shared" si="45"/>
        <v>1.4536306421528938E-3</v>
      </c>
      <c r="O109" s="50">
        <f t="shared" si="46"/>
        <v>1.2727946546536036E-2</v>
      </c>
      <c r="P109" s="67">
        <f t="shared" si="47"/>
        <v>179.6345743561703</v>
      </c>
      <c r="Q109" s="67">
        <f t="shared" si="48"/>
        <v>2.2863792603150888</v>
      </c>
      <c r="R109" s="52">
        <v>179.63</v>
      </c>
      <c r="S109" s="52">
        <v>179.63</v>
      </c>
      <c r="T109" s="59">
        <v>7213</v>
      </c>
      <c r="U109" s="44">
        <v>36881276.43</v>
      </c>
      <c r="V109" s="44">
        <v>33965005.109999999</v>
      </c>
    </row>
    <row r="110" spans="1:22">
      <c r="A110" s="140">
        <v>100</v>
      </c>
      <c r="B110" s="43" t="s">
        <v>176</v>
      </c>
      <c r="C110" s="43" t="s">
        <v>54</v>
      </c>
      <c r="D110" s="44">
        <v>5789952398.4700003</v>
      </c>
      <c r="E110" s="44">
        <v>69475542.620000005</v>
      </c>
      <c r="F110" s="52">
        <v>0</v>
      </c>
      <c r="G110" s="44">
        <v>10227259.039999999</v>
      </c>
      <c r="H110" s="45">
        <f t="shared" si="36"/>
        <v>59248283.580000006</v>
      </c>
      <c r="I110" s="52">
        <v>5709125511.1700001</v>
      </c>
      <c r="J110" s="47">
        <f t="shared" si="42"/>
        <v>2.4529023103758072E-2</v>
      </c>
      <c r="K110" s="44">
        <v>6002906078.3599997</v>
      </c>
      <c r="L110" s="47">
        <f t="shared" si="43"/>
        <v>2.5532777792902379E-2</v>
      </c>
      <c r="M110" s="47">
        <f t="shared" si="44"/>
        <v>5.1458067722493221E-2</v>
      </c>
      <c r="N110" s="49">
        <f t="shared" si="45"/>
        <v>1.7037179836726843E-3</v>
      </c>
      <c r="O110" s="50">
        <f t="shared" si="46"/>
        <v>9.8699334633246E-3</v>
      </c>
      <c r="P110" s="67">
        <f t="shared" si="47"/>
        <v>400.92524564514116</v>
      </c>
      <c r="Q110" s="67">
        <f t="shared" si="48"/>
        <v>3.9571054982846143</v>
      </c>
      <c r="R110" s="52">
        <v>400.93</v>
      </c>
      <c r="S110" s="52">
        <v>400.93</v>
      </c>
      <c r="T110" s="59">
        <v>14377</v>
      </c>
      <c r="U110" s="44">
        <v>14383641.710000001</v>
      </c>
      <c r="V110" s="44">
        <v>14972631.789999999</v>
      </c>
    </row>
    <row r="111" spans="1:22">
      <c r="A111" s="140">
        <v>101</v>
      </c>
      <c r="B111" s="43" t="s">
        <v>177</v>
      </c>
      <c r="C111" s="43" t="s">
        <v>178</v>
      </c>
      <c r="D111" s="44">
        <v>122446882.2</v>
      </c>
      <c r="E111" s="44">
        <v>1851809.21</v>
      </c>
      <c r="F111" s="52">
        <v>0</v>
      </c>
      <c r="G111" s="44">
        <v>371935.63</v>
      </c>
      <c r="H111" s="45">
        <f t="shared" ref="H111" si="50">(E111+F111)-G111</f>
        <v>1479873.58</v>
      </c>
      <c r="I111" s="52">
        <v>117327158</v>
      </c>
      <c r="J111" s="47">
        <f t="shared" si="42"/>
        <v>5.040913119968328E-4</v>
      </c>
      <c r="K111" s="44">
        <v>119516459.26000001</v>
      </c>
      <c r="L111" s="47">
        <f t="shared" si="43"/>
        <v>5.0835164785948924E-4</v>
      </c>
      <c r="M111" s="47">
        <f t="shared" si="44"/>
        <v>1.8659799634795596E-2</v>
      </c>
      <c r="N111" s="49">
        <f t="shared" si="45"/>
        <v>3.1120034203061444E-3</v>
      </c>
      <c r="O111" s="50">
        <f t="shared" si="46"/>
        <v>1.238217387933686E-2</v>
      </c>
      <c r="P111" s="67">
        <f t="shared" si="47"/>
        <v>124.32034405218232</v>
      </c>
      <c r="Q111" s="67">
        <f t="shared" si="48"/>
        <v>1.5393561167931036</v>
      </c>
      <c r="R111" s="52">
        <v>124.3203</v>
      </c>
      <c r="S111" s="52">
        <v>124.3203</v>
      </c>
      <c r="T111" s="58">
        <v>20</v>
      </c>
      <c r="U111" s="44">
        <v>959685.52</v>
      </c>
      <c r="V111" s="44">
        <v>961358.82</v>
      </c>
    </row>
    <row r="112" spans="1:22">
      <c r="A112" s="140">
        <v>102</v>
      </c>
      <c r="B112" s="43" t="s">
        <v>179</v>
      </c>
      <c r="C112" s="43" t="s">
        <v>57</v>
      </c>
      <c r="D112" s="52">
        <v>72662151543.369995</v>
      </c>
      <c r="E112" s="52">
        <v>684987900.14999998</v>
      </c>
      <c r="F112" s="52">
        <v>0</v>
      </c>
      <c r="G112" s="52">
        <v>118286409.78</v>
      </c>
      <c r="H112" s="45">
        <f t="shared" si="36"/>
        <v>566701490.37</v>
      </c>
      <c r="I112" s="52">
        <v>76922801808.589996</v>
      </c>
      <c r="J112" s="47">
        <f t="shared" si="42"/>
        <v>0.33049565630972216</v>
      </c>
      <c r="K112" s="52">
        <v>76678748537.990005</v>
      </c>
      <c r="L112" s="47">
        <f t="shared" si="43"/>
        <v>0.32614560719451002</v>
      </c>
      <c r="M112" s="47">
        <f t="shared" si="44"/>
        <v>-3.1727038649382285E-3</v>
      </c>
      <c r="N112" s="49">
        <f t="shared" si="45"/>
        <v>1.5426231131223502E-3</v>
      </c>
      <c r="O112" s="50">
        <f t="shared" si="46"/>
        <v>7.3905938891168955E-3</v>
      </c>
      <c r="P112" s="67">
        <f t="shared" si="47"/>
        <v>1.9271253425244887</v>
      </c>
      <c r="Q112" s="67">
        <f t="shared" si="48"/>
        <v>1.4242600780023791E-2</v>
      </c>
      <c r="R112" s="52">
        <v>1.9271253425244901</v>
      </c>
      <c r="S112" s="52">
        <v>1.9271253425244901</v>
      </c>
      <c r="T112" s="58">
        <v>1389</v>
      </c>
      <c r="U112" s="52">
        <v>40173127955.639999</v>
      </c>
      <c r="V112" s="52">
        <v>39789185916.440002</v>
      </c>
    </row>
    <row r="113" spans="1:23">
      <c r="A113" s="140">
        <v>103</v>
      </c>
      <c r="B113" s="43" t="s">
        <v>180</v>
      </c>
      <c r="C113" s="43" t="s">
        <v>57</v>
      </c>
      <c r="D113" s="52">
        <v>38945421024.080002</v>
      </c>
      <c r="E113" s="52">
        <v>815434409.64999998</v>
      </c>
      <c r="F113" s="52">
        <v>0</v>
      </c>
      <c r="G113" s="52">
        <v>102236114.14</v>
      </c>
      <c r="H113" s="45">
        <f t="shared" si="36"/>
        <v>713198295.50999999</v>
      </c>
      <c r="I113" s="52">
        <v>53872422429.809998</v>
      </c>
      <c r="J113" s="47">
        <f t="shared" si="42"/>
        <v>0.23146064871945951</v>
      </c>
      <c r="K113" s="52">
        <v>54183801852.389999</v>
      </c>
      <c r="L113" s="47">
        <f t="shared" si="43"/>
        <v>0.23046553696034</v>
      </c>
      <c r="M113" s="47">
        <f t="shared" si="44"/>
        <v>5.7799409890226467E-3</v>
      </c>
      <c r="N113" s="49">
        <f t="shared" si="45"/>
        <v>1.886839067116706E-3</v>
      </c>
      <c r="O113" s="50">
        <f t="shared" si="46"/>
        <v>1.3162573889756344E-2</v>
      </c>
      <c r="P113" s="67">
        <f t="shared" si="47"/>
        <v>132.91278451800272</v>
      </c>
      <c r="Q113" s="67">
        <f t="shared" si="48"/>
        <v>1.7494743471114738</v>
      </c>
      <c r="R113" s="52">
        <v>132.91278451800301</v>
      </c>
      <c r="S113" s="52">
        <v>132.91278451800301</v>
      </c>
      <c r="T113" s="58">
        <v>261</v>
      </c>
      <c r="U113" s="52">
        <v>419809820.08999997</v>
      </c>
      <c r="V113" s="52">
        <v>407664334.54000002</v>
      </c>
    </row>
    <row r="114" spans="1:23">
      <c r="A114" s="140">
        <v>104</v>
      </c>
      <c r="B114" s="56" t="s">
        <v>181</v>
      </c>
      <c r="C114" s="56" t="s">
        <v>182</v>
      </c>
      <c r="D114" s="44">
        <v>114000000</v>
      </c>
      <c r="E114" s="44">
        <v>4436536.79</v>
      </c>
      <c r="F114" s="52">
        <v>0</v>
      </c>
      <c r="G114" s="44">
        <v>486470.51</v>
      </c>
      <c r="H114" s="45">
        <f t="shared" si="36"/>
        <v>3950066.2800000003</v>
      </c>
      <c r="I114" s="52">
        <v>121205669.77</v>
      </c>
      <c r="J114" s="47">
        <f t="shared" si="42"/>
        <v>5.2075517840306123E-4</v>
      </c>
      <c r="K114" s="44">
        <v>122506684.87</v>
      </c>
      <c r="L114" s="47">
        <f t="shared" si="43"/>
        <v>5.2107028197672246E-4</v>
      </c>
      <c r="M114" s="47">
        <f t="shared" si="44"/>
        <v>1.0733945882802484E-2</v>
      </c>
      <c r="N114" s="49">
        <f t="shared" si="45"/>
        <v>3.9709711393808933E-3</v>
      </c>
      <c r="O114" s="50">
        <f t="shared" si="46"/>
        <v>3.2243679470974819E-2</v>
      </c>
      <c r="P114" s="67">
        <f t="shared" si="47"/>
        <v>122.66625895294672</v>
      </c>
      <c r="Q114" s="67">
        <f t="shared" si="48"/>
        <v>3.9552115355824089</v>
      </c>
      <c r="R114" s="52">
        <v>122.66630000000001</v>
      </c>
      <c r="S114" s="52">
        <v>122.66630000000001</v>
      </c>
      <c r="T114" s="58">
        <v>82</v>
      </c>
      <c r="U114" s="44">
        <v>997877.91</v>
      </c>
      <c r="V114" s="44">
        <v>998699.12</v>
      </c>
    </row>
    <row r="115" spans="1:23">
      <c r="A115" s="140">
        <v>105</v>
      </c>
      <c r="B115" s="56" t="s">
        <v>183</v>
      </c>
      <c r="C115" s="56" t="s">
        <v>59</v>
      </c>
      <c r="D115" s="44">
        <v>516215352.31999999</v>
      </c>
      <c r="E115" s="44">
        <v>7180805.0899999999</v>
      </c>
      <c r="F115" s="52"/>
      <c r="G115" s="44">
        <v>1056875.2</v>
      </c>
      <c r="H115" s="45">
        <f t="shared" si="36"/>
        <v>6123929.8899999997</v>
      </c>
      <c r="I115" s="52">
        <v>529083308.75999999</v>
      </c>
      <c r="J115" s="47">
        <f t="shared" si="42"/>
        <v>2.2731846898435379E-3</v>
      </c>
      <c r="K115" s="52">
        <v>540042909.20000005</v>
      </c>
      <c r="L115" s="47">
        <f t="shared" si="43"/>
        <v>2.2970200464977573E-3</v>
      </c>
      <c r="M115" s="47">
        <f t="shared" si="44"/>
        <v>2.0714319009015447E-2</v>
      </c>
      <c r="N115" s="49">
        <f t="shared" si="45"/>
        <v>1.95702078852515E-3</v>
      </c>
      <c r="O115" s="50">
        <f t="shared" si="46"/>
        <v>1.1339709837264166E-2</v>
      </c>
      <c r="P115" s="67">
        <f t="shared" si="47"/>
        <v>1.5031222990525281</v>
      </c>
      <c r="Q115" s="67">
        <f t="shared" si="48"/>
        <v>1.7044970721177083E-2</v>
      </c>
      <c r="R115" s="52">
        <v>1.5031000000000001</v>
      </c>
      <c r="S115" s="52">
        <v>1.5</v>
      </c>
      <c r="T115" s="58">
        <v>60</v>
      </c>
      <c r="U115" s="44">
        <v>358502554.5</v>
      </c>
      <c r="V115" s="44">
        <v>359280751.5</v>
      </c>
    </row>
    <row r="116" spans="1:23">
      <c r="A116" s="140">
        <v>106</v>
      </c>
      <c r="B116" s="54" t="s">
        <v>184</v>
      </c>
      <c r="C116" s="54" t="s">
        <v>139</v>
      </c>
      <c r="D116" s="44">
        <v>2015226166.6300001</v>
      </c>
      <c r="E116" s="44">
        <v>20948079.969999999</v>
      </c>
      <c r="F116" s="52">
        <v>0</v>
      </c>
      <c r="G116" s="44">
        <v>6756.95</v>
      </c>
      <c r="H116" s="45">
        <f t="shared" si="36"/>
        <v>20941323.02</v>
      </c>
      <c r="I116" s="52">
        <v>2123579902.76</v>
      </c>
      <c r="J116" s="47">
        <f t="shared" si="42"/>
        <v>9.1238737693824894E-3</v>
      </c>
      <c r="K116" s="44">
        <v>2077293427.29</v>
      </c>
      <c r="L116" s="47">
        <f t="shared" si="43"/>
        <v>8.8355657738597351E-3</v>
      </c>
      <c r="M116" s="47">
        <f t="shared" si="44"/>
        <v>-2.179643695527626E-2</v>
      </c>
      <c r="N116" s="49">
        <f t="shared" si="45"/>
        <v>3.2527662732823436E-6</v>
      </c>
      <c r="O116" s="50">
        <f t="shared" si="46"/>
        <v>1.0081061608768328E-2</v>
      </c>
      <c r="P116" s="67">
        <f t="shared" si="47"/>
        <v>32.962145375114083</v>
      </c>
      <c r="Q116" s="67">
        <f t="shared" si="48"/>
        <v>0.33229341828370301</v>
      </c>
      <c r="R116" s="52">
        <v>32.904299999999999</v>
      </c>
      <c r="S116" s="52">
        <v>32.904299999999999</v>
      </c>
      <c r="T116" s="71">
        <v>1370</v>
      </c>
      <c r="U116" s="44">
        <v>65155039.609999999</v>
      </c>
      <c r="V116" s="44">
        <v>63020577.200000003</v>
      </c>
    </row>
    <row r="117" spans="1:23">
      <c r="A117" s="144" t="s">
        <v>62</v>
      </c>
      <c r="B117" s="144"/>
      <c r="C117" s="144"/>
      <c r="D117" s="144"/>
      <c r="E117" s="144"/>
      <c r="F117" s="144"/>
      <c r="G117" s="144"/>
      <c r="H117" s="144"/>
      <c r="I117" s="64">
        <f>SUM(I79:I116)</f>
        <v>232749811805.39999</v>
      </c>
      <c r="J117" s="62">
        <f>(I117/$I$249)</f>
        <v>2.4631182219885004E-2</v>
      </c>
      <c r="K117" s="64">
        <f>SUM(K79:K116)</f>
        <v>235105875555.32999</v>
      </c>
      <c r="L117" s="62">
        <f>(K117/$K$249)</f>
        <v>2.4562786164223263E-2</v>
      </c>
      <c r="M117" s="62">
        <f t="shared" si="37"/>
        <v>1.0122731063258072E-2</v>
      </c>
      <c r="N117" s="49"/>
      <c r="O117" s="49"/>
      <c r="P117" s="74"/>
      <c r="Q117" s="74"/>
      <c r="R117" s="64"/>
      <c r="S117" s="64"/>
      <c r="T117" s="64">
        <f>SUM(T79:T116)</f>
        <v>69339</v>
      </c>
      <c r="U117" s="64"/>
      <c r="V117" s="52"/>
    </row>
    <row r="118" spans="1:23" ht="7.05" customHeight="1">
      <c r="A118" s="146"/>
      <c r="B118" s="146"/>
      <c r="C118" s="146"/>
      <c r="D118" s="146"/>
      <c r="E118" s="146"/>
      <c r="F118" s="146"/>
      <c r="G118" s="146"/>
      <c r="H118" s="146"/>
      <c r="I118" s="146"/>
      <c r="J118" s="146"/>
      <c r="K118" s="146"/>
      <c r="L118" s="146"/>
      <c r="M118" s="146"/>
      <c r="N118" s="146"/>
      <c r="O118" s="146"/>
      <c r="P118" s="146"/>
      <c r="Q118" s="146"/>
      <c r="R118" s="146"/>
      <c r="S118" s="146"/>
      <c r="T118" s="146"/>
      <c r="U118" s="146"/>
      <c r="V118" s="146"/>
      <c r="W118" s="37"/>
    </row>
    <row r="119" spans="1:23">
      <c r="A119" s="143" t="s">
        <v>185</v>
      </c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</row>
    <row r="120" spans="1:23">
      <c r="A120" s="150" t="s">
        <v>186</v>
      </c>
      <c r="B120" s="150"/>
      <c r="C120" s="150"/>
      <c r="D120" s="150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  <c r="Q120" s="150"/>
      <c r="R120" s="150"/>
      <c r="S120" s="150"/>
      <c r="T120" s="150"/>
      <c r="U120" s="150"/>
      <c r="V120" s="150"/>
    </row>
    <row r="121" spans="1:23">
      <c r="A121" s="75">
        <v>107</v>
      </c>
      <c r="B121" s="43" t="s">
        <v>187</v>
      </c>
      <c r="C121" s="43" t="s">
        <v>24</v>
      </c>
      <c r="D121" s="59">
        <v>4391830101.6999998</v>
      </c>
      <c r="E121" s="59">
        <v>29380820.559999999</v>
      </c>
      <c r="F121" s="59">
        <v>20872146.68</v>
      </c>
      <c r="G121" s="59">
        <v>8331758.1399999997</v>
      </c>
      <c r="H121" s="45">
        <f t="shared" ref="H121:H136" si="51">(E121+F121)-G121</f>
        <v>41921209.099999994</v>
      </c>
      <c r="I121" s="46">
        <v>4533893496.1999998</v>
      </c>
      <c r="J121" s="47">
        <f t="shared" ref="J121:J138" si="52">(I121/$I$161)</f>
        <v>2.491975855654107E-3</v>
      </c>
      <c r="K121" s="48">
        <v>4455521713.9099998</v>
      </c>
      <c r="L121" s="47">
        <f t="shared" ref="L121" si="53">(K121/$K$161)</f>
        <v>2.5423662520557009E-3</v>
      </c>
      <c r="M121" s="47">
        <f t="shared" ref="M121" si="54">((K121-I121)/I121)</f>
        <v>-1.7285757231766879E-2</v>
      </c>
      <c r="N121" s="49">
        <f t="shared" ref="N121" si="55">(G121/K121)</f>
        <v>1.869984858111792E-3</v>
      </c>
      <c r="O121" s="50">
        <f t="shared" ref="O121" si="56">H121/K121</f>
        <v>9.4088216356623938E-3</v>
      </c>
      <c r="P121" s="67">
        <f t="shared" ref="P121" si="57">K121/V121</f>
        <v>160186.09301389987</v>
      </c>
      <c r="Q121" s="67">
        <f t="shared" ref="Q121" si="58">H121/V121</f>
        <v>1507.1623776814095</v>
      </c>
      <c r="R121" s="52">
        <f>120.22*C251</f>
        <v>160245.998712</v>
      </c>
      <c r="S121" s="52">
        <f>120.22*C251</f>
        <v>160245.998712</v>
      </c>
      <c r="T121" s="52">
        <v>159</v>
      </c>
      <c r="U121" s="44">
        <v>27563.31</v>
      </c>
      <c r="V121" s="44">
        <v>27814.66</v>
      </c>
    </row>
    <row r="122" spans="1:23">
      <c r="A122" s="75">
        <v>108</v>
      </c>
      <c r="B122" s="56" t="s">
        <v>188</v>
      </c>
      <c r="C122" s="57" t="s">
        <v>66</v>
      </c>
      <c r="D122" s="58">
        <f>3826876.93745976*1332.9396</f>
        <v>5100995814.2668371</v>
      </c>
      <c r="E122" s="58">
        <f>29428.0420573828*1332.9396</f>
        <v>39225802.608751006</v>
      </c>
      <c r="F122" s="58">
        <v>0</v>
      </c>
      <c r="G122" s="58">
        <f>7089.8*1332.9396</f>
        <v>9450275.1760799997</v>
      </c>
      <c r="H122" s="45">
        <f t="shared" si="51"/>
        <v>29775527.432671007</v>
      </c>
      <c r="I122" s="46">
        <v>5562353417.184864</v>
      </c>
      <c r="J122" s="47">
        <f t="shared" si="52"/>
        <v>3.0572509980345487E-3</v>
      </c>
      <c r="K122" s="46">
        <f>4151510.36039888*1332.9396</f>
        <v>5533712559.1859388</v>
      </c>
      <c r="L122" s="47">
        <f t="shared" ref="L122:L138" si="59">(K122/$K$161)</f>
        <v>3.1575929739336693E-3</v>
      </c>
      <c r="M122" s="47">
        <f t="shared" ref="M122:M138" si="60">((K122-I122)/I122)</f>
        <v>-5.1490539796409584E-3</v>
      </c>
      <c r="N122" s="49">
        <f t="shared" ref="N122:N138" si="61">(G122/K122)</f>
        <v>1.7077640146654499E-3</v>
      </c>
      <c r="O122" s="50">
        <f t="shared" ref="O122:O138" si="62">H122/K122</f>
        <v>5.3807506469131221E-3</v>
      </c>
      <c r="P122" s="67">
        <f t="shared" ref="P122:P138" si="63">K122/V122</f>
        <v>144895.26777915753</v>
      </c>
      <c r="Q122" s="67">
        <f t="shared" ref="Q122:Q138" si="64">H122/V122</f>
        <v>779.64530583735188</v>
      </c>
      <c r="R122" s="52">
        <f>108.9819*C251</f>
        <v>145266.29019323998</v>
      </c>
      <c r="S122" s="52">
        <f>108.9819*C251</f>
        <v>145266.29019323998</v>
      </c>
      <c r="T122" s="52">
        <v>124</v>
      </c>
      <c r="U122" s="52">
        <v>37638.71</v>
      </c>
      <c r="V122" s="52">
        <v>38191.120000000003</v>
      </c>
    </row>
    <row r="123" spans="1:23" ht="13.05" customHeight="1">
      <c r="A123" s="75">
        <v>109</v>
      </c>
      <c r="B123" s="43" t="s">
        <v>189</v>
      </c>
      <c r="C123" s="54" t="s">
        <v>28</v>
      </c>
      <c r="D123" s="59">
        <f>(8241434+4280973)*C251</f>
        <v>16691612177.617199</v>
      </c>
      <c r="E123" s="59">
        <f>85323*C251</f>
        <v>113730405.49079999</v>
      </c>
      <c r="F123" s="59">
        <f>5739*C251</f>
        <v>7649740.3643999994</v>
      </c>
      <c r="G123" s="59">
        <f>24299*C251</f>
        <v>32389099.340399999</v>
      </c>
      <c r="H123" s="45">
        <f t="shared" si="51"/>
        <v>88991046.514799997</v>
      </c>
      <c r="I123" s="46">
        <v>17666232523.099197</v>
      </c>
      <c r="J123" s="47">
        <f t="shared" si="52"/>
        <v>9.7099380355608941E-3</v>
      </c>
      <c r="K123" s="48">
        <f>12775159*C251</f>
        <v>17028515327.396399</v>
      </c>
      <c r="L123" s="47">
        <f t="shared" si="59"/>
        <v>9.716644979156381E-3</v>
      </c>
      <c r="M123" s="47">
        <f t="shared" si="60"/>
        <v>-3.6098086837075306E-2</v>
      </c>
      <c r="N123" s="49">
        <f t="shared" si="61"/>
        <v>1.9020506907193877E-3</v>
      </c>
      <c r="O123" s="50">
        <f t="shared" si="62"/>
        <v>5.2260014924276092E-3</v>
      </c>
      <c r="P123" s="67">
        <f t="shared" si="63"/>
        <v>1665.2290136345935</v>
      </c>
      <c r="Q123" s="67">
        <f t="shared" si="64"/>
        <v>8.7024893104881418</v>
      </c>
      <c r="R123" s="52">
        <f>1.2493*C251</f>
        <v>1665.24144228</v>
      </c>
      <c r="S123" s="52">
        <f>1.25*C251</f>
        <v>1666.1744999999999</v>
      </c>
      <c r="T123" s="52">
        <v>354</v>
      </c>
      <c r="U123" s="44">
        <v>10388832</v>
      </c>
      <c r="V123" s="44">
        <v>10225930</v>
      </c>
    </row>
    <row r="124" spans="1:23" ht="13.05" customHeight="1">
      <c r="A124" s="75">
        <v>110</v>
      </c>
      <c r="B124" s="43" t="s">
        <v>190</v>
      </c>
      <c r="C124" s="54" t="s">
        <v>28</v>
      </c>
      <c r="D124" s="59">
        <f>1216508*C251</f>
        <v>1621531686.9168</v>
      </c>
      <c r="E124" s="59">
        <f>20900*C251</f>
        <v>27858437.639999997</v>
      </c>
      <c r="F124" s="59">
        <f>27*C251</f>
        <v>35989.369200000001</v>
      </c>
      <c r="G124" s="59">
        <f>5725*C251</f>
        <v>7631079.21</v>
      </c>
      <c r="H124" s="45">
        <f t="shared" si="51"/>
        <v>20263347.799199995</v>
      </c>
      <c r="I124" s="46">
        <v>4387720774.5</v>
      </c>
      <c r="J124" s="47">
        <f t="shared" si="52"/>
        <v>2.4116345566057408E-3</v>
      </c>
      <c r="K124" s="48">
        <f>2310570*C251</f>
        <v>3079850251.572</v>
      </c>
      <c r="L124" s="47">
        <f t="shared" si="59"/>
        <v>1.7573940480497632E-3</v>
      </c>
      <c r="M124" s="47">
        <f t="shared" si="60"/>
        <v>-0.29807514884012587</v>
      </c>
      <c r="N124" s="49">
        <f t="shared" si="61"/>
        <v>2.4777435870802444E-3</v>
      </c>
      <c r="O124" s="50">
        <f t="shared" si="62"/>
        <v>6.5793289101823338E-3</v>
      </c>
      <c r="P124" s="67">
        <f t="shared" si="63"/>
        <v>1430.8320514399841</v>
      </c>
      <c r="Q124" s="67">
        <f t="shared" si="64"/>
        <v>9.4139146816545836</v>
      </c>
      <c r="R124" s="52">
        <f>1.0734*C251</f>
        <v>1430.7773666399999</v>
      </c>
      <c r="S124" s="52">
        <f>1.0734*C251</f>
        <v>1430.7773666399999</v>
      </c>
      <c r="T124" s="52">
        <v>127</v>
      </c>
      <c r="U124" s="44">
        <v>3004607</v>
      </c>
      <c r="V124" s="44">
        <v>2152489</v>
      </c>
    </row>
    <row r="125" spans="1:23" ht="13.05" customHeight="1">
      <c r="A125" s="75">
        <v>111</v>
      </c>
      <c r="B125" s="57" t="s">
        <v>191</v>
      </c>
      <c r="C125" s="57" t="s">
        <v>32</v>
      </c>
      <c r="D125" s="59">
        <f>35303558.07*1332.9396</f>
        <v>47057510572.402573</v>
      </c>
      <c r="E125" s="59">
        <f>208973.09*1332.9396</f>
        <v>278548506.99536395</v>
      </c>
      <c r="F125" s="58">
        <v>0</v>
      </c>
      <c r="G125" s="58">
        <f>44463.45*1332.9396</f>
        <v>59267093.257619992</v>
      </c>
      <c r="H125" s="45">
        <f t="shared" si="51"/>
        <v>219281413.73774397</v>
      </c>
      <c r="I125" s="46">
        <v>48167564935.654076</v>
      </c>
      <c r="J125" s="47">
        <f t="shared" si="52"/>
        <v>2.6474465918951185E-2</v>
      </c>
      <c r="K125" s="46">
        <f>35663672.84*1332.9396</f>
        <v>47537521809.880463</v>
      </c>
      <c r="L125" s="47">
        <f t="shared" si="59"/>
        <v>2.7125396062707464E-2</v>
      </c>
      <c r="M125" s="47">
        <f t="shared" si="60"/>
        <v>-1.3080236184147422E-2</v>
      </c>
      <c r="N125" s="49">
        <f t="shared" si="61"/>
        <v>1.246743435525526E-3</v>
      </c>
      <c r="O125" s="50">
        <f t="shared" si="62"/>
        <v>4.6128070077933112E-3</v>
      </c>
      <c r="P125" s="67">
        <f t="shared" si="63"/>
        <v>1737.0946276638085</v>
      </c>
      <c r="Q125" s="67">
        <f t="shared" si="64"/>
        <v>8.0128822716877295</v>
      </c>
      <c r="R125" s="52">
        <f>1.3026*C251</f>
        <v>1736.2871229599998</v>
      </c>
      <c r="S125" s="52">
        <f>1.3*C251</f>
        <v>1732.8214800000001</v>
      </c>
      <c r="T125" s="52">
        <v>653</v>
      </c>
      <c r="U125" s="44">
        <v>26989091.77</v>
      </c>
      <c r="V125" s="44">
        <v>27366109.510000002</v>
      </c>
    </row>
    <row r="126" spans="1:23" ht="13.05" customHeight="1">
      <c r="A126" s="75">
        <v>112</v>
      </c>
      <c r="B126" s="56" t="s">
        <v>192</v>
      </c>
      <c r="C126" s="57" t="s">
        <v>80</v>
      </c>
      <c r="D126" s="59">
        <f>1009140.49*1332.9396</f>
        <v>1345123321.084404</v>
      </c>
      <c r="E126" s="59">
        <f>25400.78*1332.9396</f>
        <v>33857705.532887995</v>
      </c>
      <c r="F126" s="58">
        <v>0</v>
      </c>
      <c r="G126" s="59">
        <f>1745.08*1332.9396</f>
        <v>2326086.2371679996</v>
      </c>
      <c r="H126" s="45">
        <f t="shared" si="51"/>
        <v>31531619.295719996</v>
      </c>
      <c r="I126" s="46">
        <v>1359508083.4118879</v>
      </c>
      <c r="J126" s="47">
        <f t="shared" si="52"/>
        <v>7.4723001814411586E-4</v>
      </c>
      <c r="K126" s="48">
        <f>989277.72*1332.9396</f>
        <v>1318647448.3857119</v>
      </c>
      <c r="L126" s="47">
        <f t="shared" si="59"/>
        <v>7.5243371851804535E-4</v>
      </c>
      <c r="M126" s="47">
        <f t="shared" si="60"/>
        <v>-3.0055455737806377E-2</v>
      </c>
      <c r="N126" s="49">
        <f t="shared" si="61"/>
        <v>1.763994037993699E-3</v>
      </c>
      <c r="O126" s="50">
        <f t="shared" si="62"/>
        <v>2.3912092147390117E-2</v>
      </c>
      <c r="P126" s="67">
        <f t="shared" si="63"/>
        <v>1449.6151467280304</v>
      </c>
      <c r="Q126" s="67">
        <f t="shared" si="64"/>
        <v>34.663330966813106</v>
      </c>
      <c r="R126" s="52">
        <f>1.0875*C251</f>
        <v>1449.5718149999998</v>
      </c>
      <c r="S126" s="52">
        <f>1.0942*C251</f>
        <v>1458.5025103200001</v>
      </c>
      <c r="T126" s="52">
        <v>84</v>
      </c>
      <c r="U126" s="44">
        <v>910002.88</v>
      </c>
      <c r="V126" s="44">
        <v>909653.47</v>
      </c>
    </row>
    <row r="127" spans="1:23" ht="13.05" customHeight="1">
      <c r="A127" s="75">
        <v>113</v>
      </c>
      <c r="B127" s="56" t="s">
        <v>193</v>
      </c>
      <c r="C127" s="57" t="s">
        <v>34</v>
      </c>
      <c r="D127" s="58">
        <f>844128.5*1332.9396</f>
        <v>1125172305.1385999</v>
      </c>
      <c r="E127" s="58">
        <f>5457.37*1332.9396</f>
        <v>7274344.5848519998</v>
      </c>
      <c r="F127" s="58">
        <v>0</v>
      </c>
      <c r="G127" s="58">
        <f>1238*1332.9396</f>
        <v>1650179.2248</v>
      </c>
      <c r="H127" s="45">
        <f t="shared" si="51"/>
        <v>5624165.3600519998</v>
      </c>
      <c r="I127" s="46">
        <v>1076667191.1354959</v>
      </c>
      <c r="J127" s="47">
        <f t="shared" si="52"/>
        <v>5.9177143158155635E-4</v>
      </c>
      <c r="K127" s="46">
        <f>870807.14*1332.9396</f>
        <v>1160733320.8687439</v>
      </c>
      <c r="L127" s="47">
        <f t="shared" si="59"/>
        <v>6.6232630252934844E-4</v>
      </c>
      <c r="M127" s="47">
        <f t="shared" si="60"/>
        <v>7.8079958621743203E-2</v>
      </c>
      <c r="N127" s="49">
        <f t="shared" si="61"/>
        <v>1.4216695559018959E-3</v>
      </c>
      <c r="O127" s="50">
        <f t="shared" si="62"/>
        <v>4.8453553102469973E-3</v>
      </c>
      <c r="P127" s="67">
        <f t="shared" si="63"/>
        <v>1984.6620324940122</v>
      </c>
      <c r="Q127" s="67">
        <f t="shared" si="64"/>
        <v>9.6163927181904594</v>
      </c>
      <c r="R127" s="52">
        <f>1.49*C251</f>
        <v>1986.0800039999999</v>
      </c>
      <c r="S127" s="52">
        <f>1.51*C251</f>
        <v>2012.7387959999999</v>
      </c>
      <c r="T127" s="52">
        <v>88</v>
      </c>
      <c r="U127" s="52">
        <v>527787.97</v>
      </c>
      <c r="V127" s="52">
        <v>584851.87999999989</v>
      </c>
    </row>
    <row r="128" spans="1:23" ht="13.05" customHeight="1">
      <c r="A128" s="75">
        <v>114</v>
      </c>
      <c r="B128" s="56" t="s">
        <v>194</v>
      </c>
      <c r="C128" s="57" t="s">
        <v>195</v>
      </c>
      <c r="D128" s="59">
        <f>1002544.4*1332.9396</f>
        <v>1336331131.51824</v>
      </c>
      <c r="E128" s="59">
        <f>16839.09*1332.9396</f>
        <v>22445489.888963997</v>
      </c>
      <c r="F128" s="58">
        <v>0</v>
      </c>
      <c r="G128" s="59">
        <f>5219.38*1332.9396</f>
        <v>6957118.2894479996</v>
      </c>
      <c r="H128" s="45">
        <f t="shared" si="51"/>
        <v>15488371.599515997</v>
      </c>
      <c r="I128" s="46">
        <v>4086625061.9714398</v>
      </c>
      <c r="J128" s="47">
        <f t="shared" si="52"/>
        <v>2.2461425249797199E-3</v>
      </c>
      <c r="K128" s="48">
        <f>2982099.51*1332.9396</f>
        <v>3974958528.0195956</v>
      </c>
      <c r="L128" s="47">
        <f t="shared" si="59"/>
        <v>2.2681519839546581E-3</v>
      </c>
      <c r="M128" s="47">
        <f t="shared" si="60"/>
        <v>-2.7324878661115746E-2</v>
      </c>
      <c r="N128" s="49">
        <f t="shared" si="61"/>
        <v>1.7502366981710816E-3</v>
      </c>
      <c r="O128" s="50">
        <f t="shared" si="62"/>
        <v>3.8964863382442926E-3</v>
      </c>
      <c r="P128" s="67">
        <f t="shared" si="63"/>
        <v>144370.70163148205</v>
      </c>
      <c r="Q128" s="67">
        <f t="shared" si="64"/>
        <v>562.53846654981282</v>
      </c>
      <c r="R128" s="52">
        <f>107.69*C251</f>
        <v>143544.26552399999</v>
      </c>
      <c r="S128" s="52">
        <f>106.06*C251</f>
        <v>141371.57397599999</v>
      </c>
      <c r="T128" s="52">
        <v>132</v>
      </c>
      <c r="U128" s="44">
        <v>27514</v>
      </c>
      <c r="V128" s="44">
        <v>27533</v>
      </c>
    </row>
    <row r="129" spans="1:24" ht="15" customHeight="1">
      <c r="A129" s="75">
        <v>115</v>
      </c>
      <c r="B129" s="43" t="s">
        <v>196</v>
      </c>
      <c r="C129" s="54" t="s">
        <v>93</v>
      </c>
      <c r="D129" s="59">
        <f>3318339.75*1332.9396</f>
        <v>4423146459.0290995</v>
      </c>
      <c r="E129" s="59">
        <f>23245.27*1332.9396</f>
        <v>30984540.895691998</v>
      </c>
      <c r="F129" s="58">
        <v>0</v>
      </c>
      <c r="G129" s="59">
        <f>5601*1332.9396</f>
        <v>7465794.6995999999</v>
      </c>
      <c r="H129" s="45">
        <f t="shared" si="51"/>
        <v>23518746.196091998</v>
      </c>
      <c r="I129" s="46">
        <v>4487973224.8104</v>
      </c>
      <c r="J129" s="47">
        <f t="shared" si="52"/>
        <v>2.4667365756216413E-3</v>
      </c>
      <c r="K129" s="48">
        <f>3303809*1332.9396</f>
        <v>4403777846.9363995</v>
      </c>
      <c r="L129" s="47">
        <f t="shared" si="59"/>
        <v>2.5128406724285518E-3</v>
      </c>
      <c r="M129" s="47">
        <f t="shared" si="60"/>
        <v>-1.8760222857068735E-2</v>
      </c>
      <c r="N129" s="49">
        <f t="shared" si="61"/>
        <v>1.6953159217133922E-3</v>
      </c>
      <c r="O129" s="50">
        <f t="shared" si="62"/>
        <v>5.3405841560453405E-3</v>
      </c>
      <c r="P129" s="67">
        <f t="shared" si="63"/>
        <v>155344.13413804525</v>
      </c>
      <c r="Q129" s="67">
        <f t="shared" si="64"/>
        <v>829.62842151222651</v>
      </c>
      <c r="R129" s="52">
        <f>116.24*C251</f>
        <v>154940.89910399998</v>
      </c>
      <c r="S129" s="52">
        <f>116.24*C251</f>
        <v>154940.89910399998</v>
      </c>
      <c r="T129" s="52">
        <v>83</v>
      </c>
      <c r="U129" s="44">
        <v>28290.18</v>
      </c>
      <c r="V129" s="44">
        <v>28348.53</v>
      </c>
    </row>
    <row r="130" spans="1:24" ht="15" customHeight="1">
      <c r="A130" s="75">
        <v>116</v>
      </c>
      <c r="B130" s="43" t="s">
        <v>197</v>
      </c>
      <c r="C130" s="43" t="s">
        <v>198</v>
      </c>
      <c r="D130" s="59">
        <f>4590596.51*1332.9396</f>
        <v>6118987875.8007956</v>
      </c>
      <c r="E130" s="59">
        <f>30113.67*1332.9396</f>
        <v>40139703.244331993</v>
      </c>
      <c r="F130" s="58">
        <v>0</v>
      </c>
      <c r="G130" s="59">
        <f>9269.94*1332.9396</f>
        <v>12356270.115623999</v>
      </c>
      <c r="H130" s="45">
        <f t="shared" si="51"/>
        <v>27783433.128707994</v>
      </c>
      <c r="I130" s="46">
        <v>11530528006.176361</v>
      </c>
      <c r="J130" s="47">
        <f t="shared" si="52"/>
        <v>6.3375545584424715E-3</v>
      </c>
      <c r="K130" s="48">
        <f>4589729.77*1332.9396</f>
        <v>6117832563.7318907</v>
      </c>
      <c r="L130" s="47">
        <f t="shared" si="59"/>
        <v>3.4908978217300518E-3</v>
      </c>
      <c r="M130" s="47">
        <f t="shared" si="60"/>
        <v>-0.46942303418760567</v>
      </c>
      <c r="N130" s="49">
        <f t="shared" si="61"/>
        <v>2.0197136791345349E-3</v>
      </c>
      <c r="O130" s="50">
        <f t="shared" si="62"/>
        <v>4.5413850149177738E-3</v>
      </c>
      <c r="P130" s="67">
        <f t="shared" si="63"/>
        <v>2070.2687544078644</v>
      </c>
      <c r="Q130" s="67">
        <f t="shared" si="64"/>
        <v>9.4018874981203595</v>
      </c>
      <c r="R130" s="52">
        <f>1.55*C251</f>
        <v>2066.05638</v>
      </c>
      <c r="S130" s="52">
        <f>1.55*C251</f>
        <v>2066.05638</v>
      </c>
      <c r="T130" s="52">
        <v>121</v>
      </c>
      <c r="U130" s="44">
        <v>5469256</v>
      </c>
      <c r="V130" s="44">
        <v>2955091</v>
      </c>
    </row>
    <row r="131" spans="1:24" ht="15" customHeight="1">
      <c r="A131" s="75">
        <v>117</v>
      </c>
      <c r="B131" s="43" t="s">
        <v>199</v>
      </c>
      <c r="C131" s="43" t="s">
        <v>200</v>
      </c>
      <c r="D131" s="59">
        <v>52960232317.550003</v>
      </c>
      <c r="E131" s="59">
        <v>368361432.25</v>
      </c>
      <c r="F131" s="58">
        <v>0</v>
      </c>
      <c r="G131" s="59">
        <v>85592706.290000007</v>
      </c>
      <c r="H131" s="45">
        <f t="shared" si="51"/>
        <v>282768725.95999998</v>
      </c>
      <c r="I131" s="46">
        <v>53432216587.510002</v>
      </c>
      <c r="J131" s="47">
        <f t="shared" si="52"/>
        <v>2.9368090309521953E-2</v>
      </c>
      <c r="K131" s="48">
        <v>52758320393.18</v>
      </c>
      <c r="L131" s="47">
        <f t="shared" si="59"/>
        <v>3.01044371221467E-2</v>
      </c>
      <c r="M131" s="47">
        <f t="shared" si="60"/>
        <v>-1.2612169911130504E-2</v>
      </c>
      <c r="N131" s="49">
        <f t="shared" si="61"/>
        <v>1.6223546476105116E-3</v>
      </c>
      <c r="O131" s="50">
        <f t="shared" si="62"/>
        <v>5.3596991688263287E-3</v>
      </c>
      <c r="P131" s="67">
        <f t="shared" si="63"/>
        <v>179743.12402125291</v>
      </c>
      <c r="Q131" s="67">
        <f t="shared" si="64"/>
        <v>963.36907241895688</v>
      </c>
      <c r="R131" s="52">
        <f>134.6*C251</f>
        <v>179413.67015999998</v>
      </c>
      <c r="S131" s="52">
        <f>134.63*C251</f>
        <v>179453.658348</v>
      </c>
      <c r="T131" s="52">
        <v>4085</v>
      </c>
      <c r="U131" s="44">
        <v>291692.42</v>
      </c>
      <c r="V131" s="44">
        <v>293520.65999999997</v>
      </c>
    </row>
    <row r="132" spans="1:24">
      <c r="A132" s="75">
        <v>118</v>
      </c>
      <c r="B132" s="43" t="s">
        <v>201</v>
      </c>
      <c r="C132" s="43" t="s">
        <v>200</v>
      </c>
      <c r="D132" s="59">
        <v>163757826313.73001</v>
      </c>
      <c r="E132" s="59">
        <v>1127016103.7</v>
      </c>
      <c r="F132" s="58">
        <v>0</v>
      </c>
      <c r="G132" s="59">
        <v>263064175.72</v>
      </c>
      <c r="H132" s="45">
        <f t="shared" si="51"/>
        <v>863951927.98000002</v>
      </c>
      <c r="I132" s="46">
        <v>163222573853.62</v>
      </c>
      <c r="J132" s="47">
        <f t="shared" si="52"/>
        <v>8.971245431368155E-2</v>
      </c>
      <c r="K132" s="48">
        <v>162960272872.20999</v>
      </c>
      <c r="L132" s="47">
        <f t="shared" si="59"/>
        <v>9.2986798130205148E-2</v>
      </c>
      <c r="M132" s="47">
        <f t="shared" si="60"/>
        <v>-1.6070141232133639E-3</v>
      </c>
      <c r="N132" s="49">
        <f t="shared" si="61"/>
        <v>1.614284089511125E-3</v>
      </c>
      <c r="O132" s="50">
        <f t="shared" si="62"/>
        <v>5.3016107100992207E-3</v>
      </c>
      <c r="P132" s="67">
        <f t="shared" si="63"/>
        <v>175377.95642922985</v>
      </c>
      <c r="Q132" s="67">
        <f t="shared" si="64"/>
        <v>929.78565212051944</v>
      </c>
      <c r="R132" s="52">
        <f>131.35*C251</f>
        <v>175081.61645999999</v>
      </c>
      <c r="S132" s="52">
        <f>131.35*C251</f>
        <v>175081.61645999999</v>
      </c>
      <c r="T132" s="52">
        <v>1619</v>
      </c>
      <c r="U132" s="44">
        <v>912841.4</v>
      </c>
      <c r="V132" s="44">
        <v>929194.73</v>
      </c>
    </row>
    <row r="133" spans="1:24">
      <c r="A133" s="75">
        <v>119</v>
      </c>
      <c r="B133" s="56" t="s">
        <v>202</v>
      </c>
      <c r="C133" s="57" t="s">
        <v>203</v>
      </c>
      <c r="D133" s="59">
        <f>1742000*1332.9396</f>
        <v>2321980783.1999998</v>
      </c>
      <c r="E133" s="59">
        <f>20459.72*1332.9396</f>
        <v>27271570.992912002</v>
      </c>
      <c r="F133" s="58">
        <v>0</v>
      </c>
      <c r="G133" s="59">
        <f>1879.28*1332.9396</f>
        <v>2504966.7314879997</v>
      </c>
      <c r="H133" s="45">
        <f t="shared" si="51"/>
        <v>24766604.261424001</v>
      </c>
      <c r="I133" s="76">
        <v>2382444178.0449119</v>
      </c>
      <c r="J133" s="47">
        <f t="shared" si="52"/>
        <v>1.3094690852591925E-3</v>
      </c>
      <c r="K133" s="48">
        <f>1777469.66*1332.9396</f>
        <v>2369259697.612536</v>
      </c>
      <c r="L133" s="47">
        <f t="shared" si="59"/>
        <v>1.3519238114720765E-3</v>
      </c>
      <c r="M133" s="47">
        <f t="shared" si="60"/>
        <v>-5.5340144184177252E-3</v>
      </c>
      <c r="N133" s="49">
        <f t="shared" si="61"/>
        <v>1.0572782435003699E-3</v>
      </c>
      <c r="O133" s="50">
        <f t="shared" si="62"/>
        <v>1.0453309228355549E-2</v>
      </c>
      <c r="P133" s="67">
        <f t="shared" si="63"/>
        <v>164279.14927790739</v>
      </c>
      <c r="Q133" s="67">
        <f t="shared" si="64"/>
        <v>1717.2607471731483</v>
      </c>
      <c r="R133" s="52">
        <f>1*C251</f>
        <v>1332.9395999999999</v>
      </c>
      <c r="S133" s="52">
        <f>1*C251</f>
        <v>1332.9395999999999</v>
      </c>
      <c r="T133" s="52">
        <v>21</v>
      </c>
      <c r="U133" s="44">
        <v>14159.5670907</v>
      </c>
      <c r="V133" s="44">
        <v>14422.1570907</v>
      </c>
    </row>
    <row r="134" spans="1:24" s="36" customFormat="1">
      <c r="A134" s="75">
        <v>120</v>
      </c>
      <c r="B134" s="56" t="s">
        <v>204</v>
      </c>
      <c r="C134" s="57" t="s">
        <v>205</v>
      </c>
      <c r="D134" s="59">
        <f>230348.4*1332.9396</f>
        <v>307040504.15663999</v>
      </c>
      <c r="E134" s="59">
        <f>1451.23*1332.9396</f>
        <v>1934401.9357079999</v>
      </c>
      <c r="F134" s="58">
        <v>0</v>
      </c>
      <c r="G134" s="59">
        <f>5869.97*1332.9396</f>
        <v>7824315.4638120001</v>
      </c>
      <c r="H134" s="45">
        <f t="shared" si="51"/>
        <v>-5889913.5281039998</v>
      </c>
      <c r="I134" s="46">
        <v>295046975.63037598</v>
      </c>
      <c r="J134" s="47">
        <f t="shared" si="52"/>
        <v>1.6216744839085855E-4</v>
      </c>
      <c r="K134" s="48">
        <f>216780.75*1332.9396</f>
        <v>288955646.19269997</v>
      </c>
      <c r="L134" s="47">
        <f t="shared" si="59"/>
        <v>1.6488104657368685E-4</v>
      </c>
      <c r="M134" s="47">
        <f t="shared" si="60"/>
        <v>-2.0645286821400963E-2</v>
      </c>
      <c r="N134" s="49">
        <f t="shared" si="61"/>
        <v>2.7077911668817459E-2</v>
      </c>
      <c r="O134" s="50">
        <f t="shared" si="62"/>
        <v>-2.0383451943957201E-2</v>
      </c>
      <c r="P134" s="67">
        <f t="shared" si="63"/>
        <v>197969.0642591806</v>
      </c>
      <c r="Q134" s="67">
        <f t="shared" si="64"/>
        <v>-4035.292907717183</v>
      </c>
      <c r="R134" s="52">
        <f>148.52*C251</f>
        <v>197968.189392</v>
      </c>
      <c r="S134" s="52">
        <f>148.52*C251</f>
        <v>197968.189392</v>
      </c>
      <c r="T134" s="52">
        <v>11</v>
      </c>
      <c r="U134" s="44">
        <v>1459.6</v>
      </c>
      <c r="V134" s="44">
        <v>1459.6</v>
      </c>
      <c r="W134" s="35"/>
      <c r="X134" s="35"/>
    </row>
    <row r="135" spans="1:24" s="36" customFormat="1">
      <c r="A135" s="75">
        <v>121</v>
      </c>
      <c r="B135" s="56" t="s">
        <v>329</v>
      </c>
      <c r="C135" s="57" t="s">
        <v>330</v>
      </c>
      <c r="D135" s="59">
        <f>60443.75*C251</f>
        <v>80567867.94749999</v>
      </c>
      <c r="E135" s="59">
        <f>393.38*C251</f>
        <v>524351.77984799992</v>
      </c>
      <c r="F135" s="58">
        <v>0</v>
      </c>
      <c r="G135" s="59">
        <f>337.9*C251</f>
        <v>450400.29083999997</v>
      </c>
      <c r="H135" s="45">
        <f t="shared" si="51"/>
        <v>73951.489007999946</v>
      </c>
      <c r="I135" s="46">
        <v>75859425.045000002</v>
      </c>
      <c r="J135" s="47">
        <f t="shared" si="52"/>
        <v>4.1694816120930673E-5</v>
      </c>
      <c r="K135" s="48">
        <f>60366.59*C251</f>
        <v>80465018.327963993</v>
      </c>
      <c r="L135" s="47">
        <f t="shared" si="59"/>
        <v>4.5914162292014667E-5</v>
      </c>
      <c r="M135" s="47">
        <f t="shared" si="60"/>
        <v>6.0712209197893892E-2</v>
      </c>
      <c r="N135" s="49">
        <f t="shared" si="61"/>
        <v>5.597467075745044E-3</v>
      </c>
      <c r="O135" s="50">
        <f t="shared" si="62"/>
        <v>9.1905141569202371E-4</v>
      </c>
      <c r="P135" s="67">
        <f t="shared" si="63"/>
        <v>13336.021308453575</v>
      </c>
      <c r="Q135" s="67">
        <f t="shared" si="64"/>
        <v>12.256489263233252</v>
      </c>
      <c r="R135" s="52">
        <f>100*C251</f>
        <v>133293.96</v>
      </c>
      <c r="S135" s="52">
        <f>100*C251</f>
        <v>133293.96</v>
      </c>
      <c r="T135" s="52">
        <v>6</v>
      </c>
      <c r="U135" s="165">
        <v>5488.65</v>
      </c>
      <c r="V135" s="44">
        <v>6033.66</v>
      </c>
      <c r="W135" s="35"/>
      <c r="X135" s="35"/>
    </row>
    <row r="136" spans="1:24" ht="13.95" customHeight="1">
      <c r="A136" s="75">
        <v>122</v>
      </c>
      <c r="B136" s="43" t="s">
        <v>206</v>
      </c>
      <c r="C136" s="43" t="s">
        <v>207</v>
      </c>
      <c r="D136" s="59">
        <v>29867580691.060001</v>
      </c>
      <c r="E136" s="59">
        <v>862490726.74000001</v>
      </c>
      <c r="F136" s="59">
        <v>-147107611.81999999</v>
      </c>
      <c r="G136" s="59">
        <v>96026168.030000001</v>
      </c>
      <c r="H136" s="45">
        <f t="shared" si="51"/>
        <v>619356946.8900001</v>
      </c>
      <c r="I136" s="46">
        <v>45809459189.239998</v>
      </c>
      <c r="J136" s="47">
        <f t="shared" si="52"/>
        <v>2.5178374030143422E-2</v>
      </c>
      <c r="K136" s="48">
        <v>46002583511.309998</v>
      </c>
      <c r="L136" s="47">
        <f t="shared" si="59"/>
        <v>2.624954457328699E-2</v>
      </c>
      <c r="M136" s="47">
        <f t="shared" si="60"/>
        <v>4.215817551396937E-3</v>
      </c>
      <c r="N136" s="49">
        <f t="shared" si="61"/>
        <v>2.0874081562482555E-3</v>
      </c>
      <c r="O136" s="50">
        <f t="shared" si="62"/>
        <v>1.346352529826347E-2</v>
      </c>
      <c r="P136" s="67">
        <f t="shared" si="63"/>
        <v>142599.89495103827</v>
      </c>
      <c r="Q136" s="67">
        <f t="shared" si="64"/>
        <v>1919.8972932030172</v>
      </c>
      <c r="R136" s="44">
        <v>142597.73000000001</v>
      </c>
      <c r="S136" s="44">
        <v>142597.73000000001</v>
      </c>
      <c r="T136" s="52">
        <v>1009</v>
      </c>
      <c r="U136" s="44">
        <v>317586</v>
      </c>
      <c r="V136" s="44">
        <v>322599</v>
      </c>
    </row>
    <row r="137" spans="1:24" ht="13.95" customHeight="1">
      <c r="A137" s="75">
        <v>123</v>
      </c>
      <c r="B137" s="43" t="s">
        <v>208</v>
      </c>
      <c r="C137" s="43" t="s">
        <v>50</v>
      </c>
      <c r="D137" s="59">
        <f>2065872.09*1332.9396</f>
        <v>2753682717.295764</v>
      </c>
      <c r="E137" s="59">
        <f>93649.71*1332.9396</f>
        <v>124829406.987516</v>
      </c>
      <c r="F137" s="58">
        <v>0</v>
      </c>
      <c r="G137" s="59">
        <f>2695.6*1332.9396</f>
        <v>3593071.9857599996</v>
      </c>
      <c r="H137" s="45">
        <f t="shared" ref="H137:H138" si="65">(E137+F137)-G137</f>
        <v>121236335.001756</v>
      </c>
      <c r="I137" s="46">
        <v>2811516592.8565435</v>
      </c>
      <c r="J137" s="47">
        <f t="shared" si="52"/>
        <v>1.5453012897284752E-3</v>
      </c>
      <c r="K137" s="48">
        <f>2090062.46*1332.9396</f>
        <v>2785927019.4074159</v>
      </c>
      <c r="L137" s="47">
        <f t="shared" si="59"/>
        <v>1.589678446122059E-3</v>
      </c>
      <c r="M137" s="47">
        <f t="shared" si="60"/>
        <v>-9.1016974661096619E-3</v>
      </c>
      <c r="N137" s="49">
        <f t="shared" si="61"/>
        <v>1.2897222219856528E-3</v>
      </c>
      <c r="O137" s="50">
        <f t="shared" si="62"/>
        <v>4.3517412393503305E-2</v>
      </c>
      <c r="P137" s="67">
        <f t="shared" si="63"/>
        <v>215496.42591496839</v>
      </c>
      <c r="Q137" s="67">
        <f t="shared" si="64"/>
        <v>9377.8468358677128</v>
      </c>
      <c r="R137" s="52">
        <f>158.93*C251</f>
        <v>211844.09062800001</v>
      </c>
      <c r="S137" s="52">
        <f>165.027*C251</f>
        <v>219971.02336919997</v>
      </c>
      <c r="T137" s="52">
        <v>53</v>
      </c>
      <c r="U137" s="44">
        <v>12893.95</v>
      </c>
      <c r="V137" s="44">
        <v>12927.95</v>
      </c>
    </row>
    <row r="138" spans="1:24">
      <c r="A138" s="75">
        <v>124</v>
      </c>
      <c r="B138" s="43" t="s">
        <v>209</v>
      </c>
      <c r="C138" s="43" t="s">
        <v>57</v>
      </c>
      <c r="D138" s="58">
        <f>89988327*1332.9396</f>
        <v>119949004596.04919</v>
      </c>
      <c r="E138" s="58">
        <f>755484.96*1332.9396</f>
        <v>1007015820.3884159</v>
      </c>
      <c r="F138" s="58">
        <v>0</v>
      </c>
      <c r="G138" s="58">
        <f>152481*1332.9396</f>
        <v>203247963.1476</v>
      </c>
      <c r="H138" s="45">
        <f t="shared" si="65"/>
        <v>803767857.24081588</v>
      </c>
      <c r="I138" s="46">
        <v>145050180837.4584</v>
      </c>
      <c r="J138" s="47">
        <f t="shared" si="52"/>
        <v>7.9724313949624273E-2</v>
      </c>
      <c r="K138" s="46">
        <f>105498973.87*1332.9396</f>
        <v>140623760030.68826</v>
      </c>
      <c r="L138" s="47">
        <f t="shared" si="59"/>
        <v>8.0241355489985372E-2</v>
      </c>
      <c r="M138" s="47">
        <f t="shared" si="60"/>
        <v>-3.0516479064099471E-2</v>
      </c>
      <c r="N138" s="49">
        <f t="shared" si="61"/>
        <v>1.4453315933469939E-3</v>
      </c>
      <c r="O138" s="50">
        <f t="shared" si="62"/>
        <v>5.7157329391946989E-3</v>
      </c>
      <c r="P138" s="67">
        <f t="shared" si="63"/>
        <v>162081.74433408605</v>
      </c>
      <c r="Q138" s="67">
        <f t="shared" si="64"/>
        <v>926.41596493246936</v>
      </c>
      <c r="R138" s="52">
        <f>121.597214755831*C251</f>
        <v>162081.74279775147</v>
      </c>
      <c r="S138" s="52">
        <f>121.597214755831*C251</f>
        <v>162081.74279775147</v>
      </c>
      <c r="T138" s="52">
        <v>1234</v>
      </c>
      <c r="U138" s="52">
        <v>873338.87</v>
      </c>
      <c r="V138" s="52">
        <v>867610.11</v>
      </c>
    </row>
    <row r="139" spans="1:24" ht="5.55" customHeight="1">
      <c r="A139" s="151"/>
      <c r="B139" s="151"/>
      <c r="C139" s="151"/>
      <c r="D139" s="151"/>
      <c r="E139" s="151"/>
      <c r="F139" s="151"/>
      <c r="G139" s="151"/>
      <c r="H139" s="151"/>
      <c r="I139" s="151"/>
      <c r="J139" s="151"/>
      <c r="K139" s="151"/>
      <c r="L139" s="151"/>
      <c r="M139" s="151"/>
      <c r="N139" s="151"/>
      <c r="O139" s="151"/>
      <c r="P139" s="151"/>
      <c r="Q139" s="151"/>
      <c r="R139" s="151"/>
      <c r="S139" s="151"/>
      <c r="T139" s="151"/>
      <c r="U139" s="151"/>
      <c r="V139" s="151"/>
    </row>
    <row r="140" spans="1:24" ht="13.8" customHeight="1">
      <c r="A140" s="152" t="s">
        <v>210</v>
      </c>
      <c r="B140" s="153"/>
      <c r="C140" s="153"/>
      <c r="D140" s="153"/>
      <c r="E140" s="153"/>
      <c r="F140" s="153"/>
      <c r="G140" s="153"/>
      <c r="H140" s="153"/>
      <c r="I140" s="153"/>
      <c r="J140" s="153"/>
      <c r="K140" s="153"/>
      <c r="L140" s="153"/>
      <c r="M140" s="153"/>
      <c r="N140" s="153"/>
      <c r="O140" s="153"/>
      <c r="P140" s="153"/>
      <c r="Q140" s="153"/>
      <c r="R140" s="153"/>
      <c r="S140" s="153"/>
      <c r="T140" s="153"/>
      <c r="U140" s="153"/>
      <c r="V140" s="154"/>
    </row>
    <row r="141" spans="1:24">
      <c r="A141" s="77">
        <v>125</v>
      </c>
      <c r="B141" s="70" t="s">
        <v>211</v>
      </c>
      <c r="C141" s="52" t="s">
        <v>68</v>
      </c>
      <c r="D141" s="78">
        <f>285950*1332.9396</f>
        <v>381154078.62</v>
      </c>
      <c r="E141" s="52">
        <f>3269.42*1332.9396</f>
        <v>4357939.3870319994</v>
      </c>
      <c r="F141" s="52">
        <v>0</v>
      </c>
      <c r="G141" s="52">
        <f>888.44*1332.9396</f>
        <v>1184236.8582240001</v>
      </c>
      <c r="H141" s="45">
        <f>(E141+F141)-G141</f>
        <v>3173702.5288079996</v>
      </c>
      <c r="I141" s="52">
        <v>637458376.84005594</v>
      </c>
      <c r="J141" s="47">
        <f t="shared" ref="J141:J160" si="66">(I141/$I$161)</f>
        <v>3.5036793109526613E-4</v>
      </c>
      <c r="K141" s="52">
        <f>483349.76*C251</f>
        <v>644276035.75449598</v>
      </c>
      <c r="L141" s="47">
        <f t="shared" ref="L141" si="67">(K141/$K$161)</f>
        <v>3.6763049435865669E-4</v>
      </c>
      <c r="M141" s="47">
        <f t="shared" ref="M141:M161" si="68">((K141-I141)/I141)</f>
        <v>1.0695065218588614E-2</v>
      </c>
      <c r="N141" s="49">
        <f t="shared" ref="N141" si="69">(G141/K141)</f>
        <v>1.8380892544562349E-3</v>
      </c>
      <c r="O141" s="50">
        <f t="shared" ref="O141" si="70">H141/K141</f>
        <v>4.9259981012507378E-3</v>
      </c>
      <c r="P141" s="51">
        <f t="shared" ref="P141" si="71">K141/V141</f>
        <v>1375.3974150927802</v>
      </c>
      <c r="Q141" s="51">
        <f t="shared" ref="Q141" si="72">H141/V141</f>
        <v>6.7752050552122087</v>
      </c>
      <c r="R141" s="52">
        <f>1.0412*C251</f>
        <v>1387.8567115199999</v>
      </c>
      <c r="S141" s="52">
        <f>1.0412*C251</f>
        <v>1387.8567115199999</v>
      </c>
      <c r="T141" s="52">
        <v>44</v>
      </c>
      <c r="U141" s="58">
        <v>451180</v>
      </c>
      <c r="V141" s="58">
        <v>468429</v>
      </c>
    </row>
    <row r="142" spans="1:24">
      <c r="A142" s="77">
        <v>126</v>
      </c>
      <c r="B142" s="70" t="s">
        <v>212</v>
      </c>
      <c r="C142" s="52" t="s">
        <v>75</v>
      </c>
      <c r="D142" s="79">
        <f>882234.54*1332.9396</f>
        <v>1175965354.8537841</v>
      </c>
      <c r="E142" s="44">
        <f>6628.26*1332.9396</f>
        <v>8835070.2330959998</v>
      </c>
      <c r="F142" s="52">
        <v>0</v>
      </c>
      <c r="G142" s="44">
        <f>1776.36*1332.9396</f>
        <v>2367780.5878559998</v>
      </c>
      <c r="H142" s="45">
        <f>(E142+F142)-G142</f>
        <v>6467289.6452399995</v>
      </c>
      <c r="I142" s="52">
        <v>1421540395.3022399</v>
      </c>
      <c r="J142" s="47">
        <f t="shared" si="66"/>
        <v>7.8132500154651013E-4</v>
      </c>
      <c r="K142" s="44">
        <f>1045292.64*1332.9396</f>
        <v>1393311953.4445438</v>
      </c>
      <c r="L142" s="47">
        <f t="shared" ref="L142:L160" si="73">(K142/$K$161)</f>
        <v>7.9503804862273092E-4</v>
      </c>
      <c r="M142" s="47">
        <f t="shared" ref="M142:M160" si="74">((K142-I142)/I142)</f>
        <v>-1.985764312500897E-2</v>
      </c>
      <c r="N142" s="49">
        <f t="shared" ref="N142:N160" si="75">(G142/K142)</f>
        <v>1.6993901344220697E-3</v>
      </c>
      <c r="O142" s="50">
        <f t="shared" ref="O142:O160" si="76">H142/K142</f>
        <v>4.6416666628399869E-3</v>
      </c>
      <c r="P142" s="51">
        <f t="shared" ref="P142:P160" si="77">K142/V142</f>
        <v>163803.42739766563</v>
      </c>
      <c r="Q142" s="51">
        <f t="shared" ref="Q142:Q160" si="78">H142/V142</f>
        <v>760.32090821067482</v>
      </c>
      <c r="R142" s="52">
        <f>122.89*C251</f>
        <v>163804.94744399999</v>
      </c>
      <c r="S142" s="52">
        <f>122.89*C251</f>
        <v>163804.94744399999</v>
      </c>
      <c r="T142" s="52">
        <v>31</v>
      </c>
      <c r="U142" s="59">
        <v>8705</v>
      </c>
      <c r="V142" s="59">
        <v>8506</v>
      </c>
    </row>
    <row r="143" spans="1:24">
      <c r="A143" s="77">
        <v>127</v>
      </c>
      <c r="B143" s="70" t="s">
        <v>213</v>
      </c>
      <c r="C143" s="52" t="s">
        <v>30</v>
      </c>
      <c r="D143" s="79">
        <f>11223039.05*C251</f>
        <v>14959633182.091381</v>
      </c>
      <c r="E143" s="44">
        <f>1332.9396*105418.05</f>
        <v>140515893.39978001</v>
      </c>
      <c r="F143" s="52">
        <v>0</v>
      </c>
      <c r="G143" s="44">
        <f>1332.9396*23154.11</f>
        <v>30863030.121755999</v>
      </c>
      <c r="H143" s="45">
        <f t="shared" ref="H143:H160" si="79">(E143+F143)-G143</f>
        <v>109652863.278024</v>
      </c>
      <c r="I143" s="52">
        <v>28285237139.539536</v>
      </c>
      <c r="J143" s="47">
        <f t="shared" si="66"/>
        <v>1.5546489586105194E-2</v>
      </c>
      <c r="K143" s="44">
        <f>1332.9396*19632256.45</f>
        <v>26168612059.560417</v>
      </c>
      <c r="L143" s="47">
        <f t="shared" si="73"/>
        <v>1.4932077641022157E-2</v>
      </c>
      <c r="M143" s="47">
        <f t="shared" si="74"/>
        <v>-7.4831441912159818E-2</v>
      </c>
      <c r="N143" s="49">
        <f t="shared" si="75"/>
        <v>1.1793911748743482E-3</v>
      </c>
      <c r="O143" s="50">
        <f t="shared" si="76"/>
        <v>4.1902437557044042E-3</v>
      </c>
      <c r="P143" s="51">
        <f t="shared" si="77"/>
        <v>179961.22795193273</v>
      </c>
      <c r="Q143" s="51">
        <f t="shared" si="78"/>
        <v>754.08141169448299</v>
      </c>
      <c r="R143" s="52">
        <f>134.3357*C251</f>
        <v>179061.37422371999</v>
      </c>
      <c r="S143" s="52">
        <f>135.6858*C251</f>
        <v>180860.97597767998</v>
      </c>
      <c r="T143" s="52">
        <v>708</v>
      </c>
      <c r="U143" s="59">
        <v>153749.01999999999</v>
      </c>
      <c r="V143" s="59">
        <v>145412.5</v>
      </c>
    </row>
    <row r="144" spans="1:24">
      <c r="A144" s="77">
        <v>128</v>
      </c>
      <c r="B144" s="70" t="s">
        <v>214</v>
      </c>
      <c r="C144" s="70" t="s">
        <v>150</v>
      </c>
      <c r="D144" s="78">
        <v>450535.7</v>
      </c>
      <c r="E144" s="44">
        <f>3599.6*1332.9396</f>
        <v>4798049.3841599999</v>
      </c>
      <c r="F144" s="52">
        <v>0</v>
      </c>
      <c r="G144" s="52">
        <f>842.22*1332.9396</f>
        <v>1122628.3899119999</v>
      </c>
      <c r="H144" s="45">
        <f t="shared" ref="H144" si="80">(E144+F144)-G144</f>
        <v>3675420.994248</v>
      </c>
      <c r="I144" s="52">
        <v>593532446.66690397</v>
      </c>
      <c r="J144" s="47">
        <f t="shared" si="66"/>
        <v>3.2622480609235488E-4</v>
      </c>
      <c r="K144" s="44">
        <f>462833.3*1332.9396</f>
        <v>616928833.76867998</v>
      </c>
      <c r="L144" s="47">
        <f t="shared" si="73"/>
        <v>3.5202590125347008E-4</v>
      </c>
      <c r="M144" s="47">
        <f t="shared" si="74"/>
        <v>3.9418884735220344E-2</v>
      </c>
      <c r="N144" s="49">
        <f t="shared" si="75"/>
        <v>1.8197048483762945E-3</v>
      </c>
      <c r="O144" s="50">
        <f t="shared" si="76"/>
        <v>5.9576093595685529E-3</v>
      </c>
      <c r="P144" s="51">
        <f t="shared" si="77"/>
        <v>142510.70311126817</v>
      </c>
      <c r="Q144" s="51">
        <f t="shared" si="78"/>
        <v>849.0230986943867</v>
      </c>
      <c r="R144" s="52">
        <f>106.91*C251</f>
        <v>142504.572636</v>
      </c>
      <c r="S144" s="52">
        <f>106.91*C251</f>
        <v>142504.572636</v>
      </c>
      <c r="T144" s="52">
        <v>20</v>
      </c>
      <c r="U144" s="59">
        <v>4079</v>
      </c>
      <c r="V144" s="59">
        <v>4329</v>
      </c>
    </row>
    <row r="145" spans="1:22" ht="14.1" customHeight="1">
      <c r="A145" s="77">
        <v>129</v>
      </c>
      <c r="B145" s="70" t="s">
        <v>215</v>
      </c>
      <c r="C145" s="70" t="s">
        <v>84</v>
      </c>
      <c r="D145" s="79">
        <f>14025481.31*1332.9396</f>
        <v>18695119447.158875</v>
      </c>
      <c r="E145" s="44">
        <f>100089.38*1332.9396</f>
        <v>133413098.14144801</v>
      </c>
      <c r="F145" s="52">
        <v>0</v>
      </c>
      <c r="G145" s="44">
        <f>24791.89*1332.9396</f>
        <v>33046091.939843997</v>
      </c>
      <c r="H145" s="45">
        <f t="shared" si="79"/>
        <v>100367006.20160401</v>
      </c>
      <c r="I145" s="52">
        <v>19558216585.438343</v>
      </c>
      <c r="J145" s="47">
        <f t="shared" si="66"/>
        <v>1.0749834232192581E-2</v>
      </c>
      <c r="K145" s="44">
        <f>14334138.21*1332.9396</f>
        <v>19106540451.982117</v>
      </c>
      <c r="L145" s="47">
        <f t="shared" si="73"/>
        <v>1.0902387365098952E-2</v>
      </c>
      <c r="M145" s="47">
        <f t="shared" si="74"/>
        <v>-2.309393249037401E-2</v>
      </c>
      <c r="N145" s="49">
        <f t="shared" si="75"/>
        <v>1.7295696216117339E-3</v>
      </c>
      <c r="O145" s="50">
        <f t="shared" si="76"/>
        <v>5.2530182768483298E-3</v>
      </c>
      <c r="P145" s="51">
        <f t="shared" si="77"/>
        <v>156289.4410023813</v>
      </c>
      <c r="Q145" s="51">
        <f t="shared" si="78"/>
        <v>820.99129006391775</v>
      </c>
      <c r="R145" s="52">
        <f>118.16*C251</f>
        <v>157500.143136</v>
      </c>
      <c r="S145" s="52">
        <f>118.16*C251</f>
        <v>157500.143136</v>
      </c>
      <c r="T145" s="52">
        <v>477</v>
      </c>
      <c r="U145" s="59">
        <v>122242</v>
      </c>
      <c r="V145" s="59">
        <v>122251</v>
      </c>
    </row>
    <row r="146" spans="1:22" ht="14.1" customHeight="1">
      <c r="A146" s="77">
        <v>130</v>
      </c>
      <c r="B146" s="70" t="s">
        <v>216</v>
      </c>
      <c r="C146" s="70" t="s">
        <v>86</v>
      </c>
      <c r="D146" s="79">
        <v>410781993.85000002</v>
      </c>
      <c r="E146" s="44">
        <v>203679.78</v>
      </c>
      <c r="F146" s="44">
        <v>-1815410.25</v>
      </c>
      <c r="G146" s="44">
        <v>1121614.3</v>
      </c>
      <c r="H146" s="45">
        <f t="shared" si="79"/>
        <v>-2733344.77</v>
      </c>
      <c r="I146" s="52">
        <v>345763993.19999999</v>
      </c>
      <c r="J146" s="47">
        <f t="shared" si="66"/>
        <v>1.9004317669374347E-4</v>
      </c>
      <c r="K146" s="44">
        <v>412479699.30000001</v>
      </c>
      <c r="L146" s="47">
        <f t="shared" si="73"/>
        <v>2.353651344318387E-4</v>
      </c>
      <c r="M146" s="47">
        <f t="shared" si="74"/>
        <v>0.19295157220552375</v>
      </c>
      <c r="N146" s="49">
        <f t="shared" si="75"/>
        <v>2.7191987918519121E-3</v>
      </c>
      <c r="O146" s="50">
        <f t="shared" si="76"/>
        <v>-6.6266164726133956E-3</v>
      </c>
      <c r="P146" s="51">
        <f t="shared" si="77"/>
        <v>1379.6237876774567</v>
      </c>
      <c r="Q146" s="51">
        <f t="shared" si="78"/>
        <v>-9.1422377174327192</v>
      </c>
      <c r="R146" s="52">
        <f>1.0331*C251</f>
        <v>1377.0599007599999</v>
      </c>
      <c r="S146" s="52">
        <f>1.0331*C251</f>
        <v>1377.0599007599999</v>
      </c>
      <c r="T146" s="52">
        <v>17</v>
      </c>
      <c r="U146" s="59">
        <v>263242.65000000002</v>
      </c>
      <c r="V146" s="59">
        <v>298979.84000000003</v>
      </c>
    </row>
    <row r="147" spans="1:22" ht="15" customHeight="1">
      <c r="A147" s="77">
        <v>131</v>
      </c>
      <c r="B147" s="70" t="s">
        <v>217</v>
      </c>
      <c r="C147" s="52" t="s">
        <v>82</v>
      </c>
      <c r="D147" s="79">
        <f>12418739.77*1332.9396</f>
        <v>16553430021.527891</v>
      </c>
      <c r="E147" s="44">
        <f>70749.91*1332.9396</f>
        <v>94305356.735435992</v>
      </c>
      <c r="F147" s="52">
        <v>0</v>
      </c>
      <c r="G147" s="44">
        <f>14669.6*1332.9396</f>
        <v>19553690.756159998</v>
      </c>
      <c r="H147" s="45">
        <f t="shared" si="79"/>
        <v>74751665.979276001</v>
      </c>
      <c r="I147" s="52">
        <v>15627215036.289526</v>
      </c>
      <c r="J147" s="47">
        <f t="shared" si="66"/>
        <v>8.5892274695440873E-3</v>
      </c>
      <c r="K147" s="44">
        <f>12419401.01*1332.9396</f>
        <v>16554311414.508995</v>
      </c>
      <c r="L147" s="47">
        <f t="shared" si="73"/>
        <v>9.4460593772606825E-3</v>
      </c>
      <c r="M147" s="47">
        <f t="shared" si="74"/>
        <v>5.9325758048799193E-2</v>
      </c>
      <c r="N147" s="49">
        <f t="shared" si="75"/>
        <v>1.1811841801539508E-3</v>
      </c>
      <c r="O147" s="50">
        <f t="shared" si="76"/>
        <v>4.5155406411987661E-3</v>
      </c>
      <c r="P147" s="51">
        <f t="shared" si="77"/>
        <v>1868.3025862050122</v>
      </c>
      <c r="Q147" s="51">
        <f t="shared" si="78"/>
        <v>8.4363962580654945</v>
      </c>
      <c r="R147" s="52">
        <f>1.4*C251</f>
        <v>1866.1154399999998</v>
      </c>
      <c r="S147" s="52">
        <f>1.4*C251</f>
        <v>1866.1154399999998</v>
      </c>
      <c r="T147" s="44">
        <v>408</v>
      </c>
      <c r="U147" s="59">
        <v>8192426.9900000002</v>
      </c>
      <c r="V147" s="59">
        <v>8860615.8000000007</v>
      </c>
    </row>
    <row r="148" spans="1:22" ht="15" customHeight="1">
      <c r="A148" s="77">
        <v>132</v>
      </c>
      <c r="B148" s="70" t="s">
        <v>218</v>
      </c>
      <c r="C148" s="52" t="s">
        <v>106</v>
      </c>
      <c r="D148" s="79">
        <f>187274.72*1332.9396</f>
        <v>249625890.36691198</v>
      </c>
      <c r="E148" s="44">
        <f>2935.6*1332.9396</f>
        <v>3912977.4897599998</v>
      </c>
      <c r="F148" s="52">
        <v>0</v>
      </c>
      <c r="G148" s="52">
        <f>303.53*1332.9396</f>
        <v>404587.15678799996</v>
      </c>
      <c r="H148" s="45">
        <f t="shared" si="79"/>
        <v>3508390.3329719999</v>
      </c>
      <c r="I148" s="52">
        <v>259152173.58542401</v>
      </c>
      <c r="J148" s="47">
        <f t="shared" si="66"/>
        <v>1.4243849355006352E-4</v>
      </c>
      <c r="K148" s="44">
        <f>192342.6*1332.9396</f>
        <v>256381068.30695999</v>
      </c>
      <c r="L148" s="47">
        <f t="shared" si="73"/>
        <v>1.4629365932493555E-4</v>
      </c>
      <c r="M148" s="47">
        <f t="shared" si="74"/>
        <v>-1.0692965604436975E-2</v>
      </c>
      <c r="N148" s="49">
        <f t="shared" si="75"/>
        <v>1.578069548815499E-3</v>
      </c>
      <c r="O148" s="50">
        <f t="shared" si="76"/>
        <v>1.3684280029489047E-2</v>
      </c>
      <c r="P148" s="51">
        <f t="shared" si="77"/>
        <v>1431.0652751652767</v>
      </c>
      <c r="Q148" s="51">
        <f t="shared" si="78"/>
        <v>19.583097965839446</v>
      </c>
      <c r="R148" s="52">
        <f>1.08*C251</f>
        <v>1439.5747679999999</v>
      </c>
      <c r="S148" s="52">
        <f>1.08*C251</f>
        <v>1439.5747679999999</v>
      </c>
      <c r="T148" s="52">
        <v>10</v>
      </c>
      <c r="U148" s="59">
        <v>179154</v>
      </c>
      <c r="V148" s="59">
        <v>179154</v>
      </c>
    </row>
    <row r="149" spans="1:22" ht="15" customHeight="1">
      <c r="A149" s="77">
        <v>133</v>
      </c>
      <c r="B149" s="52" t="s">
        <v>219</v>
      </c>
      <c r="C149" s="52" t="s">
        <v>44</v>
      </c>
      <c r="D149" s="79">
        <f>119367889.24*1332.9396</f>
        <v>159110186536.40988</v>
      </c>
      <c r="E149" s="44">
        <f>716675.1*1332.9396</f>
        <v>955284621.1239599</v>
      </c>
      <c r="F149" s="52">
        <v>0</v>
      </c>
      <c r="G149" s="44">
        <f>102518.96*1332.9396</f>
        <v>136651581.534816</v>
      </c>
      <c r="H149" s="45">
        <f t="shared" ref="H149" si="81">(E149+F149)-G149</f>
        <v>818633039.58914387</v>
      </c>
      <c r="I149" s="52">
        <v>154706827482.4924</v>
      </c>
      <c r="J149" s="47">
        <f t="shared" si="66"/>
        <v>8.5031922146900377E-2</v>
      </c>
      <c r="K149" s="44">
        <f>117685644*1332.9396</f>
        <v>156867855239.10239</v>
      </c>
      <c r="L149" s="47">
        <f t="shared" si="73"/>
        <v>8.9510402327782013E-2</v>
      </c>
      <c r="M149" s="47">
        <f t="shared" si="74"/>
        <v>1.3968535143379764E-2</v>
      </c>
      <c r="N149" s="49">
        <f t="shared" si="75"/>
        <v>8.7112545350051366E-4</v>
      </c>
      <c r="O149" s="50">
        <f t="shared" si="76"/>
        <v>5.2186156197607239E-3</v>
      </c>
      <c r="P149" s="51">
        <f t="shared" si="77"/>
        <v>133293.96</v>
      </c>
      <c r="Q149" s="51">
        <f t="shared" si="78"/>
        <v>695.60994167576121</v>
      </c>
      <c r="R149" s="52">
        <f>100*C251</f>
        <v>133293.96</v>
      </c>
      <c r="S149" s="52">
        <f>100*C251</f>
        <v>133293.96</v>
      </c>
      <c r="T149" s="52">
        <v>4342</v>
      </c>
      <c r="U149" s="59">
        <v>1130713.3799999999</v>
      </c>
      <c r="V149" s="59">
        <v>1176856.44</v>
      </c>
    </row>
    <row r="150" spans="1:22" ht="15" customHeight="1">
      <c r="A150" s="77">
        <v>134</v>
      </c>
      <c r="B150" s="70" t="s">
        <v>220</v>
      </c>
      <c r="C150" s="70" t="s">
        <v>221</v>
      </c>
      <c r="D150" s="79">
        <f>1231077.9*1332.9396</f>
        <v>1640952483.5948398</v>
      </c>
      <c r="E150" s="44">
        <f>7597.49*1332.9396</f>
        <v>10126995.281603999</v>
      </c>
      <c r="F150" s="52">
        <v>0</v>
      </c>
      <c r="G150" s="44">
        <f>2236.2*1332.9396</f>
        <v>2980719.5335199996</v>
      </c>
      <c r="H150" s="45">
        <f t="shared" si="79"/>
        <v>7146275.7480839994</v>
      </c>
      <c r="I150" s="52">
        <v>1579231868.0338078</v>
      </c>
      <c r="J150" s="47">
        <f t="shared" si="66"/>
        <v>8.6799738214366352E-4</v>
      </c>
      <c r="K150" s="44">
        <f>1191560.14*1332.9396</f>
        <v>1588277696.3875437</v>
      </c>
      <c r="L150" s="47">
        <f t="shared" si="73"/>
        <v>9.0628749526278887E-4</v>
      </c>
      <c r="M150" s="47">
        <f t="shared" si="74"/>
        <v>5.7279925366490094E-3</v>
      </c>
      <c r="N150" s="49">
        <f t="shared" si="75"/>
        <v>1.8766992323190671E-3</v>
      </c>
      <c r="O150" s="50">
        <f t="shared" si="76"/>
        <v>4.4993868291028942E-3</v>
      </c>
      <c r="P150" s="51">
        <f t="shared" si="77"/>
        <v>1539.659185442202</v>
      </c>
      <c r="Q150" s="51">
        <f t="shared" si="78"/>
        <v>6.9275222602859339</v>
      </c>
      <c r="R150" s="52">
        <f>1.16*C251</f>
        <v>1546.2099359999997</v>
      </c>
      <c r="S150" s="52">
        <f>1.16*C251</f>
        <v>1546.2099359999997</v>
      </c>
      <c r="T150" s="52">
        <v>73</v>
      </c>
      <c r="U150" s="59">
        <v>1003851.03</v>
      </c>
      <c r="V150" s="59">
        <v>1031577.45</v>
      </c>
    </row>
    <row r="151" spans="1:22" ht="15" customHeight="1">
      <c r="A151" s="77">
        <v>135</v>
      </c>
      <c r="B151" s="70" t="s">
        <v>222</v>
      </c>
      <c r="C151" s="70" t="s">
        <v>48</v>
      </c>
      <c r="D151" s="79">
        <f>6123724.76*1332.9396</f>
        <v>8162555232.104495</v>
      </c>
      <c r="E151" s="44">
        <f>44954.96*1332.9396</f>
        <v>59922246.400415994</v>
      </c>
      <c r="F151" s="52"/>
      <c r="G151" s="44">
        <f>9753.54*1332.9396</f>
        <v>13000879.706184</v>
      </c>
      <c r="H151" s="45">
        <f t="shared" si="79"/>
        <v>46921366.694231994</v>
      </c>
      <c r="I151" s="52">
        <v>8361481816.1795034</v>
      </c>
      <c r="J151" s="47">
        <f t="shared" si="66"/>
        <v>4.5957433320553296E-3</v>
      </c>
      <c r="K151" s="44">
        <f>6228168.94*1332.9396</f>
        <v>8301773015.616024</v>
      </c>
      <c r="L151" s="47">
        <f t="shared" si="73"/>
        <v>4.7370765765176563E-3</v>
      </c>
      <c r="M151" s="47">
        <f t="shared" si="74"/>
        <v>-7.1409352882813946E-3</v>
      </c>
      <c r="N151" s="49">
        <f t="shared" si="75"/>
        <v>1.5660365179496882E-3</v>
      </c>
      <c r="O151" s="50">
        <f t="shared" si="76"/>
        <v>5.6519693571446374E-3</v>
      </c>
      <c r="P151" s="51">
        <f t="shared" si="77"/>
        <v>14432.704727900567</v>
      </c>
      <c r="Q151" s="51">
        <f t="shared" si="78"/>
        <v>81.573204862810528</v>
      </c>
      <c r="R151" s="52">
        <f>10.82*C251</f>
        <v>14422.406471999999</v>
      </c>
      <c r="S151" s="52">
        <f>10.82*C251</f>
        <v>14422.406471999999</v>
      </c>
      <c r="T151" s="52">
        <v>285</v>
      </c>
      <c r="U151" s="59">
        <v>557839.75</v>
      </c>
      <c r="V151" s="59">
        <v>575205.63</v>
      </c>
    </row>
    <row r="152" spans="1:22">
      <c r="A152" s="77">
        <v>136</v>
      </c>
      <c r="B152" s="52" t="s">
        <v>223</v>
      </c>
      <c r="C152" s="52" t="s">
        <v>52</v>
      </c>
      <c r="D152" s="79">
        <f>29286246.87*1332.9396</f>
        <v>39036798188.399048</v>
      </c>
      <c r="E152" s="44">
        <f>22880752*1332.9396</f>
        <v>30498660418.579197</v>
      </c>
      <c r="F152" s="44">
        <f>923931.06*1332.9396</f>
        <v>1231544297.5439761</v>
      </c>
      <c r="G152" s="44">
        <f>48134.96*1332.9396</f>
        <v>64160994.328415997</v>
      </c>
      <c r="H152" s="45">
        <f t="shared" si="79"/>
        <v>31666043721.794758</v>
      </c>
      <c r="I152" s="52">
        <v>32150116087.223831</v>
      </c>
      <c r="J152" s="47">
        <f t="shared" si="66"/>
        <v>1.7670753208690798E-2</v>
      </c>
      <c r="K152" s="44">
        <f>29490458.28*1332.9396</f>
        <v>39308999663.559891</v>
      </c>
      <c r="L152" s="47">
        <f t="shared" si="73"/>
        <v>2.2430117181272091E-2</v>
      </c>
      <c r="M152" s="47">
        <f t="shared" si="74"/>
        <v>0.22267053583613453</v>
      </c>
      <c r="N152" s="49">
        <f t="shared" si="75"/>
        <v>1.6322214983225413E-3</v>
      </c>
      <c r="O152" s="50">
        <f t="shared" si="76"/>
        <v>0.80556727448726495</v>
      </c>
      <c r="P152" s="51">
        <f t="shared" si="77"/>
        <v>1455.1691605403716</v>
      </c>
      <c r="Q152" s="51">
        <f t="shared" si="78"/>
        <v>1172.2366545744285</v>
      </c>
      <c r="R152" s="52">
        <f>1.09*C251</f>
        <v>1452.904164</v>
      </c>
      <c r="S152" s="52">
        <f>1.1*C251</f>
        <v>1466.2335600000001</v>
      </c>
      <c r="T152" s="52">
        <v>605</v>
      </c>
      <c r="U152" s="59">
        <v>27121227</v>
      </c>
      <c r="V152" s="59">
        <v>27013354</v>
      </c>
    </row>
    <row r="153" spans="1:22">
      <c r="A153" s="77">
        <v>137</v>
      </c>
      <c r="B153" s="70" t="s">
        <v>224</v>
      </c>
      <c r="C153" s="52" t="s">
        <v>117</v>
      </c>
      <c r="D153" s="79">
        <f>319588.87*1332.9396</f>
        <v>425992660.54225194</v>
      </c>
      <c r="E153" s="52">
        <f>454.91*1332.9396</f>
        <v>606367.55343600002</v>
      </c>
      <c r="F153" s="52">
        <v>0</v>
      </c>
      <c r="G153" s="52">
        <f>112.09*1332.9396</f>
        <v>149409.19976399999</v>
      </c>
      <c r="H153" s="45">
        <f t="shared" si="79"/>
        <v>456958.353672</v>
      </c>
      <c r="I153" s="52">
        <v>421494100.15147197</v>
      </c>
      <c r="J153" s="47">
        <f t="shared" si="66"/>
        <v>2.316669153694185E-4</v>
      </c>
      <c r="K153" s="44">
        <f>310024.55*1332.9396</f>
        <v>413243999.66717994</v>
      </c>
      <c r="L153" s="47">
        <f t="shared" si="73"/>
        <v>2.3580125203707575E-4</v>
      </c>
      <c r="M153" s="47">
        <f t="shared" si="74"/>
        <v>-1.9573466108605549E-2</v>
      </c>
      <c r="N153" s="49">
        <f t="shared" si="75"/>
        <v>3.6155201257448807E-4</v>
      </c>
      <c r="O153" s="50">
        <f t="shared" si="76"/>
        <v>1.1057833968309931E-3</v>
      </c>
      <c r="P153" s="51">
        <f t="shared" si="77"/>
        <v>1721.7423897138926</v>
      </c>
      <c r="Q153" s="51">
        <f t="shared" si="78"/>
        <v>1.9038741481657395</v>
      </c>
      <c r="R153" s="52">
        <f>1.28*C251</f>
        <v>1706.1626879999999</v>
      </c>
      <c r="S153" s="52">
        <f>1.28*C251</f>
        <v>1706.1626879999999</v>
      </c>
      <c r="T153" s="52">
        <v>2</v>
      </c>
      <c r="U153" s="59">
        <v>240015</v>
      </c>
      <c r="V153" s="59">
        <v>240015</v>
      </c>
    </row>
    <row r="154" spans="1:22">
      <c r="A154" s="77">
        <v>138</v>
      </c>
      <c r="B154" s="70" t="s">
        <v>225</v>
      </c>
      <c r="C154" s="52" t="s">
        <v>122</v>
      </c>
      <c r="D154" s="79">
        <f>398402.01*1332.9396</f>
        <v>531045815.84859598</v>
      </c>
      <c r="E154" s="52">
        <f>2831.9*1332.9396</f>
        <v>3774751.6532399999</v>
      </c>
      <c r="F154" s="52">
        <v>0</v>
      </c>
      <c r="G154" s="44">
        <f>1111.41*1332.9396</f>
        <v>1481442.400836</v>
      </c>
      <c r="H154" s="45">
        <f t="shared" si="79"/>
        <v>2293309.2524039997</v>
      </c>
      <c r="I154" s="52">
        <v>760869072.02455199</v>
      </c>
      <c r="J154" s="47">
        <f t="shared" si="66"/>
        <v>4.181984773987928E-4</v>
      </c>
      <c r="K154" s="44">
        <f>517195.27*1332.9396</f>
        <v>689390056.31569195</v>
      </c>
      <c r="L154" s="47">
        <f t="shared" si="73"/>
        <v>3.9337301582617715E-4</v>
      </c>
      <c r="M154" s="47">
        <f t="shared" si="74"/>
        <v>-9.3943910111454143E-2</v>
      </c>
      <c r="N154" s="49">
        <f t="shared" si="75"/>
        <v>2.1489175645399853E-3</v>
      </c>
      <c r="O154" s="50">
        <f t="shared" si="76"/>
        <v>3.3265772132834853E-3</v>
      </c>
      <c r="P154" s="51">
        <f t="shared" si="77"/>
        <v>1457.5778497991339</v>
      </c>
      <c r="Q154" s="51">
        <f t="shared" si="78"/>
        <v>4.8487452617285376</v>
      </c>
      <c r="R154" s="52">
        <f>1.0935*C251</f>
        <v>1457.5694525999997</v>
      </c>
      <c r="S154" s="52">
        <f>1.0935*C251</f>
        <v>1457.5694525999997</v>
      </c>
      <c r="T154" s="52">
        <v>19</v>
      </c>
      <c r="U154" s="59">
        <v>510472.63</v>
      </c>
      <c r="V154" s="59">
        <v>472969.63</v>
      </c>
    </row>
    <row r="155" spans="1:22">
      <c r="A155" s="77">
        <v>139</v>
      </c>
      <c r="B155" s="70" t="s">
        <v>226</v>
      </c>
      <c r="C155" s="70" t="s">
        <v>54</v>
      </c>
      <c r="D155" s="79">
        <f>593984143.2*1332.9396</f>
        <v>791744986243.35071</v>
      </c>
      <c r="E155" s="44">
        <f>3047606.52*1332.9396</f>
        <v>4062275415.726192</v>
      </c>
      <c r="F155" s="52">
        <v>0</v>
      </c>
      <c r="G155" s="44">
        <f>977696.93*1332.9396</f>
        <v>1303210954.795428</v>
      </c>
      <c r="H155" s="45">
        <f t="shared" si="79"/>
        <v>2759064460.9307642</v>
      </c>
      <c r="I155" s="52">
        <v>851276913948.11865</v>
      </c>
      <c r="J155" s="47">
        <f t="shared" si="66"/>
        <v>0.46788957830889305</v>
      </c>
      <c r="K155" s="44">
        <f>597268505.42*1332.9396</f>
        <v>796122842707.13257</v>
      </c>
      <c r="L155" s="47">
        <f t="shared" si="73"/>
        <v>0.45427583518901637</v>
      </c>
      <c r="M155" s="47">
        <f t="shared" si="74"/>
        <v>-6.4789812030950328E-2</v>
      </c>
      <c r="N155" s="49">
        <f t="shared" si="75"/>
        <v>1.6369470700827969E-3</v>
      </c>
      <c r="O155" s="50">
        <f t="shared" si="76"/>
        <v>3.4656265502304314E-3</v>
      </c>
      <c r="P155" s="51">
        <f t="shared" si="77"/>
        <v>2285.8395606112745</v>
      </c>
      <c r="Q155" s="51">
        <f t="shared" si="78"/>
        <v>7.9218662708214964</v>
      </c>
      <c r="R155" s="52">
        <f>1.7149*FX_RATE</f>
        <v>2285.8581200399999</v>
      </c>
      <c r="S155" s="52">
        <f>1.7149*C251</f>
        <v>2285.8581200399999</v>
      </c>
      <c r="T155" s="44">
        <v>13997</v>
      </c>
      <c r="U155" s="59">
        <v>364050831.66000003</v>
      </c>
      <c r="V155" s="59">
        <v>348284654.98000002</v>
      </c>
    </row>
    <row r="156" spans="1:22">
      <c r="A156" s="77">
        <v>140</v>
      </c>
      <c r="B156" s="70" t="s">
        <v>227</v>
      </c>
      <c r="C156" s="70" t="s">
        <v>129</v>
      </c>
      <c r="D156" s="78">
        <v>522919536.19999999</v>
      </c>
      <c r="E156" s="52">
        <v>16809634.649999999</v>
      </c>
      <c r="F156" s="52">
        <v>15969242.15</v>
      </c>
      <c r="G156" s="52">
        <v>11996283.119999999</v>
      </c>
      <c r="H156" s="45">
        <f t="shared" si="79"/>
        <v>20782593.68</v>
      </c>
      <c r="I156" s="52">
        <v>675064169</v>
      </c>
      <c r="J156" s="47">
        <f t="shared" si="66"/>
        <v>3.7103730195143435E-4</v>
      </c>
      <c r="K156" s="52">
        <v>665903683.22000003</v>
      </c>
      <c r="L156" s="47">
        <f t="shared" si="73"/>
        <v>3.7997145116647402E-4</v>
      </c>
      <c r="M156" s="47">
        <f t="shared" si="74"/>
        <v>-1.3569800028891729E-2</v>
      </c>
      <c r="N156" s="49">
        <f t="shared" si="75"/>
        <v>1.8015042448769111E-2</v>
      </c>
      <c r="O156" s="50">
        <f t="shared" si="76"/>
        <v>3.1209609142729258E-2</v>
      </c>
      <c r="P156" s="51">
        <f t="shared" si="77"/>
        <v>159758.47627387429</v>
      </c>
      <c r="Q156" s="51">
        <f t="shared" si="78"/>
        <v>4985.9996017456024</v>
      </c>
      <c r="R156" s="52">
        <v>159758.41</v>
      </c>
      <c r="S156" s="52">
        <v>159758.41</v>
      </c>
      <c r="T156" s="52">
        <v>2</v>
      </c>
      <c r="U156" s="58">
        <v>4168.1899999999996</v>
      </c>
      <c r="V156" s="58">
        <v>4168.1899999999996</v>
      </c>
    </row>
    <row r="157" spans="1:22">
      <c r="A157" s="77">
        <v>141</v>
      </c>
      <c r="B157" s="70" t="s">
        <v>228</v>
      </c>
      <c r="C157" s="70" t="s">
        <v>57</v>
      </c>
      <c r="D157" s="78">
        <f>72395529.56*C251</f>
        <v>96498868213.494568</v>
      </c>
      <c r="E157" s="52">
        <f>831852.32*C251</f>
        <v>1108808898.6798718</v>
      </c>
      <c r="F157" s="39">
        <v>0</v>
      </c>
      <c r="G157" s="52">
        <f>251657*1332.9396</f>
        <v>335443580.91719997</v>
      </c>
      <c r="H157" s="45">
        <f>(E157+G157)</f>
        <v>1444252479.5970716</v>
      </c>
      <c r="I157" s="52">
        <v>176869189633.04639</v>
      </c>
      <c r="J157" s="47">
        <f t="shared" si="66"/>
        <v>9.7213079783208187E-2</v>
      </c>
      <c r="K157" s="52">
        <f>128458509.91*1332.9396</f>
        <v>171227434816.03143</v>
      </c>
      <c r="L157" s="47">
        <f t="shared" si="73"/>
        <v>9.7704125275224513E-2</v>
      </c>
      <c r="M157" s="47">
        <f t="shared" si="74"/>
        <v>-3.189789487202379E-2</v>
      </c>
      <c r="N157" s="49">
        <f t="shared" si="75"/>
        <v>1.9590527725746993E-3</v>
      </c>
      <c r="O157" s="50">
        <f t="shared" si="76"/>
        <v>8.4347025413818288E-3</v>
      </c>
      <c r="P157" s="51">
        <f t="shared" si="77"/>
        <v>1621.1687964298551</v>
      </c>
      <c r="Q157" s="51">
        <f t="shared" si="78"/>
        <v>13.674076567255817</v>
      </c>
      <c r="R157" s="52">
        <f>1.22*C251</f>
        <v>1626.1863119999998</v>
      </c>
      <c r="S157" s="52">
        <f>1.22*C251</f>
        <v>1626.1863119999998</v>
      </c>
      <c r="T157" s="52">
        <v>451</v>
      </c>
      <c r="U157" s="58">
        <v>107042975.28</v>
      </c>
      <c r="V157" s="58">
        <v>105619744.95999999</v>
      </c>
    </row>
    <row r="158" spans="1:22">
      <c r="A158" s="77">
        <v>142</v>
      </c>
      <c r="B158" s="70" t="s">
        <v>229</v>
      </c>
      <c r="C158" s="52" t="s">
        <v>124</v>
      </c>
      <c r="D158" s="78">
        <f>1338238.796*1332.9396</f>
        <v>1783791485.4447217</v>
      </c>
      <c r="E158" s="52">
        <f>9221.5491*1332.9396</f>
        <v>12291767.968734359</v>
      </c>
      <c r="F158" s="52">
        <f>1415.92*1332.9396</f>
        <v>1887335.838432</v>
      </c>
      <c r="G158" s="52">
        <f>2829.3719*1332.9396</f>
        <v>3771381.84863724</v>
      </c>
      <c r="H158" s="45">
        <f t="shared" ref="H158:H159" si="82">(E158+F158)-G158</f>
        <v>10407721.95852912</v>
      </c>
      <c r="I158" s="52">
        <v>1853044347.973752</v>
      </c>
      <c r="J158" s="47">
        <f t="shared" si="66"/>
        <v>1.0184936585910485E-3</v>
      </c>
      <c r="K158" s="52">
        <f>1361957.403*1332.9396</f>
        <v>1815406955.9718585</v>
      </c>
      <c r="L158" s="47">
        <f t="shared" si="73"/>
        <v>1.0358897734020229E-3</v>
      </c>
      <c r="M158" s="47">
        <f t="shared" si="74"/>
        <v>-2.0311112382738639E-2</v>
      </c>
      <c r="N158" s="49">
        <f t="shared" si="75"/>
        <v>2.0774305376715227E-3</v>
      </c>
      <c r="O158" s="50">
        <f t="shared" si="76"/>
        <v>5.7329966288233473E-3</v>
      </c>
      <c r="P158" s="51">
        <f t="shared" si="77"/>
        <v>154823.24870987755</v>
      </c>
      <c r="Q158" s="51">
        <f t="shared" si="78"/>
        <v>887.60116291720669</v>
      </c>
      <c r="R158" s="52">
        <f>116.659993768104*C251</f>
        <v>155500.72542925904</v>
      </c>
      <c r="S158" s="52">
        <f>116.659993768104*C251</f>
        <v>155500.72542925904</v>
      </c>
      <c r="T158" s="52">
        <v>24</v>
      </c>
      <c r="U158" s="58">
        <v>11709.481422895</v>
      </c>
      <c r="V158" s="58">
        <v>11725.6740902895</v>
      </c>
    </row>
    <row r="159" spans="1:22">
      <c r="A159" s="77">
        <v>143</v>
      </c>
      <c r="B159" s="70" t="s">
        <v>230</v>
      </c>
      <c r="C159" s="70" t="s">
        <v>136</v>
      </c>
      <c r="D159" s="79">
        <f>4122679.97*1332.9396</f>
        <v>5495283390.1398115</v>
      </c>
      <c r="E159" s="44">
        <f>24539.01*1332.9396</f>
        <v>32709018.173795994</v>
      </c>
      <c r="F159" s="44">
        <f>-5459.3*1332.9396</f>
        <v>-7276917.1582800001</v>
      </c>
      <c r="G159" s="44">
        <f>7249.09*1332.9396</f>
        <v>9662599.1249639988</v>
      </c>
      <c r="H159" s="45">
        <f t="shared" si="82"/>
        <v>15769501.890551995</v>
      </c>
      <c r="I159" s="52">
        <v>5627424990.6338396</v>
      </c>
      <c r="J159" s="47">
        <f t="shared" si="66"/>
        <v>3.0930164587936464E-3</v>
      </c>
      <c r="K159" s="44">
        <f>4104274.31*1332.9396</f>
        <v>5470749757.061676</v>
      </c>
      <c r="L159" s="47">
        <f t="shared" si="73"/>
        <v>3.1216657551848886E-3</v>
      </c>
      <c r="M159" s="47">
        <f t="shared" si="74"/>
        <v>-2.7841372178737226E-2</v>
      </c>
      <c r="N159" s="49">
        <f t="shared" si="75"/>
        <v>1.7662294116983616E-3</v>
      </c>
      <c r="O159" s="50">
        <f t="shared" si="76"/>
        <v>2.8825120122148943E-3</v>
      </c>
      <c r="P159" s="51">
        <f t="shared" si="77"/>
        <v>1591.4544676068947</v>
      </c>
      <c r="Q159" s="51">
        <f t="shared" si="78"/>
        <v>4.5873866197699336</v>
      </c>
      <c r="R159" s="52">
        <f>1.19*C251</f>
        <v>1586.1981239999998</v>
      </c>
      <c r="S159" s="52">
        <f>1.19*C251</f>
        <v>1586.1981239999998</v>
      </c>
      <c r="T159" s="52">
        <v>59</v>
      </c>
      <c r="U159" s="59">
        <v>3454783.87</v>
      </c>
      <c r="V159" s="59">
        <v>3437578.56</v>
      </c>
    </row>
    <row r="160" spans="1:22">
      <c r="A160" s="77">
        <v>144</v>
      </c>
      <c r="B160" s="70" t="s">
        <v>231</v>
      </c>
      <c r="C160" s="52" t="s">
        <v>59</v>
      </c>
      <c r="D160" s="78">
        <f>1217467.5*1332.9396</f>
        <v>1622810642.4629998</v>
      </c>
      <c r="E160" s="44">
        <f>16467.28*1332.9396</f>
        <v>21949889.616287999</v>
      </c>
      <c r="F160" s="52">
        <v>0</v>
      </c>
      <c r="G160" s="44">
        <f>3359.11*1332.9396</f>
        <v>4477490.7397560002</v>
      </c>
      <c r="H160" s="45">
        <f t="shared" si="79"/>
        <v>17472398.876532</v>
      </c>
      <c r="I160" s="52">
        <v>2448902254.1558399</v>
      </c>
      <c r="J160" s="47">
        <f t="shared" si="66"/>
        <v>1.3459966131379262E-3</v>
      </c>
      <c r="K160" s="52">
        <f>1803864.57*1332.9396</f>
        <v>2404442518.3899717</v>
      </c>
      <c r="L160" s="47">
        <f t="shared" si="73"/>
        <v>1.3719994887866824E-3</v>
      </c>
      <c r="M160" s="47">
        <f t="shared" si="74"/>
        <v>-1.8154965430089771E-2</v>
      </c>
      <c r="N160" s="49">
        <f t="shared" si="75"/>
        <v>1.8621741653255047E-3</v>
      </c>
      <c r="O160" s="50">
        <f t="shared" si="76"/>
        <v>7.266715150350783E-3</v>
      </c>
      <c r="P160" s="51">
        <f t="shared" si="77"/>
        <v>2067.2143481792436</v>
      </c>
      <c r="Q160" s="51">
        <f t="shared" si="78"/>
        <v>15.021857822936628</v>
      </c>
      <c r="R160" s="52">
        <f>1.5509*C251</f>
        <v>2067.2560256399997</v>
      </c>
      <c r="S160" s="52">
        <f>1.55*C251</f>
        <v>2066.05638</v>
      </c>
      <c r="T160" s="52">
        <v>11</v>
      </c>
      <c r="U160" s="58">
        <v>1157795.77</v>
      </c>
      <c r="V160" s="58">
        <v>1163131.69</v>
      </c>
    </row>
    <row r="161" spans="1:22" ht="15" customHeight="1">
      <c r="A161" s="144" t="s">
        <v>62</v>
      </c>
      <c r="B161" s="144"/>
      <c r="C161" s="144"/>
      <c r="D161" s="144"/>
      <c r="E161" s="144"/>
      <c r="F161" s="144"/>
      <c r="G161" s="144"/>
      <c r="H161" s="144"/>
      <c r="I161" s="64">
        <f>SUM(I121:I160)</f>
        <v>1819397040269.4448</v>
      </c>
      <c r="J161" s="62">
        <f>(I161/$I$249)</f>
        <v>0.19254107954624103</v>
      </c>
      <c r="K161" s="64">
        <f>SUM(K121:K160)</f>
        <v>1752509777183.8987</v>
      </c>
      <c r="L161" s="62">
        <f>(K161/$K$249)</f>
        <v>0.18309420300960561</v>
      </c>
      <c r="M161" s="62">
        <f t="shared" si="68"/>
        <v>-3.6763423049012124E-2</v>
      </c>
      <c r="N161" s="49"/>
      <c r="O161" s="49"/>
      <c r="P161" s="63"/>
      <c r="Q161" s="63"/>
      <c r="R161" s="64"/>
      <c r="S161" s="64"/>
      <c r="T161" s="80">
        <f>SUM(T121:T160)</f>
        <v>31548</v>
      </c>
      <c r="U161" s="80"/>
      <c r="V161" s="64"/>
    </row>
    <row r="162" spans="1:22" ht="4.2" customHeight="1">
      <c r="A162" s="155"/>
      <c r="B162" s="155"/>
      <c r="C162" s="155"/>
      <c r="D162" s="155"/>
      <c r="E162" s="155"/>
      <c r="F162" s="155"/>
      <c r="G162" s="155"/>
      <c r="H162" s="155"/>
      <c r="I162" s="155"/>
      <c r="J162" s="155"/>
      <c r="K162" s="155"/>
      <c r="L162" s="155"/>
      <c r="M162" s="155"/>
      <c r="N162" s="155"/>
      <c r="O162" s="155"/>
      <c r="P162" s="155"/>
      <c r="Q162" s="155"/>
      <c r="R162" s="155"/>
      <c r="S162" s="155"/>
      <c r="T162" s="155"/>
      <c r="U162" s="155"/>
      <c r="V162" s="155"/>
    </row>
    <row r="163" spans="1:22">
      <c r="A163" s="143" t="s">
        <v>232</v>
      </c>
      <c r="B163" s="143"/>
      <c r="C163" s="143"/>
      <c r="D163" s="143"/>
      <c r="E163" s="143"/>
      <c r="F163" s="143"/>
      <c r="G163" s="143"/>
      <c r="H163" s="143"/>
      <c r="I163" s="143"/>
      <c r="J163" s="143"/>
      <c r="K163" s="143"/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</row>
    <row r="164" spans="1:22">
      <c r="A164" s="77">
        <v>145</v>
      </c>
      <c r="B164" s="81" t="s">
        <v>233</v>
      </c>
      <c r="C164" s="81" t="s">
        <v>234</v>
      </c>
      <c r="D164" s="82">
        <v>2786420055.8800001</v>
      </c>
      <c r="E164" s="82">
        <v>44487882.740000002</v>
      </c>
      <c r="F164" s="83">
        <v>0</v>
      </c>
      <c r="G164" s="82">
        <v>18454911.109999999</v>
      </c>
      <c r="H164" s="45">
        <f t="shared" ref="H164:H169" si="83">(E164+F164)-G164</f>
        <v>26032971.630000003</v>
      </c>
      <c r="I164" s="84">
        <v>2676374130.5500002</v>
      </c>
      <c r="J164" s="47">
        <f>(I164/$I$170)</f>
        <v>5.1557400116140437E-3</v>
      </c>
      <c r="K164" s="85">
        <v>2724426696.8600001</v>
      </c>
      <c r="L164" s="47">
        <f>(K164/$K$170)</f>
        <v>5.2150306529360367E-3</v>
      </c>
      <c r="M164" s="47">
        <f t="shared" ref="M164:M170" si="84">((K164-I164)/I164)</f>
        <v>1.7954353153206218E-2</v>
      </c>
      <c r="N164" s="49">
        <f>(G164/K164)</f>
        <v>6.7738695745677242E-3</v>
      </c>
      <c r="O164" s="50">
        <f>H164/K164</f>
        <v>9.5553944101355124E-3</v>
      </c>
      <c r="P164" s="51">
        <f>K164/V164</f>
        <v>128.3895710113101</v>
      </c>
      <c r="Q164" s="51">
        <f>H164/V164</f>
        <v>1.2268129891611688</v>
      </c>
      <c r="R164" s="83">
        <v>128.38999999999999</v>
      </c>
      <c r="S164" s="83">
        <v>128.38999999999999</v>
      </c>
      <c r="T164" s="83">
        <v>8</v>
      </c>
      <c r="U164" s="82">
        <v>21220000</v>
      </c>
      <c r="V164" s="83">
        <v>21220000</v>
      </c>
    </row>
    <row r="165" spans="1:22">
      <c r="A165" s="77">
        <v>146</v>
      </c>
      <c r="B165" s="81" t="s">
        <v>235</v>
      </c>
      <c r="C165" s="81" t="s">
        <v>73</v>
      </c>
      <c r="D165" s="82">
        <v>6730336213</v>
      </c>
      <c r="E165" s="82">
        <v>2529351887</v>
      </c>
      <c r="F165" s="83">
        <v>0</v>
      </c>
      <c r="G165" s="82">
        <v>493154350</v>
      </c>
      <c r="H165" s="45">
        <f t="shared" si="83"/>
        <v>2036197537</v>
      </c>
      <c r="I165" s="84">
        <v>256061287609</v>
      </c>
      <c r="J165" s="47">
        <f t="shared" ref="J165:J169" si="85">(I165/$I$170)</f>
        <v>0.4932738703761988</v>
      </c>
      <c r="K165" s="85">
        <v>258096589313</v>
      </c>
      <c r="L165" s="47">
        <f t="shared" ref="L165:L169" si="86">(K165/$K$170)</f>
        <v>0.49404215067956531</v>
      </c>
      <c r="M165" s="47">
        <f t="shared" ref="M165:M169" si="87">((K165-I165)/I165)</f>
        <v>7.9484943741588189E-3</v>
      </c>
      <c r="N165" s="49">
        <f t="shared" ref="N165:N169" si="88">(G165/K165)</f>
        <v>1.910735633170029E-3</v>
      </c>
      <c r="O165" s="50">
        <f t="shared" ref="O165:O169" si="89">H165/K165</f>
        <v>7.8892849472359892E-3</v>
      </c>
      <c r="P165" s="51">
        <f t="shared" ref="P165:P169" si="90">K165/V165</f>
        <v>103.2386357252</v>
      </c>
      <c r="Q165" s="51">
        <f t="shared" ref="Q165:Q169" si="91">H165/V165</f>
        <v>0.81447901479999996</v>
      </c>
      <c r="R165" s="83">
        <v>103.23860000000001</v>
      </c>
      <c r="S165" s="83">
        <v>103.23860000000001</v>
      </c>
      <c r="T165" s="83">
        <v>45</v>
      </c>
      <c r="U165" s="82">
        <v>2500000000</v>
      </c>
      <c r="V165" s="83">
        <v>2500000000</v>
      </c>
    </row>
    <row r="166" spans="1:22">
      <c r="A166" s="77">
        <v>147</v>
      </c>
      <c r="B166" s="70" t="s">
        <v>236</v>
      </c>
      <c r="C166" s="70" t="s">
        <v>52</v>
      </c>
      <c r="D166" s="82">
        <v>196994669260</v>
      </c>
      <c r="E166" s="82">
        <v>759154275</v>
      </c>
      <c r="F166" s="83">
        <v>0</v>
      </c>
      <c r="G166" s="82">
        <v>222250963</v>
      </c>
      <c r="H166" s="45">
        <f t="shared" si="83"/>
        <v>536903312</v>
      </c>
      <c r="I166" s="84">
        <v>191529618773</v>
      </c>
      <c r="J166" s="47">
        <f t="shared" si="85"/>
        <v>0.36896071727991625</v>
      </c>
      <c r="K166" s="85">
        <v>190925366980</v>
      </c>
      <c r="L166" s="47">
        <f t="shared" si="86"/>
        <v>0.36546464706549853</v>
      </c>
      <c r="M166" s="47">
        <f t="shared" si="87"/>
        <v>-3.1548738877622703E-3</v>
      </c>
      <c r="N166" s="49">
        <f t="shared" si="88"/>
        <v>1.1640724672446561E-3</v>
      </c>
      <c r="O166" s="50">
        <f t="shared" si="89"/>
        <v>2.812110933673063E-3</v>
      </c>
      <c r="P166" s="51">
        <f t="shared" si="90"/>
        <v>115.23914918857955</v>
      </c>
      <c r="Q166" s="51">
        <f t="shared" si="91"/>
        <v>0.32406527142038583</v>
      </c>
      <c r="R166" s="83">
        <v>103</v>
      </c>
      <c r="S166" s="83">
        <v>103</v>
      </c>
      <c r="T166" s="83">
        <v>2076</v>
      </c>
      <c r="U166" s="82">
        <v>1656775222</v>
      </c>
      <c r="V166" s="82">
        <v>1656775222</v>
      </c>
    </row>
    <row r="167" spans="1:22">
      <c r="A167" s="77">
        <v>148</v>
      </c>
      <c r="B167" s="70" t="s">
        <v>237</v>
      </c>
      <c r="C167" s="70" t="s">
        <v>172</v>
      </c>
      <c r="D167" s="82">
        <v>6286162782.1099997</v>
      </c>
      <c r="E167" s="82">
        <v>37546188.280000001</v>
      </c>
      <c r="F167" s="83">
        <v>0</v>
      </c>
      <c r="G167" s="82">
        <v>11604147.199999999</v>
      </c>
      <c r="H167" s="45">
        <f t="shared" si="83"/>
        <v>25942041.080000002</v>
      </c>
      <c r="I167" s="84">
        <v>6107740869.5699997</v>
      </c>
      <c r="J167" s="47">
        <f t="shared" si="85"/>
        <v>1.1765890135599673E-2</v>
      </c>
      <c r="K167" s="85">
        <v>6133682910.6499996</v>
      </c>
      <c r="L167" s="47">
        <f t="shared" si="86"/>
        <v>1.1740945143173146E-2</v>
      </c>
      <c r="M167" s="47">
        <f t="shared" si="87"/>
        <v>4.2474036855833916E-3</v>
      </c>
      <c r="N167" s="49">
        <f t="shared" si="88"/>
        <v>1.8918726919925312E-3</v>
      </c>
      <c r="O167" s="50">
        <f t="shared" si="89"/>
        <v>4.229439548457334E-3</v>
      </c>
      <c r="P167" s="51">
        <f t="shared" si="90"/>
        <v>306.6841455325</v>
      </c>
      <c r="Q167" s="51">
        <f t="shared" si="91"/>
        <v>1.297102054</v>
      </c>
      <c r="R167" s="83">
        <v>418.75</v>
      </c>
      <c r="S167" s="83">
        <v>418.75</v>
      </c>
      <c r="T167" s="83">
        <v>5693</v>
      </c>
      <c r="U167" s="82">
        <v>20000000</v>
      </c>
      <c r="V167" s="83">
        <v>20000000</v>
      </c>
    </row>
    <row r="168" spans="1:22">
      <c r="A168" s="77">
        <v>149</v>
      </c>
      <c r="B168" s="70" t="s">
        <v>238</v>
      </c>
      <c r="C168" s="70" t="s">
        <v>172</v>
      </c>
      <c r="D168" s="82">
        <v>28578062759.950001</v>
      </c>
      <c r="E168" s="82">
        <v>116675950.91</v>
      </c>
      <c r="F168" s="83">
        <v>0</v>
      </c>
      <c r="G168" s="82">
        <v>38492153.539999999</v>
      </c>
      <c r="H168" s="45">
        <f t="shared" si="83"/>
        <v>78183797.370000005</v>
      </c>
      <c r="I168" s="84">
        <v>27523336226.349998</v>
      </c>
      <c r="J168" s="47">
        <f t="shared" si="85"/>
        <v>5.3020676076456316E-2</v>
      </c>
      <c r="K168" s="85">
        <v>27601520023.720001</v>
      </c>
      <c r="L168" s="47">
        <f t="shared" si="86"/>
        <v>5.2834151550939817E-2</v>
      </c>
      <c r="M168" s="47">
        <f t="shared" si="87"/>
        <v>2.8406366411042848E-3</v>
      </c>
      <c r="N168" s="49">
        <f t="shared" si="88"/>
        <v>1.3945664407945969E-3</v>
      </c>
      <c r="O168" s="50">
        <f t="shared" si="89"/>
        <v>2.8325902813617133E-3</v>
      </c>
      <c r="P168" s="51">
        <f t="shared" si="90"/>
        <v>146.71743205584252</v>
      </c>
      <c r="Q168" s="51">
        <f t="shared" si="91"/>
        <v>0.41559037214772704</v>
      </c>
      <c r="R168" s="83">
        <v>70</v>
      </c>
      <c r="S168" s="83">
        <v>70</v>
      </c>
      <c r="T168" s="83">
        <v>8409</v>
      </c>
      <c r="U168" s="82">
        <v>188127066</v>
      </c>
      <c r="V168" s="83">
        <v>188127066</v>
      </c>
    </row>
    <row r="169" spans="1:22" ht="16.05" customHeight="1">
      <c r="A169" s="77">
        <v>150</v>
      </c>
      <c r="B169" s="70" t="s">
        <v>239</v>
      </c>
      <c r="C169" s="70" t="s">
        <v>172</v>
      </c>
      <c r="D169" s="82">
        <v>39082482289.120003</v>
      </c>
      <c r="E169" s="82">
        <v>381822289.25999999</v>
      </c>
      <c r="F169" s="83">
        <v>0</v>
      </c>
      <c r="G169" s="82">
        <v>62081504.119999997</v>
      </c>
      <c r="H169" s="45">
        <f t="shared" si="83"/>
        <v>319740785.13999999</v>
      </c>
      <c r="I169" s="84">
        <v>35207362331.07</v>
      </c>
      <c r="J169" s="47">
        <f t="shared" si="85"/>
        <v>6.7823106120214943E-2</v>
      </c>
      <c r="K169" s="85">
        <v>36936570012.43</v>
      </c>
      <c r="L169" s="47">
        <f t="shared" si="86"/>
        <v>7.070307490788727E-2</v>
      </c>
      <c r="M169" s="47">
        <f t="shared" si="87"/>
        <v>4.9114945479286846E-2</v>
      </c>
      <c r="N169" s="49">
        <f t="shared" si="88"/>
        <v>1.6807598566707237E-3</v>
      </c>
      <c r="O169" s="50">
        <f t="shared" si="89"/>
        <v>8.6564828578398027E-3</v>
      </c>
      <c r="P169" s="51">
        <f t="shared" si="90"/>
        <v>1.9901201424246746</v>
      </c>
      <c r="Q169" s="51">
        <f t="shared" si="91"/>
        <v>1.7227440897940902E-2</v>
      </c>
      <c r="R169" s="83">
        <v>14.2</v>
      </c>
      <c r="S169" s="83">
        <v>14.2</v>
      </c>
      <c r="T169" s="82">
        <v>216198</v>
      </c>
      <c r="U169" s="82">
        <v>18559969936</v>
      </c>
      <c r="V169" s="82">
        <v>18559969936</v>
      </c>
    </row>
    <row r="170" spans="1:22" ht="15" customHeight="1">
      <c r="A170" s="144" t="s">
        <v>62</v>
      </c>
      <c r="B170" s="144"/>
      <c r="C170" s="144"/>
      <c r="D170" s="144"/>
      <c r="E170" s="144"/>
      <c r="F170" s="144"/>
      <c r="G170" s="144"/>
      <c r="H170" s="144"/>
      <c r="I170" s="64">
        <f>SUM(I164:I169)</f>
        <v>519105719939.53998</v>
      </c>
      <c r="J170" s="62">
        <f>(I170/$I$249)</f>
        <v>5.4935329399560667E-2</v>
      </c>
      <c r="K170" s="64">
        <f>SUM(K164:K169)</f>
        <v>522418155936.65997</v>
      </c>
      <c r="L170" s="62">
        <f>(K170/$K$249)</f>
        <v>5.4579858637178631E-2</v>
      </c>
      <c r="M170" s="62">
        <f t="shared" si="84"/>
        <v>6.381043147638198E-3</v>
      </c>
      <c r="N170" s="49"/>
      <c r="O170" s="49"/>
      <c r="P170" s="74"/>
      <c r="Q170" s="74"/>
      <c r="R170" s="64"/>
      <c r="S170" s="64"/>
      <c r="T170" s="64">
        <f>SUM(T164:T169)</f>
        <v>232429</v>
      </c>
      <c r="U170" s="64"/>
      <c r="V170" s="64"/>
    </row>
    <row r="171" spans="1:22" ht="4.95" customHeight="1">
      <c r="A171" s="155"/>
      <c r="B171" s="155"/>
      <c r="C171" s="155"/>
      <c r="D171" s="155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  <c r="V171" s="155"/>
    </row>
    <row r="172" spans="1:22" ht="13.95" customHeight="1">
      <c r="A172" s="147" t="s">
        <v>240</v>
      </c>
      <c r="B172" s="148"/>
      <c r="C172" s="148"/>
      <c r="D172" s="148"/>
      <c r="E172" s="148"/>
      <c r="F172" s="148"/>
      <c r="G172" s="148"/>
      <c r="H172" s="148"/>
      <c r="I172" s="148"/>
      <c r="J172" s="148"/>
      <c r="K172" s="148"/>
      <c r="L172" s="148"/>
      <c r="M172" s="148"/>
      <c r="N172" s="148"/>
      <c r="O172" s="148"/>
      <c r="P172" s="148"/>
      <c r="Q172" s="148"/>
      <c r="R172" s="148"/>
      <c r="S172" s="148"/>
      <c r="T172" s="148"/>
      <c r="U172" s="148"/>
      <c r="V172" s="149"/>
    </row>
    <row r="173" spans="1:22">
      <c r="A173" s="77">
        <v>151</v>
      </c>
      <c r="B173" s="70" t="s">
        <v>241</v>
      </c>
      <c r="C173" s="70" t="s">
        <v>66</v>
      </c>
      <c r="D173" s="48">
        <v>1038832388.5599999</v>
      </c>
      <c r="E173" s="48">
        <v>5748344.25</v>
      </c>
      <c r="F173" s="48">
        <v>34801703.32</v>
      </c>
      <c r="G173" s="44">
        <v>1993327.58</v>
      </c>
      <c r="H173" s="45">
        <f>(E173+F173)-G173</f>
        <v>38556719.990000002</v>
      </c>
      <c r="I173" s="52">
        <v>1046202093.72</v>
      </c>
      <c r="J173" s="47">
        <f>(I173/$I$203)</f>
        <v>6.7140234640568021E-3</v>
      </c>
      <c r="K173" s="44">
        <v>1031240704.4</v>
      </c>
      <c r="L173" s="47">
        <f>(K173/$K$203)</f>
        <v>6.5367081295692039E-3</v>
      </c>
      <c r="M173" s="47">
        <f t="shared" ref="M173:M203" si="92">((K173-I173)/I173)</f>
        <v>-1.4300668493982425E-2</v>
      </c>
      <c r="N173" s="49">
        <f t="shared" ref="N173" si="93">(G173/K173)</f>
        <v>1.9329411373067986E-3</v>
      </c>
      <c r="O173" s="50">
        <f t="shared" ref="O173" si="94">H173/K173</f>
        <v>3.7388671554070593E-2</v>
      </c>
      <c r="P173" s="51">
        <f t="shared" ref="P173" si="95">K173/V173</f>
        <v>9.6347213788232899</v>
      </c>
      <c r="Q173" s="51">
        <f t="shared" ref="Q173" si="96">H173/V173</f>
        <v>0.3602294331478062</v>
      </c>
      <c r="R173" s="52">
        <v>9.5589999999999993</v>
      </c>
      <c r="S173" s="52">
        <v>9.7378</v>
      </c>
      <c r="T173" s="52">
        <v>12025</v>
      </c>
      <c r="U173" s="44">
        <v>108107012.81999999</v>
      </c>
      <c r="V173" s="44">
        <v>107033785.81</v>
      </c>
    </row>
    <row r="174" spans="1:22">
      <c r="A174" s="77">
        <v>152</v>
      </c>
      <c r="B174" s="70" t="s">
        <v>242</v>
      </c>
      <c r="C174" s="70" t="s">
        <v>243</v>
      </c>
      <c r="D174" s="48">
        <v>1612632347.45</v>
      </c>
      <c r="E174" s="48">
        <v>47903184.049999997</v>
      </c>
      <c r="F174" s="48">
        <v>508578084.86000001</v>
      </c>
      <c r="G174" s="44">
        <v>4301847.1100000003</v>
      </c>
      <c r="H174" s="45">
        <f>(E174+F174)-G174</f>
        <v>552179421.79999995</v>
      </c>
      <c r="I174" s="52">
        <v>3425485776.3600001</v>
      </c>
      <c r="J174" s="47">
        <f t="shared" ref="J174:J202" si="97">(I174/$I$203)</f>
        <v>2.1983125455710611E-2</v>
      </c>
      <c r="K174" s="44">
        <v>3124682418.0700002</v>
      </c>
      <c r="L174" s="47">
        <f t="shared" ref="L174:L202" si="98">(K174/$K$203)</f>
        <v>1.9806371953096976E-2</v>
      </c>
      <c r="M174" s="47">
        <f t="shared" ref="M174:M202" si="99">((K174-I174)/I174)</f>
        <v>-8.7813343253651019E-2</v>
      </c>
      <c r="N174" s="49">
        <f t="shared" ref="N174:N202" si="100">(G174/K174)</f>
        <v>1.3767309871628782E-3</v>
      </c>
      <c r="O174" s="50">
        <f t="shared" ref="O174:O202" si="101">H174/K174</f>
        <v>0.17671537389104028</v>
      </c>
      <c r="P174" s="51">
        <f t="shared" ref="P174:P202" si="102">K174/V174</f>
        <v>3207.7437343266547</v>
      </c>
      <c r="Q174" s="51">
        <f t="shared" ref="Q174:Q202" si="103">H174/V174</f>
        <v>566.8576333581766</v>
      </c>
      <c r="R174" s="44">
        <v>3193.36</v>
      </c>
      <c r="S174" s="44">
        <v>3217.14</v>
      </c>
      <c r="T174" s="52">
        <v>271</v>
      </c>
      <c r="U174" s="44">
        <v>1073106</v>
      </c>
      <c r="V174" s="44">
        <v>974106</v>
      </c>
    </row>
    <row r="175" spans="1:22">
      <c r="A175" s="77">
        <v>153</v>
      </c>
      <c r="B175" s="70" t="s">
        <v>244</v>
      </c>
      <c r="C175" s="52" t="s">
        <v>73</v>
      </c>
      <c r="D175" s="48">
        <v>12339069350</v>
      </c>
      <c r="E175" s="48">
        <v>183292095</v>
      </c>
      <c r="F175" s="48">
        <v>-55825572</v>
      </c>
      <c r="G175" s="44">
        <v>44444916</v>
      </c>
      <c r="H175" s="45">
        <f t="shared" ref="H175:H202" si="104">(E175+F175)-G175</f>
        <v>83021607</v>
      </c>
      <c r="I175" s="52">
        <v>16717002920</v>
      </c>
      <c r="J175" s="47">
        <f t="shared" si="97"/>
        <v>0.10728171022340255</v>
      </c>
      <c r="K175" s="44">
        <v>17062607539</v>
      </c>
      <c r="L175" s="47">
        <f t="shared" si="98"/>
        <v>0.10815446377935864</v>
      </c>
      <c r="M175" s="47">
        <f t="shared" si="99"/>
        <v>2.0673838525596192E-2</v>
      </c>
      <c r="N175" s="49">
        <f t="shared" si="100"/>
        <v>2.604813824523143E-3</v>
      </c>
      <c r="O175" s="50">
        <f t="shared" si="101"/>
        <v>4.8657045419486745E-3</v>
      </c>
      <c r="P175" s="51">
        <f t="shared" si="102"/>
        <v>1412.646314173375</v>
      </c>
      <c r="Q175" s="51">
        <f t="shared" si="103"/>
        <v>6.8735195870404455</v>
      </c>
      <c r="R175" s="44">
        <v>1405.5831000000001</v>
      </c>
      <c r="S175" s="44">
        <v>1447.9625000000001</v>
      </c>
      <c r="T175" s="44">
        <v>24198</v>
      </c>
      <c r="U175" s="44">
        <v>11905767</v>
      </c>
      <c r="V175" s="44">
        <v>12078471</v>
      </c>
    </row>
    <row r="176" spans="1:22">
      <c r="A176" s="77">
        <v>154</v>
      </c>
      <c r="B176" s="70" t="s">
        <v>245</v>
      </c>
      <c r="C176" s="70" t="s">
        <v>148</v>
      </c>
      <c r="D176" s="48">
        <v>3822887209.3899999</v>
      </c>
      <c r="E176" s="48">
        <v>60341037.350000001</v>
      </c>
      <c r="F176" s="48">
        <v>-97513343.230000004</v>
      </c>
      <c r="G176" s="44">
        <v>8636374.7799999993</v>
      </c>
      <c r="H176" s="45">
        <f t="shared" si="104"/>
        <v>-45808680.660000004</v>
      </c>
      <c r="I176" s="52">
        <v>3984733132.8600001</v>
      </c>
      <c r="J176" s="47">
        <f t="shared" si="97"/>
        <v>2.5572106873633156E-2</v>
      </c>
      <c r="K176" s="44">
        <v>3736585012.3000002</v>
      </c>
      <c r="L176" s="47">
        <f t="shared" si="98"/>
        <v>2.3685028648029242E-2</v>
      </c>
      <c r="M176" s="47">
        <f t="shared" si="99"/>
        <v>-6.227471509036648E-2</v>
      </c>
      <c r="N176" s="49">
        <f t="shared" si="100"/>
        <v>2.3113015632110576E-3</v>
      </c>
      <c r="O176" s="50">
        <f t="shared" si="101"/>
        <v>-1.2259504469778713E-2</v>
      </c>
      <c r="P176" s="51">
        <f t="shared" si="102"/>
        <v>8.9641693875673614</v>
      </c>
      <c r="Q176" s="51">
        <f t="shared" si="103"/>
        <v>-0.10989627467473558</v>
      </c>
      <c r="R176" s="52">
        <v>8.8012999999999995</v>
      </c>
      <c r="S176" s="52">
        <v>9.0215999999999994</v>
      </c>
      <c r="T176" s="52">
        <v>2738</v>
      </c>
      <c r="U176" s="44">
        <v>416725921.72000003</v>
      </c>
      <c r="V176" s="44">
        <v>416835609.72000003</v>
      </c>
    </row>
    <row r="177" spans="1:22">
      <c r="A177" s="77">
        <v>155</v>
      </c>
      <c r="B177" s="70" t="s">
        <v>246</v>
      </c>
      <c r="C177" s="52" t="s">
        <v>32</v>
      </c>
      <c r="D177" s="46">
        <v>4346018712.0900002</v>
      </c>
      <c r="E177" s="46">
        <v>43161002.210000001</v>
      </c>
      <c r="F177" s="46">
        <v>-3254360.03</v>
      </c>
      <c r="G177" s="52">
        <v>5920147.6799999997</v>
      </c>
      <c r="H177" s="45">
        <f t="shared" ref="H177" si="105">(E177+F177)-G177</f>
        <v>33986494.5</v>
      </c>
      <c r="I177" s="52">
        <v>4284547410.23</v>
      </c>
      <c r="J177" s="47">
        <f t="shared" si="97"/>
        <v>2.7496171167907212E-2</v>
      </c>
      <c r="K177" s="52">
        <v>4409348468.9700003</v>
      </c>
      <c r="L177" s="47">
        <f t="shared" si="98"/>
        <v>2.7949463069332006E-2</v>
      </c>
      <c r="M177" s="47">
        <f t="shared" si="99"/>
        <v>2.9128177795866836E-2</v>
      </c>
      <c r="N177" s="49">
        <f t="shared" si="100"/>
        <v>1.3426354758899139E-3</v>
      </c>
      <c r="O177" s="50">
        <f t="shared" si="101"/>
        <v>7.7078268454339374E-3</v>
      </c>
      <c r="P177" s="51">
        <f t="shared" si="102"/>
        <v>1.754743933570438</v>
      </c>
      <c r="Q177" s="51">
        <f t="shared" si="103"/>
        <v>1.3525262398036569E-2</v>
      </c>
      <c r="R177" s="52">
        <v>1.74</v>
      </c>
      <c r="S177" s="52">
        <v>1.75</v>
      </c>
      <c r="T177" s="52">
        <v>918</v>
      </c>
      <c r="U177" s="52">
        <v>2398227294.4299998</v>
      </c>
      <c r="V177" s="52">
        <v>2512815906.9899998</v>
      </c>
    </row>
    <row r="178" spans="1:22">
      <c r="A178" s="77">
        <v>156</v>
      </c>
      <c r="B178" s="70" t="s">
        <v>247</v>
      </c>
      <c r="C178" s="70" t="s">
        <v>82</v>
      </c>
      <c r="D178" s="48">
        <v>10647561492.52</v>
      </c>
      <c r="E178" s="48">
        <v>127191016.26000001</v>
      </c>
      <c r="F178" s="48">
        <v>3001015368.6599998</v>
      </c>
      <c r="G178" s="44">
        <v>29937789.989999998</v>
      </c>
      <c r="H178" s="45">
        <f t="shared" si="104"/>
        <v>3098268594.9300003</v>
      </c>
      <c r="I178" s="52">
        <v>11441207569.73</v>
      </c>
      <c r="J178" s="47">
        <f t="shared" si="97"/>
        <v>7.342418500346673E-2</v>
      </c>
      <c r="K178" s="44">
        <v>10629500590.059999</v>
      </c>
      <c r="L178" s="47">
        <f t="shared" si="98"/>
        <v>6.7377036829371545E-2</v>
      </c>
      <c r="M178" s="47">
        <f t="shared" si="99"/>
        <v>-7.0945918490066817E-2</v>
      </c>
      <c r="N178" s="49">
        <f t="shared" si="100"/>
        <v>2.8164813329043721E-3</v>
      </c>
      <c r="O178" s="50">
        <f t="shared" si="101"/>
        <v>0.2914782842975045</v>
      </c>
      <c r="P178" s="51">
        <f t="shared" si="102"/>
        <v>14429.94020410677</v>
      </c>
      <c r="Q178" s="51">
        <f t="shared" si="103"/>
        <v>4206.014213208623</v>
      </c>
      <c r="R178" s="44">
        <v>14541.75</v>
      </c>
      <c r="S178" s="44">
        <v>14541.75</v>
      </c>
      <c r="T178" s="52">
        <v>1677</v>
      </c>
      <c r="U178" s="44">
        <v>797343.57</v>
      </c>
      <c r="V178" s="44">
        <v>736628.18</v>
      </c>
    </row>
    <row r="179" spans="1:22" ht="14.1" customHeight="1">
      <c r="A179" s="77">
        <v>157</v>
      </c>
      <c r="B179" s="70" t="s">
        <v>248</v>
      </c>
      <c r="C179" s="52" t="s">
        <v>84</v>
      </c>
      <c r="D179" s="48">
        <v>2838624578.8899999</v>
      </c>
      <c r="E179" s="48">
        <v>33604115.049999997</v>
      </c>
      <c r="F179" s="48">
        <v>5311892.72</v>
      </c>
      <c r="G179" s="44">
        <v>6150257.54</v>
      </c>
      <c r="H179" s="45">
        <f t="shared" si="104"/>
        <v>32765750.229999997</v>
      </c>
      <c r="I179" s="52">
        <v>3448631478.23</v>
      </c>
      <c r="J179" s="47">
        <f t="shared" si="97"/>
        <v>2.2131663473728413E-2</v>
      </c>
      <c r="K179" s="44">
        <v>3408030554.4499998</v>
      </c>
      <c r="L179" s="47">
        <f t="shared" si="98"/>
        <v>2.160242602531386E-2</v>
      </c>
      <c r="M179" s="47">
        <f t="shared" si="99"/>
        <v>-1.1773053756627691E-2</v>
      </c>
      <c r="N179" s="49">
        <f t="shared" si="100"/>
        <v>1.8046368545520716E-3</v>
      </c>
      <c r="O179" s="50">
        <f t="shared" si="101"/>
        <v>9.6142771335240712E-3</v>
      </c>
      <c r="P179" s="51">
        <f t="shared" si="102"/>
        <v>289.63384885514915</v>
      </c>
      <c r="Q179" s="51">
        <f t="shared" si="103"/>
        <v>2.7846200901426279</v>
      </c>
      <c r="R179" s="52">
        <v>302.51</v>
      </c>
      <c r="S179" s="52">
        <v>304.68</v>
      </c>
      <c r="T179" s="52">
        <v>617</v>
      </c>
      <c r="U179" s="44">
        <v>11781269</v>
      </c>
      <c r="V179" s="44">
        <v>11766686</v>
      </c>
    </row>
    <row r="180" spans="1:22">
      <c r="A180" s="77">
        <v>158</v>
      </c>
      <c r="B180" s="70" t="s">
        <v>249</v>
      </c>
      <c r="C180" s="52" t="s">
        <v>86</v>
      </c>
      <c r="D180" s="48">
        <v>6982749732.1099997</v>
      </c>
      <c r="E180" s="48">
        <v>95048654.040000007</v>
      </c>
      <c r="F180" s="48">
        <v>-34252964.43</v>
      </c>
      <c r="G180" s="44">
        <v>28678348.93</v>
      </c>
      <c r="H180" s="45">
        <f t="shared" si="104"/>
        <v>32117340.680000007</v>
      </c>
      <c r="I180" s="52">
        <v>6781874962.5</v>
      </c>
      <c r="J180" s="47">
        <f t="shared" si="97"/>
        <v>4.3522822121889897E-2</v>
      </c>
      <c r="K180" s="44">
        <v>6973820855.7700005</v>
      </c>
      <c r="L180" s="47">
        <f t="shared" si="98"/>
        <v>4.4204841107968032E-2</v>
      </c>
      <c r="M180" s="47">
        <f t="shared" si="99"/>
        <v>2.8302776788329861E-2</v>
      </c>
      <c r="N180" s="49">
        <f t="shared" si="100"/>
        <v>4.1122864385413783E-3</v>
      </c>
      <c r="O180" s="50">
        <f t="shared" si="101"/>
        <v>4.605415215595445E-3</v>
      </c>
      <c r="P180" s="51">
        <f t="shared" si="102"/>
        <v>2.7533366848241867</v>
      </c>
      <c r="Q180" s="51">
        <f t="shared" si="103"/>
        <v>1.268025866194643E-2</v>
      </c>
      <c r="R180" s="52">
        <v>2.7231999999999998</v>
      </c>
      <c r="S180" s="52">
        <v>2.7726999999999999</v>
      </c>
      <c r="T180" s="44">
        <v>6669</v>
      </c>
      <c r="U180" s="44">
        <v>2477282868.6599998</v>
      </c>
      <c r="V180" s="44">
        <v>2532861634.4699998</v>
      </c>
    </row>
    <row r="181" spans="1:22">
      <c r="A181" s="77">
        <v>159</v>
      </c>
      <c r="B181" s="70" t="s">
        <v>250</v>
      </c>
      <c r="C181" s="70" t="s">
        <v>34</v>
      </c>
      <c r="D181" s="46">
        <v>1753794875.55</v>
      </c>
      <c r="E181" s="46">
        <v>13692929.560000001</v>
      </c>
      <c r="F181" s="46">
        <v>203645658.91999999</v>
      </c>
      <c r="G181" s="52">
        <v>2520073.2799999998</v>
      </c>
      <c r="H181" s="45">
        <f t="shared" si="104"/>
        <v>214818515.19999999</v>
      </c>
      <c r="I181" s="52">
        <v>1578772063.99</v>
      </c>
      <c r="J181" s="47">
        <f t="shared" si="97"/>
        <v>1.0131802206910083E-2</v>
      </c>
      <c r="K181" s="52">
        <v>1750114337.0799999</v>
      </c>
      <c r="L181" s="47">
        <f t="shared" si="98"/>
        <v>1.1093420348959661E-2</v>
      </c>
      <c r="M181" s="47">
        <f t="shared" si="99"/>
        <v>0.10852882249320393</v>
      </c>
      <c r="N181" s="49">
        <f t="shared" si="100"/>
        <v>1.4399477946136065E-3</v>
      </c>
      <c r="O181" s="50">
        <f t="shared" si="101"/>
        <v>0.1227454176270658</v>
      </c>
      <c r="P181" s="51">
        <f t="shared" si="102"/>
        <v>284.27859853465611</v>
      </c>
      <c r="Q181" s="51">
        <f t="shared" si="103"/>
        <v>34.893895299573344</v>
      </c>
      <c r="R181" s="52">
        <v>284.27999999999997</v>
      </c>
      <c r="S181" s="52">
        <v>286.77999999999997</v>
      </c>
      <c r="T181" s="52">
        <v>249</v>
      </c>
      <c r="U181" s="52">
        <v>5433672.8600000003</v>
      </c>
      <c r="V181" s="52">
        <v>6156335.1799999997</v>
      </c>
    </row>
    <row r="182" spans="1:22">
      <c r="A182" s="77">
        <v>160</v>
      </c>
      <c r="B182" s="70" t="s">
        <v>251</v>
      </c>
      <c r="C182" s="70" t="s">
        <v>195</v>
      </c>
      <c r="D182" s="48">
        <v>2021639015.8900001</v>
      </c>
      <c r="E182" s="48">
        <v>21993800</v>
      </c>
      <c r="F182" s="46">
        <v>0</v>
      </c>
      <c r="G182" s="44">
        <v>5500264.54</v>
      </c>
      <c r="H182" s="45">
        <f t="shared" si="104"/>
        <v>16493535.460000001</v>
      </c>
      <c r="I182" s="52">
        <v>2963419888.3499999</v>
      </c>
      <c r="J182" s="47">
        <f t="shared" si="97"/>
        <v>1.9017808111517192E-2</v>
      </c>
      <c r="K182" s="44">
        <v>2998691722.4699998</v>
      </c>
      <c r="L182" s="47">
        <f t="shared" si="98"/>
        <v>1.9007756847365893E-2</v>
      </c>
      <c r="M182" s="47">
        <f t="shared" si="99"/>
        <v>1.1902408517491209E-2</v>
      </c>
      <c r="N182" s="49">
        <f t="shared" si="100"/>
        <v>1.834221403549103E-3</v>
      </c>
      <c r="O182" s="50">
        <f t="shared" si="101"/>
        <v>5.5002437684439267E-3</v>
      </c>
      <c r="P182" s="51">
        <f t="shared" si="102"/>
        <v>210.17115132574926</v>
      </c>
      <c r="Q182" s="51">
        <f t="shared" si="103"/>
        <v>1.155992565386138</v>
      </c>
      <c r="R182" s="52">
        <v>209.63</v>
      </c>
      <c r="S182" s="52">
        <v>210.35</v>
      </c>
      <c r="T182" s="52">
        <v>273</v>
      </c>
      <c r="U182" s="44">
        <v>14188204</v>
      </c>
      <c r="V182" s="44">
        <v>14267856</v>
      </c>
    </row>
    <row r="183" spans="1:22">
      <c r="A183" s="77">
        <v>161</v>
      </c>
      <c r="B183" s="70" t="s">
        <v>252</v>
      </c>
      <c r="C183" s="52" t="s">
        <v>93</v>
      </c>
      <c r="D183" s="48">
        <v>873937356.44000006</v>
      </c>
      <c r="E183" s="48">
        <v>6767744</v>
      </c>
      <c r="F183" s="48">
        <v>13678980</v>
      </c>
      <c r="G183" s="44">
        <v>1840795</v>
      </c>
      <c r="H183" s="45">
        <f t="shared" si="104"/>
        <v>18605929</v>
      </c>
      <c r="I183" s="52">
        <v>950869257</v>
      </c>
      <c r="J183" s="47">
        <f t="shared" si="97"/>
        <v>6.1022230227507843E-3</v>
      </c>
      <c r="K183" s="44">
        <v>864352758</v>
      </c>
      <c r="L183" s="47">
        <f t="shared" si="98"/>
        <v>5.4788583072091571E-3</v>
      </c>
      <c r="M183" s="47">
        <f t="shared" si="99"/>
        <v>-9.0986745404894293E-2</v>
      </c>
      <c r="N183" s="49">
        <f t="shared" si="100"/>
        <v>2.1296802526081602E-3</v>
      </c>
      <c r="O183" s="50">
        <f t="shared" si="101"/>
        <v>2.152585137004908E-2</v>
      </c>
      <c r="P183" s="51">
        <f t="shared" si="102"/>
        <v>1.9957046286293716</v>
      </c>
      <c r="Q183" s="51">
        <f t="shared" si="103"/>
        <v>4.2959241214394851E-2</v>
      </c>
      <c r="R183" s="52">
        <v>2.2353999999999998</v>
      </c>
      <c r="S183" s="52">
        <v>2.2616000000000001</v>
      </c>
      <c r="T183" s="52">
        <v>390</v>
      </c>
      <c r="U183" s="44">
        <v>453425640.05000001</v>
      </c>
      <c r="V183" s="44">
        <v>433106555.75</v>
      </c>
    </row>
    <row r="184" spans="1:22">
      <c r="A184" s="77">
        <v>162</v>
      </c>
      <c r="B184" s="52" t="s">
        <v>253</v>
      </c>
      <c r="C184" s="52" t="s">
        <v>96</v>
      </c>
      <c r="D184" s="48">
        <v>21541564623.110001</v>
      </c>
      <c r="E184" s="48">
        <v>150719843.91</v>
      </c>
      <c r="F184" s="48">
        <v>-996081248.73000002</v>
      </c>
      <c r="G184" s="44">
        <v>35553993.770000003</v>
      </c>
      <c r="H184" s="45">
        <f t="shared" si="104"/>
        <v>-880915398.59000003</v>
      </c>
      <c r="I184" s="52">
        <v>21552779246.599998</v>
      </c>
      <c r="J184" s="47">
        <f t="shared" si="97"/>
        <v>0.13831540430470327</v>
      </c>
      <c r="K184" s="44">
        <v>21295980856.25</v>
      </c>
      <c r="L184" s="47">
        <f t="shared" si="98"/>
        <v>0.13498847611062115</v>
      </c>
      <c r="M184" s="47">
        <f t="shared" si="99"/>
        <v>-1.1914861995837916E-2</v>
      </c>
      <c r="N184" s="49">
        <f t="shared" si="100"/>
        <v>1.6695166101995027E-3</v>
      </c>
      <c r="O184" s="50">
        <f t="shared" si="101"/>
        <v>-4.1365335766230589E-2</v>
      </c>
      <c r="P184" s="51">
        <f t="shared" si="102"/>
        <v>592.88394019868088</v>
      </c>
      <c r="Q184" s="51">
        <f t="shared" si="103"/>
        <v>-24.524843256724211</v>
      </c>
      <c r="R184" s="52">
        <v>592.88</v>
      </c>
      <c r="S184" s="52">
        <v>597.77</v>
      </c>
      <c r="T184" s="44">
        <v>7217</v>
      </c>
      <c r="U184" s="44">
        <v>35934632</v>
      </c>
      <c r="V184" s="44">
        <v>35919308</v>
      </c>
    </row>
    <row r="185" spans="1:22" ht="15.6" customHeight="1">
      <c r="A185" s="77">
        <v>163</v>
      </c>
      <c r="B185" s="52" t="s">
        <v>254</v>
      </c>
      <c r="C185" s="70" t="s">
        <v>255</v>
      </c>
      <c r="D185" s="48">
        <v>5375461426.8599997</v>
      </c>
      <c r="E185" s="48">
        <v>71929458.010000005</v>
      </c>
      <c r="F185" s="48">
        <v>-59998157.939999998</v>
      </c>
      <c r="G185" s="44">
        <v>20214286.300000001</v>
      </c>
      <c r="H185" s="45">
        <f t="shared" si="104"/>
        <v>-8282986.229999993</v>
      </c>
      <c r="I185" s="52">
        <v>5301179384.4799995</v>
      </c>
      <c r="J185" s="47">
        <f t="shared" si="97"/>
        <v>3.4020427781803531E-2</v>
      </c>
      <c r="K185" s="44">
        <v>5296897781.6300001</v>
      </c>
      <c r="L185" s="47">
        <f t="shared" si="98"/>
        <v>3.3575356987894614E-2</v>
      </c>
      <c r="M185" s="47">
        <f t="shared" si="99"/>
        <v>-8.0766986730056037E-4</v>
      </c>
      <c r="N185" s="49">
        <f t="shared" si="100"/>
        <v>3.8162500265918882E-3</v>
      </c>
      <c r="O185" s="50">
        <f t="shared" si="101"/>
        <v>-1.5637428871529198E-3</v>
      </c>
      <c r="P185" s="51">
        <f t="shared" si="102"/>
        <v>3.9052460444634183</v>
      </c>
      <c r="Q185" s="51">
        <f t="shared" si="103"/>
        <v>-6.1068007246117455E-3</v>
      </c>
      <c r="R185" s="52">
        <v>3.8639999999999999</v>
      </c>
      <c r="S185" s="52">
        <v>3.9399000000000002</v>
      </c>
      <c r="T185" s="44">
        <v>10279</v>
      </c>
      <c r="U185" s="44">
        <v>1356354432.3</v>
      </c>
      <c r="V185" s="44">
        <v>1356354432.3</v>
      </c>
    </row>
    <row r="186" spans="1:22">
      <c r="A186" s="77">
        <v>164</v>
      </c>
      <c r="B186" s="70" t="s">
        <v>256</v>
      </c>
      <c r="C186" s="52" t="s">
        <v>106</v>
      </c>
      <c r="D186" s="48">
        <v>353222889.75999999</v>
      </c>
      <c r="E186" s="48">
        <v>22448445.960000001</v>
      </c>
      <c r="F186" s="48">
        <v>-6965764.0099999998</v>
      </c>
      <c r="G186" s="44">
        <v>678902.86</v>
      </c>
      <c r="H186" s="45">
        <f t="shared" si="104"/>
        <v>14803779.090000002</v>
      </c>
      <c r="I186" s="52">
        <v>406056972.57999998</v>
      </c>
      <c r="J186" s="47">
        <f t="shared" si="97"/>
        <v>2.6058789769308525E-3</v>
      </c>
      <c r="K186" s="44">
        <v>402314141.70999998</v>
      </c>
      <c r="L186" s="47">
        <f t="shared" si="98"/>
        <v>2.5501418917385529E-3</v>
      </c>
      <c r="M186" s="47">
        <f t="shared" si="99"/>
        <v>-9.2175017860642808E-3</v>
      </c>
      <c r="N186" s="49">
        <f t="shared" si="100"/>
        <v>1.6874943970758389E-3</v>
      </c>
      <c r="O186" s="50">
        <f t="shared" si="101"/>
        <v>3.6796566551396563E-2</v>
      </c>
      <c r="P186" s="51">
        <f t="shared" si="102"/>
        <v>370.48558778382414</v>
      </c>
      <c r="Q186" s="51">
        <f t="shared" si="103"/>
        <v>13.632597587220758</v>
      </c>
      <c r="R186" s="52">
        <v>373.76</v>
      </c>
      <c r="S186" s="52">
        <v>377.08</v>
      </c>
      <c r="T186" s="52">
        <v>38</v>
      </c>
      <c r="U186" s="44">
        <v>1282582.1100000001</v>
      </c>
      <c r="V186" s="44">
        <v>1085910.3700000001</v>
      </c>
    </row>
    <row r="187" spans="1:22">
      <c r="A187" s="77">
        <v>165</v>
      </c>
      <c r="B187" s="70" t="s">
        <v>269</v>
      </c>
      <c r="C187" s="70" t="s">
        <v>108</v>
      </c>
      <c r="D187" s="46">
        <v>112053973.94</v>
      </c>
      <c r="E187" s="46">
        <v>1051973.5</v>
      </c>
      <c r="F187" s="46">
        <v>0</v>
      </c>
      <c r="G187" s="52">
        <v>180163.29</v>
      </c>
      <c r="H187" s="45">
        <f>(E187+F187)-G187</f>
        <v>871810.21</v>
      </c>
      <c r="I187" s="52">
        <v>111770196.55</v>
      </c>
      <c r="J187" s="47">
        <f t="shared" si="97"/>
        <v>7.1728753624515412E-4</v>
      </c>
      <c r="K187" s="52">
        <v>70759000</v>
      </c>
      <c r="L187" s="47">
        <f t="shared" si="98"/>
        <v>4.4851888464710927E-4</v>
      </c>
      <c r="M187" s="47">
        <f t="shared" si="99"/>
        <v>-0.36692425902332365</v>
      </c>
      <c r="N187" s="49">
        <f t="shared" si="100"/>
        <v>2.5461537048290677E-3</v>
      </c>
      <c r="O187" s="50">
        <f t="shared" si="101"/>
        <v>1.2320838479910683E-2</v>
      </c>
      <c r="P187" s="51">
        <f t="shared" si="102"/>
        <v>0.89840149312476991</v>
      </c>
      <c r="Q187" s="51">
        <f t="shared" si="103"/>
        <v>1.1069059686900877E-2</v>
      </c>
      <c r="R187" s="52">
        <v>1.58</v>
      </c>
      <c r="S187" s="52">
        <v>1.58</v>
      </c>
      <c r="T187" s="52">
        <v>30</v>
      </c>
      <c r="U187" s="52">
        <v>8002000</v>
      </c>
      <c r="V187" s="52">
        <v>78761000</v>
      </c>
    </row>
    <row r="188" spans="1:22">
      <c r="A188" s="77">
        <v>166</v>
      </c>
      <c r="B188" s="52" t="s">
        <v>258</v>
      </c>
      <c r="C188" s="52" t="s">
        <v>44</v>
      </c>
      <c r="D188" s="48">
        <v>14193305420.959999</v>
      </c>
      <c r="E188" s="48">
        <v>113881447.31999999</v>
      </c>
      <c r="F188" s="48">
        <v>-152958496</v>
      </c>
      <c r="G188" s="44">
        <v>31038855.739999998</v>
      </c>
      <c r="H188" s="45">
        <f t="shared" si="104"/>
        <v>-70115904.420000002</v>
      </c>
      <c r="I188" s="52">
        <v>14339903309</v>
      </c>
      <c r="J188" s="47">
        <f t="shared" si="97"/>
        <v>9.2026624556439882E-2</v>
      </c>
      <c r="K188" s="44">
        <v>13927036019.790001</v>
      </c>
      <c r="L188" s="47">
        <f t="shared" si="98"/>
        <v>8.8279069263787327E-2</v>
      </c>
      <c r="M188" s="47">
        <f t="shared" si="99"/>
        <v>-2.8791497425988612E-2</v>
      </c>
      <c r="N188" s="49">
        <f t="shared" si="100"/>
        <v>2.2286763454833097E-3</v>
      </c>
      <c r="O188" s="50">
        <f t="shared" si="101"/>
        <v>-5.0345173460000321E-3</v>
      </c>
      <c r="P188" s="51">
        <f t="shared" si="102"/>
        <v>7.8837776979671617</v>
      </c>
      <c r="Q188" s="51">
        <f t="shared" si="103"/>
        <v>-3.9691015572423875E-2</v>
      </c>
      <c r="R188" s="52">
        <v>7.87</v>
      </c>
      <c r="S188" s="52">
        <v>8.0399999999999991</v>
      </c>
      <c r="T188" s="52">
        <v>16728</v>
      </c>
      <c r="U188" s="44">
        <v>1813318381.03</v>
      </c>
      <c r="V188" s="44">
        <v>1766543471.0799999</v>
      </c>
    </row>
    <row r="189" spans="1:22">
      <c r="A189" s="77">
        <v>167</v>
      </c>
      <c r="B189" s="70" t="s">
        <v>259</v>
      </c>
      <c r="C189" s="70" t="s">
        <v>260</v>
      </c>
      <c r="D189" s="59">
        <v>163239132.66</v>
      </c>
      <c r="E189" s="59">
        <v>1598994.53</v>
      </c>
      <c r="F189" s="59">
        <v>-206436.75</v>
      </c>
      <c r="G189" s="59">
        <v>456461.85</v>
      </c>
      <c r="H189" s="45">
        <f t="shared" si="104"/>
        <v>936095.93</v>
      </c>
      <c r="I189" s="58">
        <v>166055357.97999999</v>
      </c>
      <c r="J189" s="47">
        <f t="shared" si="97"/>
        <v>1.0656636767431835E-3</v>
      </c>
      <c r="K189" s="59">
        <v>161740887.80000001</v>
      </c>
      <c r="L189" s="47">
        <f t="shared" si="98"/>
        <v>1.0252242484756603E-3</v>
      </c>
      <c r="M189" s="47">
        <f t="shared" si="99"/>
        <v>-2.5982119652649932E-2</v>
      </c>
      <c r="N189" s="49">
        <f t="shared" si="100"/>
        <v>2.8221796987069584E-3</v>
      </c>
      <c r="O189" s="50">
        <f t="shared" si="101"/>
        <v>5.7876270047282378E-3</v>
      </c>
      <c r="P189" s="51">
        <f t="shared" si="102"/>
        <v>3.1546160591583812</v>
      </c>
      <c r="Q189" s="51">
        <f t="shared" si="103"/>
        <v>1.8257741093534421E-2</v>
      </c>
      <c r="R189" s="58">
        <v>3.121</v>
      </c>
      <c r="S189" s="58">
        <v>3.1368</v>
      </c>
      <c r="T189" s="58">
        <v>158</v>
      </c>
      <c r="U189" s="59">
        <v>51059188</v>
      </c>
      <c r="V189" s="59">
        <v>51271180</v>
      </c>
    </row>
    <row r="190" spans="1:22">
      <c r="A190" s="77">
        <v>168</v>
      </c>
      <c r="B190" s="52" t="s">
        <v>261</v>
      </c>
      <c r="C190" s="52" t="s">
        <v>163</v>
      </c>
      <c r="D190" s="48">
        <v>2308213557</v>
      </c>
      <c r="E190" s="48">
        <v>43218050.359999999</v>
      </c>
      <c r="F190" s="48">
        <v>52181783.020000003</v>
      </c>
      <c r="G190" s="44">
        <v>3804801.06</v>
      </c>
      <c r="H190" s="45">
        <f t="shared" si="104"/>
        <v>91595032.319999993</v>
      </c>
      <c r="I190" s="52">
        <v>2324228601.5900002</v>
      </c>
      <c r="J190" s="47">
        <f t="shared" si="97"/>
        <v>1.4915784876151863E-2</v>
      </c>
      <c r="K190" s="44">
        <v>2282808644.1999998</v>
      </c>
      <c r="L190" s="47">
        <f t="shared" si="98"/>
        <v>1.4470000804976945E-2</v>
      </c>
      <c r="M190" s="47">
        <f t="shared" si="99"/>
        <v>-1.7820948146694791E-2</v>
      </c>
      <c r="N190" s="49">
        <f t="shared" si="100"/>
        <v>1.6667192275037909E-3</v>
      </c>
      <c r="O190" s="50">
        <f t="shared" si="101"/>
        <v>4.0123832784985387E-2</v>
      </c>
      <c r="P190" s="51">
        <f t="shared" si="102"/>
        <v>494.75320508399773</v>
      </c>
      <c r="Q190" s="51">
        <f t="shared" si="103"/>
        <v>19.851394870625906</v>
      </c>
      <c r="R190" s="52">
        <v>487.82</v>
      </c>
      <c r="S190" s="52">
        <v>492.27</v>
      </c>
      <c r="T190" s="52">
        <v>284</v>
      </c>
      <c r="U190" s="44">
        <v>4685454.9000000004</v>
      </c>
      <c r="V190" s="44">
        <v>4614035.08</v>
      </c>
    </row>
    <row r="191" spans="1:22">
      <c r="A191" s="77">
        <v>169</v>
      </c>
      <c r="B191" s="56" t="s">
        <v>331</v>
      </c>
      <c r="C191" s="57" t="s">
        <v>330</v>
      </c>
      <c r="D191" s="165">
        <v>55384909.390000001</v>
      </c>
      <c r="E191" s="48">
        <v>1033437.91</v>
      </c>
      <c r="F191" s="48">
        <v>0</v>
      </c>
      <c r="G191" s="44">
        <v>1033391.86</v>
      </c>
      <c r="H191" s="45">
        <f t="shared" si="104"/>
        <v>46.050000000046566</v>
      </c>
      <c r="I191" s="52">
        <v>57511347.07</v>
      </c>
      <c r="J191" s="47">
        <f t="shared" si="97"/>
        <v>3.6908025322766831E-4</v>
      </c>
      <c r="K191" s="44">
        <v>59176750.270000003</v>
      </c>
      <c r="L191" s="47">
        <f t="shared" si="98"/>
        <v>3.7510267284926192E-4</v>
      </c>
      <c r="M191" s="47">
        <f t="shared" si="99"/>
        <v>2.895781936689738E-2</v>
      </c>
      <c r="N191" s="49">
        <f t="shared" si="100"/>
        <v>1.7462801780852168E-2</v>
      </c>
      <c r="O191" s="50">
        <f t="shared" si="101"/>
        <v>7.7817723666708136E-7</v>
      </c>
      <c r="P191" s="51">
        <f t="shared" si="102"/>
        <v>1.000000066749192</v>
      </c>
      <c r="Q191" s="51">
        <f t="shared" si="103"/>
        <v>7.7817728860978315E-7</v>
      </c>
      <c r="R191" s="52">
        <v>1</v>
      </c>
      <c r="S191" s="52">
        <v>1</v>
      </c>
      <c r="T191" s="52">
        <v>14</v>
      </c>
      <c r="U191" s="44">
        <v>58991277.659999996</v>
      </c>
      <c r="V191" s="44">
        <v>59176746.32</v>
      </c>
    </row>
    <row r="192" spans="1:22">
      <c r="A192" s="77">
        <v>170</v>
      </c>
      <c r="B192" s="70" t="s">
        <v>262</v>
      </c>
      <c r="C192" s="52" t="s">
        <v>40</v>
      </c>
      <c r="D192" s="48">
        <v>3187969137.9200001</v>
      </c>
      <c r="E192" s="48">
        <v>17322048.379999999</v>
      </c>
      <c r="F192" s="48">
        <v>110345067.31999999</v>
      </c>
      <c r="G192" s="44">
        <v>8713490.8200000003</v>
      </c>
      <c r="H192" s="45">
        <f t="shared" si="104"/>
        <v>118953624.88</v>
      </c>
      <c r="I192" s="52">
        <v>2988983637.96</v>
      </c>
      <c r="J192" s="47">
        <f t="shared" si="97"/>
        <v>1.9181864000662404E-2</v>
      </c>
      <c r="K192" s="44">
        <v>3123371287.79</v>
      </c>
      <c r="L192" s="47">
        <f t="shared" si="98"/>
        <v>1.9798061113616306E-2</v>
      </c>
      <c r="M192" s="47">
        <f t="shared" si="99"/>
        <v>4.4960985441098077E-2</v>
      </c>
      <c r="N192" s="49">
        <f t="shared" si="100"/>
        <v>2.7897710573389417E-3</v>
      </c>
      <c r="O192" s="50">
        <f t="shared" si="101"/>
        <v>3.8085009407949018E-2</v>
      </c>
      <c r="P192" s="51">
        <f t="shared" si="102"/>
        <v>4187.1054196527921</v>
      </c>
      <c r="Q192" s="51">
        <f t="shared" si="103"/>
        <v>159.46594929955091</v>
      </c>
      <c r="R192" s="52">
        <v>552.20000000000005</v>
      </c>
      <c r="S192" s="52">
        <v>552.20000000000005</v>
      </c>
      <c r="T192" s="52">
        <v>830</v>
      </c>
      <c r="U192" s="52">
        <v>745950</v>
      </c>
      <c r="V192" s="52">
        <v>745950</v>
      </c>
    </row>
    <row r="193" spans="1:22">
      <c r="A193" s="77">
        <v>171</v>
      </c>
      <c r="B193" s="70" t="s">
        <v>263</v>
      </c>
      <c r="C193" s="52" t="s">
        <v>117</v>
      </c>
      <c r="D193" s="48">
        <v>83519342.340000004</v>
      </c>
      <c r="E193" s="48">
        <v>2683377.4300000002</v>
      </c>
      <c r="F193" s="48">
        <v>32439147.300000001</v>
      </c>
      <c r="G193" s="44">
        <v>25509.11</v>
      </c>
      <c r="H193" s="45">
        <f t="shared" si="104"/>
        <v>35097015.620000005</v>
      </c>
      <c r="I193" s="52">
        <v>91724432.594999999</v>
      </c>
      <c r="J193" s="47">
        <f t="shared" si="97"/>
        <v>5.8864343358401528E-4</v>
      </c>
      <c r="K193" s="44">
        <v>82170831.269999996</v>
      </c>
      <c r="L193" s="47">
        <f t="shared" si="98"/>
        <v>5.2085486781534797E-4</v>
      </c>
      <c r="M193" s="47">
        <f t="shared" si="99"/>
        <v>-0.104155469319532</v>
      </c>
      <c r="N193" s="49">
        <f t="shared" si="100"/>
        <v>3.1043996520104818E-4</v>
      </c>
      <c r="O193" s="50">
        <f t="shared" si="101"/>
        <v>0.42712255769540552</v>
      </c>
      <c r="P193" s="51">
        <f t="shared" si="102"/>
        <v>3.103813157330205</v>
      </c>
      <c r="Q193" s="51">
        <f t="shared" si="103"/>
        <v>1.3257086143675292</v>
      </c>
      <c r="R193" s="52">
        <v>3.8</v>
      </c>
      <c r="S193" s="52">
        <v>3.8</v>
      </c>
      <c r="T193" s="52">
        <v>11</v>
      </c>
      <c r="U193" s="44">
        <v>29095092</v>
      </c>
      <c r="V193" s="44">
        <v>26474155.210000001</v>
      </c>
    </row>
    <row r="194" spans="1:22">
      <c r="A194" s="77">
        <v>172</v>
      </c>
      <c r="B194" s="52" t="s">
        <v>264</v>
      </c>
      <c r="C194" s="52" t="s">
        <v>50</v>
      </c>
      <c r="D194" s="48">
        <v>666574332.77999997</v>
      </c>
      <c r="E194" s="48">
        <v>5595018.8600000003</v>
      </c>
      <c r="F194" s="48">
        <v>306455920.93000001</v>
      </c>
      <c r="G194" s="44">
        <v>877477</v>
      </c>
      <c r="H194" s="45">
        <f t="shared" si="104"/>
        <v>311173462.79000002</v>
      </c>
      <c r="I194" s="52">
        <v>676997676.63999999</v>
      </c>
      <c r="J194" s="47">
        <f t="shared" si="97"/>
        <v>4.3446465203590004E-3</v>
      </c>
      <c r="K194" s="44">
        <v>704387241.60000002</v>
      </c>
      <c r="L194" s="47">
        <f t="shared" si="98"/>
        <v>4.4648875756029046E-3</v>
      </c>
      <c r="M194" s="47">
        <f t="shared" si="99"/>
        <v>4.0457398754951274E-2</v>
      </c>
      <c r="N194" s="49">
        <f t="shared" si="100"/>
        <v>1.2457309675382967E-3</v>
      </c>
      <c r="O194" s="50">
        <f t="shared" si="101"/>
        <v>0.44176476292099837</v>
      </c>
      <c r="P194" s="51">
        <f t="shared" si="102"/>
        <v>4.8599117255973487</v>
      </c>
      <c r="Q194" s="51">
        <f t="shared" si="103"/>
        <v>2.1469377512754932</v>
      </c>
      <c r="R194" s="52">
        <v>4.3899999999999997</v>
      </c>
      <c r="S194" s="52">
        <v>4.42</v>
      </c>
      <c r="T194" s="52">
        <v>153</v>
      </c>
      <c r="U194" s="44">
        <v>144674385</v>
      </c>
      <c r="V194" s="44">
        <v>144938279</v>
      </c>
    </row>
    <row r="195" spans="1:22">
      <c r="A195" s="77">
        <v>173</v>
      </c>
      <c r="B195" s="52" t="s">
        <v>265</v>
      </c>
      <c r="C195" s="52" t="s">
        <v>266</v>
      </c>
      <c r="D195" s="48">
        <v>311690011.06999999</v>
      </c>
      <c r="E195" s="48">
        <v>1949447.29</v>
      </c>
      <c r="F195" s="48">
        <v>-10958587.359999999</v>
      </c>
      <c r="G195" s="44">
        <v>498693.5</v>
      </c>
      <c r="H195" s="45">
        <f t="shared" ref="H195" si="106">(E195+F195)-G195</f>
        <v>-9507833.5700000003</v>
      </c>
      <c r="I195" s="52">
        <v>233811647.09</v>
      </c>
      <c r="J195" s="47">
        <f t="shared" si="97"/>
        <v>1.5004910563218255E-3</v>
      </c>
      <c r="K195" s="44">
        <v>324826599.72000003</v>
      </c>
      <c r="L195" s="47">
        <f t="shared" si="98"/>
        <v>2.0589729110095877E-3</v>
      </c>
      <c r="M195" s="47">
        <f t="shared" si="99"/>
        <v>0.38926611981380926</v>
      </c>
      <c r="N195" s="49">
        <f t="shared" si="100"/>
        <v>1.5352606603950322E-3</v>
      </c>
      <c r="O195" s="50">
        <f t="shared" si="101"/>
        <v>-2.9270489480220329E-2</v>
      </c>
      <c r="P195" s="51">
        <f t="shared" si="102"/>
        <v>159.1700165846672</v>
      </c>
      <c r="Q195" s="51">
        <f t="shared" si="103"/>
        <v>-4.6589842960079961</v>
      </c>
      <c r="R195" s="52">
        <v>158.47999999999999</v>
      </c>
      <c r="S195" s="52">
        <v>159.63999999999999</v>
      </c>
      <c r="T195" s="52">
        <v>125</v>
      </c>
      <c r="U195" s="44">
        <v>2036548.88</v>
      </c>
      <c r="V195" s="44">
        <v>2040752.44</v>
      </c>
    </row>
    <row r="196" spans="1:22">
      <c r="A196" s="77">
        <v>174</v>
      </c>
      <c r="B196" s="70" t="s">
        <v>267</v>
      </c>
      <c r="C196" s="70" t="s">
        <v>54</v>
      </c>
      <c r="D196" s="48">
        <v>14131417684.16</v>
      </c>
      <c r="E196" s="48">
        <v>271778523.33999997</v>
      </c>
      <c r="F196" s="48">
        <v>-308252327.08999997</v>
      </c>
      <c r="G196" s="44">
        <v>27318742.649999999</v>
      </c>
      <c r="H196" s="45">
        <f t="shared" si="104"/>
        <v>-63792546.399999999</v>
      </c>
      <c r="I196" s="52">
        <v>14616465902.700001</v>
      </c>
      <c r="J196" s="47">
        <f t="shared" si="97"/>
        <v>9.3801470692313871E-2</v>
      </c>
      <c r="K196" s="44">
        <v>14706676589.32</v>
      </c>
      <c r="L196" s="47">
        <f t="shared" si="98"/>
        <v>9.3220963844988763E-2</v>
      </c>
      <c r="M196" s="47">
        <f t="shared" si="99"/>
        <v>6.1718535260520757E-3</v>
      </c>
      <c r="N196" s="49">
        <f t="shared" si="100"/>
        <v>1.8575741761968773E-3</v>
      </c>
      <c r="O196" s="50">
        <f t="shared" si="101"/>
        <v>-4.3376588865989066E-3</v>
      </c>
      <c r="P196" s="51">
        <f t="shared" si="102"/>
        <v>13500.003482998549</v>
      </c>
      <c r="Q196" s="51">
        <f t="shared" si="103"/>
        <v>-58.558410077144849</v>
      </c>
      <c r="R196" s="44">
        <v>13421.51</v>
      </c>
      <c r="S196" s="44">
        <v>13553.8</v>
      </c>
      <c r="T196" s="44">
        <v>9752</v>
      </c>
      <c r="U196" s="44">
        <v>1081436.3999999999</v>
      </c>
      <c r="V196" s="44">
        <v>1089383.17</v>
      </c>
    </row>
    <row r="197" spans="1:22">
      <c r="A197" s="77">
        <v>175</v>
      </c>
      <c r="B197" s="70" t="s">
        <v>268</v>
      </c>
      <c r="C197" s="70" t="s">
        <v>129</v>
      </c>
      <c r="D197" s="78">
        <v>351576340.06</v>
      </c>
      <c r="E197" s="52">
        <v>11306225.199999999</v>
      </c>
      <c r="F197" s="52">
        <v>49385541.350000001</v>
      </c>
      <c r="G197" s="52">
        <v>3102155.83</v>
      </c>
      <c r="H197" s="45">
        <f t="shared" si="104"/>
        <v>57589610.719999999</v>
      </c>
      <c r="I197" s="52">
        <v>320594212.72000003</v>
      </c>
      <c r="J197" s="47">
        <f t="shared" si="97"/>
        <v>2.0574199569695904E-3</v>
      </c>
      <c r="K197" s="52">
        <v>370037313.08999997</v>
      </c>
      <c r="L197" s="47">
        <f t="shared" si="98"/>
        <v>2.3455493003708356E-3</v>
      </c>
      <c r="M197" s="47">
        <f t="shared" si="99"/>
        <v>0.1542233091187534</v>
      </c>
      <c r="N197" s="49">
        <f t="shared" si="100"/>
        <v>8.383359516086146E-3</v>
      </c>
      <c r="O197" s="50">
        <f t="shared" si="101"/>
        <v>0.15563190165634225</v>
      </c>
      <c r="P197" s="51">
        <f t="shared" si="102"/>
        <v>1951.2062701122056</v>
      </c>
      <c r="Q197" s="51">
        <f t="shared" si="103"/>
        <v>303.66994234134114</v>
      </c>
      <c r="R197" s="52">
        <v>1934.18</v>
      </c>
      <c r="S197" s="52">
        <v>1962.15</v>
      </c>
      <c r="T197" s="52">
        <v>190</v>
      </c>
      <c r="U197" s="58">
        <v>166450.12</v>
      </c>
      <c r="V197" s="58">
        <v>189645.41</v>
      </c>
    </row>
    <row r="198" spans="1:22">
      <c r="A198" s="77">
        <v>176</v>
      </c>
      <c r="B198" s="70" t="s">
        <v>257</v>
      </c>
      <c r="C198" s="70" t="s">
        <v>108</v>
      </c>
      <c r="D198" s="46">
        <v>819137503.00999999</v>
      </c>
      <c r="E198" s="46">
        <v>13287430.67</v>
      </c>
      <c r="F198" s="46">
        <v>0</v>
      </c>
      <c r="G198" s="52">
        <v>1363586.82</v>
      </c>
      <c r="H198" s="45">
        <f>(E198+F198)-G198</f>
        <v>11923843.85</v>
      </c>
      <c r="I198" s="52">
        <v>866852803.42999995</v>
      </c>
      <c r="J198" s="47">
        <f t="shared" si="97"/>
        <v>5.5630457031661138E-3</v>
      </c>
      <c r="K198" s="52">
        <v>817809800.34000003</v>
      </c>
      <c r="L198" s="47">
        <f t="shared" si="98"/>
        <v>5.1838372433467396E-3</v>
      </c>
      <c r="M198" s="47">
        <f t="shared" si="99"/>
        <v>-5.6575929495693476E-2</v>
      </c>
      <c r="N198" s="49">
        <f t="shared" si="100"/>
        <v>1.6673642446362175E-3</v>
      </c>
      <c r="O198" s="50">
        <f t="shared" si="101"/>
        <v>1.4580216384106335E-2</v>
      </c>
      <c r="P198" s="51">
        <f t="shared" si="102"/>
        <v>1.5488821976136364</v>
      </c>
      <c r="Q198" s="51">
        <f t="shared" si="103"/>
        <v>2.2583037594696969E-2</v>
      </c>
      <c r="R198" s="52">
        <v>1.69</v>
      </c>
      <c r="S198" s="52">
        <v>1.69</v>
      </c>
      <c r="T198" s="52">
        <v>44</v>
      </c>
      <c r="U198" s="52">
        <v>525100000</v>
      </c>
      <c r="V198" s="52">
        <v>528000000</v>
      </c>
    </row>
    <row r="199" spans="1:22">
      <c r="A199" s="77">
        <v>177</v>
      </c>
      <c r="B199" s="70" t="s">
        <v>270</v>
      </c>
      <c r="C199" s="70" t="s">
        <v>57</v>
      </c>
      <c r="D199" s="46">
        <v>13373363812.5441</v>
      </c>
      <c r="E199" s="46">
        <v>92682399.239999995</v>
      </c>
      <c r="F199" s="46">
        <v>39312902.790000401</v>
      </c>
      <c r="G199" s="52">
        <v>16484646</v>
      </c>
      <c r="H199" s="45">
        <f t="shared" si="104"/>
        <v>115510656.03000039</v>
      </c>
      <c r="I199" s="52">
        <v>9821068902.6037006</v>
      </c>
      <c r="J199" s="47">
        <f t="shared" si="97"/>
        <v>6.3026911769732477E-2</v>
      </c>
      <c r="K199" s="52">
        <v>12631536539.1241</v>
      </c>
      <c r="L199" s="47">
        <f t="shared" si="98"/>
        <v>8.006730846828175E-2</v>
      </c>
      <c r="M199" s="47">
        <f t="shared" si="99"/>
        <v>0.28616718448796397</v>
      </c>
      <c r="N199" s="49">
        <f t="shared" si="100"/>
        <v>1.3050388564321948E-3</v>
      </c>
      <c r="O199" s="50">
        <f t="shared" si="101"/>
        <v>9.1446243037990819E-3</v>
      </c>
      <c r="P199" s="51">
        <f t="shared" si="102"/>
        <v>2.8510552936304445</v>
      </c>
      <c r="Q199" s="51">
        <f t="shared" si="103"/>
        <v>2.6071829529607991E-2</v>
      </c>
      <c r="R199" s="52">
        <v>2.85</v>
      </c>
      <c r="S199" s="52">
        <v>2.85</v>
      </c>
      <c r="T199" s="52">
        <v>2036</v>
      </c>
      <c r="U199" s="52">
        <v>3504950941.0100002</v>
      </c>
      <c r="V199" s="52">
        <v>4430477573.46</v>
      </c>
    </row>
    <row r="200" spans="1:22">
      <c r="A200" s="77">
        <v>178</v>
      </c>
      <c r="B200" s="70" t="s">
        <v>271</v>
      </c>
      <c r="C200" s="70" t="s">
        <v>57</v>
      </c>
      <c r="D200" s="46">
        <v>3634287733.6100001</v>
      </c>
      <c r="E200" s="46">
        <v>32491133.93</v>
      </c>
      <c r="F200" s="46">
        <v>-75357916.069999993</v>
      </c>
      <c r="G200" s="52">
        <v>8269548</v>
      </c>
      <c r="H200" s="45">
        <f t="shared" si="104"/>
        <v>-51136330.139999993</v>
      </c>
      <c r="I200" s="52">
        <v>5097138282.0699997</v>
      </c>
      <c r="J200" s="47">
        <f t="shared" si="97"/>
        <v>3.2710989808551492E-2</v>
      </c>
      <c r="K200" s="52">
        <v>5132430323.6000004</v>
      </c>
      <c r="L200" s="47">
        <f t="shared" si="98"/>
        <v>3.2532849874504645E-2</v>
      </c>
      <c r="M200" s="47">
        <f t="shared" si="99"/>
        <v>6.9238932861888595E-3</v>
      </c>
      <c r="N200" s="49">
        <f t="shared" si="100"/>
        <v>1.6112343429144802E-3</v>
      </c>
      <c r="O200" s="50">
        <f t="shared" si="101"/>
        <v>-9.9633754217498729E-3</v>
      </c>
      <c r="P200" s="51">
        <f t="shared" si="102"/>
        <v>2.2226057495085465</v>
      </c>
      <c r="Q200" s="51">
        <f t="shared" si="103"/>
        <v>-2.2144655496893408E-2</v>
      </c>
      <c r="R200" s="52">
        <v>2.2200000000000002</v>
      </c>
      <c r="S200" s="52">
        <v>2.2200000000000002</v>
      </c>
      <c r="T200" s="52">
        <v>933</v>
      </c>
      <c r="U200" s="52">
        <v>2305904345.5799999</v>
      </c>
      <c r="V200" s="52">
        <v>2309195107.9200001</v>
      </c>
    </row>
    <row r="201" spans="1:22">
      <c r="A201" s="77">
        <v>179</v>
      </c>
      <c r="B201" s="86" t="s">
        <v>272</v>
      </c>
      <c r="C201" s="70" t="s">
        <v>134</v>
      </c>
      <c r="D201" s="48">
        <v>11309984864.690001</v>
      </c>
      <c r="E201" s="48">
        <v>268343974.22999999</v>
      </c>
      <c r="F201" s="48">
        <v>-173595742.69</v>
      </c>
      <c r="G201" s="44">
        <v>28369426.02</v>
      </c>
      <c r="H201" s="45">
        <f t="shared" si="104"/>
        <v>66378805.519999996</v>
      </c>
      <c r="I201" s="52">
        <v>12362217839.41</v>
      </c>
      <c r="J201" s="47">
        <f t="shared" si="97"/>
        <v>7.9334787360685652E-2</v>
      </c>
      <c r="K201" s="44">
        <v>12431694875.219999</v>
      </c>
      <c r="L201" s="47">
        <f t="shared" si="98"/>
        <v>7.8800575470355128E-2</v>
      </c>
      <c r="M201" s="47">
        <f t="shared" si="99"/>
        <v>5.6201109471239775E-3</v>
      </c>
      <c r="N201" s="49">
        <f t="shared" si="100"/>
        <v>2.282023996305488E-3</v>
      </c>
      <c r="O201" s="50">
        <f t="shared" si="101"/>
        <v>5.3394815579259711E-3</v>
      </c>
      <c r="P201" s="51">
        <f t="shared" si="102"/>
        <v>847.475458498237</v>
      </c>
      <c r="Q201" s="51">
        <f t="shared" si="103"/>
        <v>4.5250795814461933</v>
      </c>
      <c r="R201" s="52">
        <v>841.43</v>
      </c>
      <c r="S201" s="52">
        <v>850.57</v>
      </c>
      <c r="T201" s="44">
        <v>42</v>
      </c>
      <c r="U201" s="44">
        <v>14652102.74</v>
      </c>
      <c r="V201" s="44">
        <v>14669091.300000001</v>
      </c>
    </row>
    <row r="202" spans="1:22">
      <c r="A202" s="77">
        <v>180</v>
      </c>
      <c r="B202" s="70" t="s">
        <v>273</v>
      </c>
      <c r="C202" s="70" t="s">
        <v>139</v>
      </c>
      <c r="D202" s="48">
        <v>7619214166.2399998</v>
      </c>
      <c r="E202" s="48">
        <v>46912451.280000001</v>
      </c>
      <c r="F202" s="48">
        <v>-13832188.15</v>
      </c>
      <c r="G202" s="44">
        <v>64403495.810000002</v>
      </c>
      <c r="H202" s="45">
        <f t="shared" si="104"/>
        <v>-31323232.68</v>
      </c>
      <c r="I202" s="52">
        <v>7865333037.1899996</v>
      </c>
      <c r="J202" s="47">
        <f t="shared" si="97"/>
        <v>5.0475936610434723E-2</v>
      </c>
      <c r="K202" s="44">
        <v>7950842756.8199997</v>
      </c>
      <c r="L202" s="47">
        <f t="shared" si="98"/>
        <v>5.0397873419543153E-2</v>
      </c>
      <c r="M202" s="47">
        <f t="shared" si="99"/>
        <v>1.0871722688115145E-2</v>
      </c>
      <c r="N202" s="49">
        <f t="shared" si="100"/>
        <v>8.1002099751949653E-3</v>
      </c>
      <c r="O202" s="50">
        <f t="shared" si="101"/>
        <v>-3.9396116409335163E-3</v>
      </c>
      <c r="P202" s="51">
        <f t="shared" si="102"/>
        <v>45.777309982427674</v>
      </c>
      <c r="Q202" s="51">
        <f t="shared" si="103"/>
        <v>-0.18034482329739412</v>
      </c>
      <c r="R202" s="52">
        <v>45.7774</v>
      </c>
      <c r="S202" s="52">
        <v>46.283799999999999</v>
      </c>
      <c r="T202" s="44">
        <v>6336</v>
      </c>
      <c r="U202" s="44">
        <v>172261419.62</v>
      </c>
      <c r="V202" s="44">
        <v>173685233.13999999</v>
      </c>
    </row>
    <row r="203" spans="1:22" ht="15" customHeight="1">
      <c r="A203" s="144" t="s">
        <v>62</v>
      </c>
      <c r="B203" s="144"/>
      <c r="C203" s="144"/>
      <c r="D203" s="144"/>
      <c r="E203" s="144"/>
      <c r="F203" s="144"/>
      <c r="G203" s="144"/>
      <c r="H203" s="144"/>
      <c r="I203" s="64">
        <f>SUM(I173:I202)</f>
        <v>155823419343.2287</v>
      </c>
      <c r="J203" s="62">
        <f>(I203/$I$249)</f>
        <v>1.6490303498838628E-2</v>
      </c>
      <c r="K203" s="64">
        <f>SUM(K173:K202)</f>
        <v>157761473200.11411</v>
      </c>
      <c r="L203" s="62">
        <f>(K203/$K$249)</f>
        <v>1.6482196891141845E-2</v>
      </c>
      <c r="M203" s="62">
        <f t="shared" si="92"/>
        <v>1.2437500505726288E-2</v>
      </c>
      <c r="N203" s="49"/>
      <c r="O203" s="49"/>
      <c r="P203" s="63"/>
      <c r="Q203" s="63"/>
      <c r="R203" s="64"/>
      <c r="S203" s="64"/>
      <c r="T203" s="64">
        <f>SUM(T173:T202)</f>
        <v>105225</v>
      </c>
      <c r="U203" s="64"/>
      <c r="V203" s="87"/>
    </row>
    <row r="204" spans="1:22" ht="6" customHeight="1">
      <c r="A204" s="155"/>
      <c r="B204" s="155"/>
      <c r="C204" s="155"/>
      <c r="D204" s="155"/>
      <c r="E204" s="155"/>
      <c r="F204" s="155"/>
      <c r="G204" s="155"/>
      <c r="H204" s="155"/>
      <c r="I204" s="155"/>
      <c r="J204" s="155"/>
      <c r="K204" s="155"/>
      <c r="L204" s="155"/>
      <c r="M204" s="155"/>
      <c r="N204" s="155"/>
      <c r="O204" s="155"/>
      <c r="P204" s="155"/>
      <c r="Q204" s="155"/>
      <c r="R204" s="155"/>
      <c r="S204" s="155"/>
      <c r="T204" s="155"/>
      <c r="U204" s="155"/>
      <c r="V204" s="155"/>
    </row>
    <row r="205" spans="1:22">
      <c r="A205" s="143" t="s">
        <v>274</v>
      </c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</row>
    <row r="206" spans="1:22">
      <c r="A206" s="77">
        <v>181</v>
      </c>
      <c r="B206" s="52" t="s">
        <v>275</v>
      </c>
      <c r="C206" s="70" t="s">
        <v>276</v>
      </c>
      <c r="D206" s="52">
        <v>619963963.22000003</v>
      </c>
      <c r="E206" s="44">
        <v>9827639.8399999999</v>
      </c>
      <c r="F206" s="70">
        <v>0</v>
      </c>
      <c r="G206" s="44">
        <v>1732405.83</v>
      </c>
      <c r="H206" s="45">
        <f>(E206+F206)-G206</f>
        <v>8095234.0099999998</v>
      </c>
      <c r="I206" s="52">
        <v>626959463.32000005</v>
      </c>
      <c r="J206" s="47">
        <f t="shared" ref="J206:J208" si="107">(I206/$I$209)</f>
        <v>3.1791499342832749E-2</v>
      </c>
      <c r="K206" s="44">
        <v>635663379.21000004</v>
      </c>
      <c r="L206" s="47">
        <f t="shared" ref="L206" si="108">(K206/$K$209)</f>
        <v>3.2334271026688829E-2</v>
      </c>
      <c r="M206" s="47">
        <f t="shared" ref="M206" si="109">((K206-I206)/I206)</f>
        <v>1.388274106895091E-2</v>
      </c>
      <c r="N206" s="49">
        <f t="shared" ref="N206" si="110">(G206/K206)</f>
        <v>2.7253510059884641E-3</v>
      </c>
      <c r="O206" s="50">
        <f t="shared" ref="O206" si="111">H206/K206</f>
        <v>1.2735095767292313E-2</v>
      </c>
      <c r="P206" s="51">
        <f t="shared" ref="P206" si="112">K206/V206</f>
        <v>1098.6269900863813</v>
      </c>
      <c r="Q206" s="51">
        <f t="shared" ref="Q206" si="113">H206/V206</f>
        <v>13.991119931282167</v>
      </c>
      <c r="R206" s="44">
        <v>1098.6199999999999</v>
      </c>
      <c r="S206" s="44">
        <v>1098.6199999999999</v>
      </c>
      <c r="T206" s="52">
        <v>33</v>
      </c>
      <c r="U206" s="44">
        <v>578350</v>
      </c>
      <c r="V206" s="44">
        <v>578598</v>
      </c>
    </row>
    <row r="207" spans="1:22">
      <c r="A207" s="77">
        <v>182</v>
      </c>
      <c r="B207" s="52" t="s">
        <v>277</v>
      </c>
      <c r="C207" s="70" t="s">
        <v>54</v>
      </c>
      <c r="D207" s="44">
        <v>16740414916.610001</v>
      </c>
      <c r="E207" s="44">
        <v>164611616.28999999</v>
      </c>
      <c r="F207" s="88">
        <v>-168953372.15000001</v>
      </c>
      <c r="G207" s="44">
        <v>53931632.130000003</v>
      </c>
      <c r="H207" s="45">
        <f>(E207+F207)-G207</f>
        <v>-58273387.990000017</v>
      </c>
      <c r="I207" s="52">
        <v>17142362940.6</v>
      </c>
      <c r="J207" s="47">
        <f t="shared" si="107"/>
        <v>0.86924506613998886</v>
      </c>
      <c r="K207" s="44">
        <v>17051730251.360001</v>
      </c>
      <c r="L207" s="47">
        <f t="shared" ref="L207:L208" si="114">(K207/$K$209)</f>
        <v>0.86736987760201822</v>
      </c>
      <c r="M207" s="47">
        <f t="shared" ref="M207:M208" si="115">((K207-I207)/I207)</f>
        <v>-5.2870592901370188E-3</v>
      </c>
      <c r="N207" s="49">
        <f t="shared" ref="N207:N208" si="116">(G207/K207)</f>
        <v>3.1628246128101024E-3</v>
      </c>
      <c r="O207" s="50">
        <f t="shared" ref="O207:O208" si="117">H207/K207</f>
        <v>-3.4174472109862451E-3</v>
      </c>
      <c r="P207" s="51">
        <f t="shared" ref="P207:P208" si="118">K207/V207</f>
        <v>6.8070708344314328</v>
      </c>
      <c r="Q207" s="51">
        <f t="shared" ref="Q207:Q208" si="119">H207/V207</f>
        <v>-2.3262805238113509E-2</v>
      </c>
      <c r="R207" s="52">
        <v>6.75</v>
      </c>
      <c r="S207" s="52">
        <v>6.85</v>
      </c>
      <c r="T207" s="44">
        <v>18071</v>
      </c>
      <c r="U207" s="44">
        <v>2509702386.04</v>
      </c>
      <c r="V207" s="44">
        <v>2505002616.5599999</v>
      </c>
    </row>
    <row r="208" spans="1:22">
      <c r="A208" s="77">
        <v>183</v>
      </c>
      <c r="B208" s="52" t="s">
        <v>278</v>
      </c>
      <c r="C208" s="70" t="s">
        <v>139</v>
      </c>
      <c r="D208" s="44">
        <v>1896602019.71</v>
      </c>
      <c r="E208" s="44">
        <v>14475539.75</v>
      </c>
      <c r="F208" s="44">
        <v>8925576.4000000004</v>
      </c>
      <c r="G208" s="44">
        <v>12715403.51</v>
      </c>
      <c r="H208" s="45">
        <f>(E208+F208)-G208</f>
        <v>10685712.639999999</v>
      </c>
      <c r="I208" s="52">
        <v>1951655727.97</v>
      </c>
      <c r="J208" s="47">
        <f t="shared" si="107"/>
        <v>9.896343451717822E-2</v>
      </c>
      <c r="K208" s="44">
        <v>1971728379.1800001</v>
      </c>
      <c r="L208" s="47">
        <f t="shared" si="114"/>
        <v>0.10029585137129296</v>
      </c>
      <c r="M208" s="47">
        <f t="shared" si="115"/>
        <v>1.0284934439168969E-2</v>
      </c>
      <c r="N208" s="49">
        <f t="shared" si="116"/>
        <v>6.4488616405105788E-3</v>
      </c>
      <c r="O208" s="50">
        <f t="shared" si="117"/>
        <v>5.4194648476094658E-3</v>
      </c>
      <c r="P208" s="51">
        <f t="shared" si="118"/>
        <v>53.652242555895768</v>
      </c>
      <c r="Q208" s="51">
        <f t="shared" si="119"/>
        <v>0.29076644252709377</v>
      </c>
      <c r="R208" s="52">
        <v>53.577500000000001</v>
      </c>
      <c r="S208" s="52">
        <v>54.060699999999997</v>
      </c>
      <c r="T208" s="44">
        <v>1570</v>
      </c>
      <c r="U208" s="44">
        <v>36719567.170000002</v>
      </c>
      <c r="V208" s="44">
        <v>36750157.780000001</v>
      </c>
    </row>
    <row r="209" spans="1:22" ht="15" customHeight="1">
      <c r="A209" s="144" t="s">
        <v>62</v>
      </c>
      <c r="B209" s="144"/>
      <c r="C209" s="144"/>
      <c r="D209" s="144"/>
      <c r="E209" s="144"/>
      <c r="F209" s="144"/>
      <c r="G209" s="144"/>
      <c r="H209" s="144"/>
      <c r="I209" s="64">
        <f>SUM(I206:I208)</f>
        <v>19720978131.890003</v>
      </c>
      <c r="J209" s="62">
        <f>(I209/$I$249)</f>
        <v>2.0870092317285399E-3</v>
      </c>
      <c r="K209" s="64">
        <f>SUM(K206:K208)</f>
        <v>19659122009.75</v>
      </c>
      <c r="L209" s="62">
        <f>(K209/$K$249)</f>
        <v>2.0538951183643318E-3</v>
      </c>
      <c r="M209" s="62">
        <f t="shared" ref="M209" si="120">((K209-I209)/I209)</f>
        <v>-3.1365646128869314E-3</v>
      </c>
      <c r="N209" s="49"/>
      <c r="O209" s="89"/>
      <c r="P209" s="63"/>
      <c r="Q209" s="63"/>
      <c r="R209" s="64"/>
      <c r="S209" s="64"/>
      <c r="T209" s="64">
        <f>SUM(T206:T208)</f>
        <v>19674</v>
      </c>
      <c r="U209" s="64"/>
      <c r="V209" s="87"/>
    </row>
    <row r="210" spans="1:22" ht="4.95" customHeight="1">
      <c r="A210" s="151"/>
      <c r="B210" s="151"/>
      <c r="C210" s="151"/>
      <c r="D210" s="151"/>
      <c r="E210" s="151"/>
      <c r="F210" s="151"/>
      <c r="G210" s="151"/>
      <c r="H210" s="151"/>
      <c r="I210" s="151"/>
      <c r="J210" s="151"/>
      <c r="K210" s="151"/>
      <c r="L210" s="151"/>
      <c r="M210" s="151"/>
      <c r="N210" s="151"/>
      <c r="O210" s="151"/>
      <c r="P210" s="151"/>
      <c r="Q210" s="151"/>
      <c r="R210" s="151"/>
      <c r="S210" s="151"/>
      <c r="T210" s="151"/>
      <c r="U210" s="151"/>
      <c r="V210" s="151"/>
    </row>
    <row r="211" spans="1:22">
      <c r="A211" s="143" t="s">
        <v>279</v>
      </c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</row>
    <row r="212" spans="1:22" ht="13.05" customHeight="1">
      <c r="A212" s="156" t="s">
        <v>280</v>
      </c>
      <c r="B212" s="156"/>
      <c r="C212" s="156"/>
      <c r="D212" s="156"/>
      <c r="E212" s="156"/>
      <c r="F212" s="156"/>
      <c r="G212" s="156"/>
      <c r="H212" s="156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  <c r="U212" s="156"/>
      <c r="V212" s="156"/>
    </row>
    <row r="213" spans="1:22" ht="15" customHeight="1">
      <c r="A213" s="42">
        <v>184</v>
      </c>
      <c r="B213" s="54" t="s">
        <v>281</v>
      </c>
      <c r="C213" s="43" t="s">
        <v>282</v>
      </c>
      <c r="D213" s="90">
        <v>13837253748.139999</v>
      </c>
      <c r="E213" s="48">
        <v>182010230.90000001</v>
      </c>
      <c r="F213" s="48">
        <v>-335564445.87</v>
      </c>
      <c r="G213" s="59">
        <v>47102934.549999997</v>
      </c>
      <c r="H213" s="45">
        <f>(E213+F213)-G213</f>
        <v>-200657149.51999998</v>
      </c>
      <c r="I213" s="46">
        <v>17240876684.060001</v>
      </c>
      <c r="J213" s="47">
        <f>(I213/$I$237)</f>
        <v>0.11869674336792431</v>
      </c>
      <c r="K213" s="48">
        <v>16933351528.58</v>
      </c>
      <c r="L213" s="47">
        <f>(K213/$K$237)</f>
        <v>0.11444319051712529</v>
      </c>
      <c r="M213" s="47">
        <f>((K213-I213)/I213)</f>
        <v>-1.7836979007240558E-2</v>
      </c>
      <c r="N213" s="49">
        <f>(G213/K213)</f>
        <v>2.7816663742260338E-3</v>
      </c>
      <c r="O213" s="50">
        <f>H213/K213</f>
        <v>-1.1849818931670565E-2</v>
      </c>
      <c r="P213" s="51">
        <f>K213/V213</f>
        <v>3.8176179317591896</v>
      </c>
      <c r="Q213" s="51">
        <f>H213/V213</f>
        <v>-4.5238081241645071E-2</v>
      </c>
      <c r="R213" s="46">
        <v>3.78</v>
      </c>
      <c r="S213" s="46">
        <v>3.85</v>
      </c>
      <c r="T213" s="48">
        <v>17423</v>
      </c>
      <c r="U213" s="44">
        <v>4473336992.1599998</v>
      </c>
      <c r="V213" s="44">
        <v>4435580467</v>
      </c>
    </row>
    <row r="214" spans="1:22">
      <c r="A214" s="42">
        <v>185</v>
      </c>
      <c r="B214" s="43" t="s">
        <v>283</v>
      </c>
      <c r="C214" s="43" t="s">
        <v>54</v>
      </c>
      <c r="D214" s="59">
        <v>32521284978.25</v>
      </c>
      <c r="E214" s="59">
        <v>425738291.67000002</v>
      </c>
      <c r="F214" s="59">
        <v>-851191813.13999999</v>
      </c>
      <c r="G214" s="59">
        <v>68341592.230000004</v>
      </c>
      <c r="H214" s="45">
        <f>(E214+F214)-G214</f>
        <v>-493795113.69999999</v>
      </c>
      <c r="I214" s="58">
        <v>34885677409.699997</v>
      </c>
      <c r="J214" s="47">
        <f>(I214/$I$237)</f>
        <v>0.24017434696599468</v>
      </c>
      <c r="K214" s="59">
        <v>33622561452.360001</v>
      </c>
      <c r="L214" s="47">
        <f>(K214/$K$237)</f>
        <v>0.22723636248097567</v>
      </c>
      <c r="M214" s="47">
        <f>((K214-I214)/I214)</f>
        <v>-3.6207293397398262E-2</v>
      </c>
      <c r="N214" s="49">
        <f>(G214/K214)</f>
        <v>2.0326111181872206E-3</v>
      </c>
      <c r="O214" s="50">
        <f>H214/K214</f>
        <v>-1.4686421627919726E-2</v>
      </c>
      <c r="P214" s="51">
        <f>K214/V214</f>
        <v>1619.7855381447725</v>
      </c>
      <c r="Q214" s="51">
        <f>H214/V214</f>
        <v>-23.788853360000978</v>
      </c>
      <c r="R214" s="59">
        <v>1453.54</v>
      </c>
      <c r="S214" s="59">
        <v>1473.58</v>
      </c>
      <c r="T214" s="59">
        <v>11087</v>
      </c>
      <c r="U214" s="59">
        <v>23519977.870000001</v>
      </c>
      <c r="V214" s="59">
        <v>20757415.510000002</v>
      </c>
    </row>
    <row r="215" spans="1:22" ht="7.05" customHeight="1">
      <c r="A215" s="151"/>
      <c r="B215" s="151"/>
      <c r="C215" s="151"/>
      <c r="D215" s="151"/>
      <c r="E215" s="151"/>
      <c r="F215" s="151"/>
      <c r="G215" s="151"/>
      <c r="H215" s="151"/>
      <c r="I215" s="151"/>
      <c r="J215" s="151"/>
      <c r="K215" s="151"/>
      <c r="L215" s="151"/>
      <c r="M215" s="151"/>
      <c r="N215" s="151"/>
      <c r="O215" s="151"/>
      <c r="P215" s="151"/>
      <c r="Q215" s="151"/>
      <c r="R215" s="151"/>
      <c r="S215" s="151"/>
      <c r="T215" s="151"/>
      <c r="U215" s="151"/>
      <c r="V215" s="151"/>
    </row>
    <row r="216" spans="1:22">
      <c r="A216" s="157" t="s">
        <v>210</v>
      </c>
      <c r="B216" s="157"/>
      <c r="C216" s="157"/>
      <c r="D216" s="157"/>
      <c r="E216" s="157"/>
      <c r="F216" s="157"/>
      <c r="G216" s="157"/>
      <c r="H216" s="157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</row>
    <row r="217" spans="1:22">
      <c r="A217" s="91">
        <v>186</v>
      </c>
      <c r="B217" s="92" t="s">
        <v>284</v>
      </c>
      <c r="C217" s="93" t="s">
        <v>73</v>
      </c>
      <c r="D217" s="94">
        <v>944733694</v>
      </c>
      <c r="E217" s="94">
        <v>26076933</v>
      </c>
      <c r="F217" s="44">
        <v>9596092</v>
      </c>
      <c r="G217" s="94">
        <v>-3895760</v>
      </c>
      <c r="H217" s="95">
        <f>(E217+F217)-G217</f>
        <v>39568785</v>
      </c>
      <c r="I217" s="95">
        <v>1873261669</v>
      </c>
      <c r="J217" s="47">
        <f t="shared" ref="J217:J230" si="121">(I217/$I$237)</f>
        <v>1.2896679424187032E-2</v>
      </c>
      <c r="K217" s="94">
        <v>1874759792</v>
      </c>
      <c r="L217" s="47">
        <f t="shared" ref="L217" si="122">(K217/$K$237)</f>
        <v>1.2670468199256373E-2</v>
      </c>
      <c r="M217" s="47">
        <f t="shared" ref="M217:M237" si="123">((K217-I217)/I217)</f>
        <v>7.9974038053089527E-4</v>
      </c>
      <c r="N217" s="49">
        <f>(G217/K217)</f>
        <v>-2.0780048818115466E-3</v>
      </c>
      <c r="O217" s="50">
        <f>H217/K217</f>
        <v>2.110605591652245E-2</v>
      </c>
      <c r="P217" s="51">
        <f>K217/V217</f>
        <v>1.2200455455086787</v>
      </c>
      <c r="Q217" s="51">
        <f>H217/V217</f>
        <v>2.5750349504210311E-2</v>
      </c>
      <c r="R217" s="95">
        <v>1.2029000000000001</v>
      </c>
      <c r="S217" s="95">
        <v>1.2029000000000001</v>
      </c>
      <c r="T217" s="95">
        <v>972</v>
      </c>
      <c r="U217" s="94">
        <v>1561508855</v>
      </c>
      <c r="V217" s="94">
        <v>1536630988</v>
      </c>
    </row>
    <row r="218" spans="1:22">
      <c r="A218" s="91">
        <v>187</v>
      </c>
      <c r="B218" s="92" t="s">
        <v>285</v>
      </c>
      <c r="C218" s="93" t="s">
        <v>286</v>
      </c>
      <c r="D218" s="95">
        <v>227593494.63370901</v>
      </c>
      <c r="E218" s="95">
        <v>3962910.82771907</v>
      </c>
      <c r="F218" s="52">
        <v>0</v>
      </c>
      <c r="G218" s="95">
        <v>522181.68027670198</v>
      </c>
      <c r="H218" s="95">
        <f>(E218+F218)-G218</f>
        <v>3440729.1474423679</v>
      </c>
      <c r="I218" s="95">
        <v>273751335.41574347</v>
      </c>
      <c r="J218" s="47">
        <f t="shared" si="121"/>
        <v>1.884671678935604E-3</v>
      </c>
      <c r="K218" s="95">
        <v>278206605.72847497</v>
      </c>
      <c r="L218" s="47">
        <f t="shared" ref="L218:L230" si="124">(K218/$K$237)</f>
        <v>1.8802451203336337E-3</v>
      </c>
      <c r="M218" s="47">
        <f t="shared" ref="M218:M230" si="125">((K218-I218)/I218)</f>
        <v>1.6274880653880022E-2</v>
      </c>
      <c r="N218" s="49">
        <f t="shared" ref="N218:N230" si="126">(G218/K218)</f>
        <v>1.8769564400147373E-3</v>
      </c>
      <c r="O218" s="50">
        <f t="shared" ref="O218:O230" si="127">H218/K218</f>
        <v>1.2367532174273613E-2</v>
      </c>
      <c r="P218" s="51">
        <f t="shared" ref="P218:P230" si="128">K218/V218</f>
        <v>1170.1792351126026</v>
      </c>
      <c r="Q218" s="51">
        <f t="shared" ref="Q218:Q230" si="129">H218/V218</f>
        <v>14.472229339922</v>
      </c>
      <c r="R218" s="95">
        <v>1170.1792351126001</v>
      </c>
      <c r="S218" s="95">
        <v>1170.1792351126001</v>
      </c>
      <c r="T218" s="95">
        <v>15</v>
      </c>
      <c r="U218" s="95">
        <v>237747.00266468499</v>
      </c>
      <c r="V218" s="95">
        <v>237747.00266468499</v>
      </c>
    </row>
    <row r="219" spans="1:22" ht="15" customHeight="1">
      <c r="A219" s="91">
        <v>188</v>
      </c>
      <c r="B219" s="92" t="s">
        <v>287</v>
      </c>
      <c r="C219" s="93" t="s">
        <v>84</v>
      </c>
      <c r="D219" s="94">
        <v>131021985.55</v>
      </c>
      <c r="E219" s="94">
        <v>5674344.04</v>
      </c>
      <c r="F219" s="52">
        <v>0</v>
      </c>
      <c r="G219" s="94">
        <v>665879.80000000005</v>
      </c>
      <c r="H219" s="95">
        <f t="shared" ref="H219:H230" si="130">(E219+F219)-G219</f>
        <v>5008464.24</v>
      </c>
      <c r="I219" s="95">
        <v>400050770.08999997</v>
      </c>
      <c r="J219" s="47">
        <f t="shared" si="121"/>
        <v>2.7541942594726094E-3</v>
      </c>
      <c r="K219" s="94">
        <v>386749063.25999999</v>
      </c>
      <c r="L219" s="47">
        <f t="shared" si="124"/>
        <v>2.613823769871005E-3</v>
      </c>
      <c r="M219" s="47">
        <f t="shared" si="125"/>
        <v>-3.3250046805327935E-2</v>
      </c>
      <c r="N219" s="49">
        <f t="shared" si="126"/>
        <v>1.721736038316785E-3</v>
      </c>
      <c r="O219" s="50">
        <f t="shared" si="127"/>
        <v>1.2950165147867359E-2</v>
      </c>
      <c r="P219" s="51">
        <f t="shared" si="128"/>
        <v>129.78448282562059</v>
      </c>
      <c r="Q219" s="51">
        <f t="shared" si="129"/>
        <v>1.6807304862223413</v>
      </c>
      <c r="R219" s="95">
        <v>129.34</v>
      </c>
      <c r="S219" s="95">
        <v>129.34</v>
      </c>
      <c r="T219" s="95">
        <v>92</v>
      </c>
      <c r="U219" s="94">
        <v>3123654</v>
      </c>
      <c r="V219" s="94">
        <v>2979933</v>
      </c>
    </row>
    <row r="220" spans="1:22" ht="15" customHeight="1">
      <c r="A220" s="91">
        <v>189</v>
      </c>
      <c r="B220" s="92" t="s">
        <v>288</v>
      </c>
      <c r="C220" s="93" t="s">
        <v>289</v>
      </c>
      <c r="D220" s="94">
        <v>49650000</v>
      </c>
      <c r="E220" s="94">
        <v>819653.6</v>
      </c>
      <c r="F220" s="52"/>
      <c r="G220" s="94">
        <v>115685.44</v>
      </c>
      <c r="H220" s="95">
        <f t="shared" ref="H220" si="131">(E220+F220)-G220</f>
        <v>703968.15999999992</v>
      </c>
      <c r="I220" s="95">
        <v>56006450.579999998</v>
      </c>
      <c r="J220" s="47">
        <f t="shared" si="121"/>
        <v>3.8558267153484036E-4</v>
      </c>
      <c r="K220" s="94">
        <v>53455169.960000001</v>
      </c>
      <c r="L220" s="47">
        <f t="shared" si="124"/>
        <v>3.6127403305437681E-4</v>
      </c>
      <c r="M220" s="47">
        <f t="shared" si="125"/>
        <v>-4.5553335260118483E-2</v>
      </c>
      <c r="N220" s="49">
        <f t="shared" si="126"/>
        <v>2.1641581176631993E-3</v>
      </c>
      <c r="O220" s="50">
        <f t="shared" si="127"/>
        <v>1.3169318524789513E-2</v>
      </c>
      <c r="P220" s="51">
        <f t="shared" si="128"/>
        <v>104.89530118425054</v>
      </c>
      <c r="Q220" s="51">
        <f t="shared" si="129"/>
        <v>1.3813996330491261</v>
      </c>
      <c r="R220" s="95">
        <v>104.9</v>
      </c>
      <c r="S220" s="95">
        <v>104.9</v>
      </c>
      <c r="T220" s="95">
        <v>12</v>
      </c>
      <c r="U220" s="94">
        <v>509426</v>
      </c>
      <c r="V220" s="94">
        <v>509605</v>
      </c>
    </row>
    <row r="221" spans="1:22" ht="15" customHeight="1">
      <c r="A221" s="91">
        <v>190</v>
      </c>
      <c r="B221" s="92" t="s">
        <v>290</v>
      </c>
      <c r="C221" s="93" t="s">
        <v>195</v>
      </c>
      <c r="D221" s="94">
        <v>150010706.09999999</v>
      </c>
      <c r="E221" s="94">
        <v>3905683.23</v>
      </c>
      <c r="F221" s="52">
        <v>0</v>
      </c>
      <c r="G221" s="94">
        <v>700255.5</v>
      </c>
      <c r="H221" s="95">
        <f t="shared" si="130"/>
        <v>3205427.73</v>
      </c>
      <c r="I221" s="95">
        <v>234749853.68000001</v>
      </c>
      <c r="J221" s="47">
        <f t="shared" si="121"/>
        <v>1.6161616168668706E-3</v>
      </c>
      <c r="K221" s="94">
        <v>579820437.04999995</v>
      </c>
      <c r="L221" s="47">
        <f t="shared" si="124"/>
        <v>3.918686778045086E-3</v>
      </c>
      <c r="M221" s="47">
        <f t="shared" si="125"/>
        <v>1.4699501531548727</v>
      </c>
      <c r="N221" s="49">
        <f t="shared" si="126"/>
        <v>1.2077109657651038E-3</v>
      </c>
      <c r="O221" s="50">
        <f t="shared" si="127"/>
        <v>5.5283110514498558E-3</v>
      </c>
      <c r="P221" s="51">
        <f t="shared" si="128"/>
        <v>104.81765246562271</v>
      </c>
      <c r="Q221" s="51">
        <f t="shared" si="129"/>
        <v>0.57946458651273225</v>
      </c>
      <c r="R221" s="95">
        <v>101.29</v>
      </c>
      <c r="S221" s="95">
        <v>101.86</v>
      </c>
      <c r="T221" s="95">
        <v>37</v>
      </c>
      <c r="U221" s="94">
        <v>2213853</v>
      </c>
      <c r="V221" s="94">
        <v>5531706</v>
      </c>
    </row>
    <row r="222" spans="1:22" ht="15" customHeight="1">
      <c r="A222" s="91">
        <v>191</v>
      </c>
      <c r="B222" s="43" t="s">
        <v>291</v>
      </c>
      <c r="C222" s="54" t="s">
        <v>93</v>
      </c>
      <c r="D222" s="71">
        <v>408666377.38</v>
      </c>
      <c r="E222" s="48">
        <v>4933432</v>
      </c>
      <c r="F222" s="46">
        <v>0</v>
      </c>
      <c r="G222" s="44">
        <v>892264</v>
      </c>
      <c r="H222" s="45">
        <f t="shared" si="130"/>
        <v>4041168</v>
      </c>
      <c r="I222" s="58">
        <v>384009300</v>
      </c>
      <c r="J222" s="47">
        <f t="shared" si="121"/>
        <v>2.6437549649164713E-3</v>
      </c>
      <c r="K222" s="59">
        <v>405477679</v>
      </c>
      <c r="L222" s="47">
        <f t="shared" si="124"/>
        <v>2.7404001617705826E-3</v>
      </c>
      <c r="M222" s="47">
        <f t="shared" si="125"/>
        <v>5.590588300856255E-2</v>
      </c>
      <c r="N222" s="49">
        <f t="shared" si="126"/>
        <v>2.2005255682643879E-3</v>
      </c>
      <c r="O222" s="50">
        <f t="shared" si="127"/>
        <v>9.9664376346595401E-3</v>
      </c>
      <c r="P222" s="51">
        <f t="shared" si="128"/>
        <v>1.3779234672756429</v>
      </c>
      <c r="Q222" s="51">
        <f t="shared" si="129"/>
        <v>1.3732988301936529E-2</v>
      </c>
      <c r="R222" s="52">
        <v>1.26</v>
      </c>
      <c r="S222" s="52">
        <v>1.26</v>
      </c>
      <c r="T222" s="52">
        <v>73</v>
      </c>
      <c r="U222" s="44">
        <v>290459130.75</v>
      </c>
      <c r="V222" s="44">
        <v>294267198.88999999</v>
      </c>
    </row>
    <row r="223" spans="1:22" ht="15" customHeight="1">
      <c r="A223" s="91">
        <v>192</v>
      </c>
      <c r="B223" s="93" t="s">
        <v>292</v>
      </c>
      <c r="C223" s="93" t="s">
        <v>96</v>
      </c>
      <c r="D223" s="94">
        <v>6482583989.6199999</v>
      </c>
      <c r="E223" s="94">
        <v>83287124.569999993</v>
      </c>
      <c r="F223" s="52">
        <v>0</v>
      </c>
      <c r="G223" s="94">
        <v>10533036.98</v>
      </c>
      <c r="H223" s="95">
        <f t="shared" si="130"/>
        <v>72754087.589999989</v>
      </c>
      <c r="I223" s="95">
        <v>6301571872.79</v>
      </c>
      <c r="J223" s="47">
        <f t="shared" si="121"/>
        <v>4.3383876185984424E-2</v>
      </c>
      <c r="K223" s="94">
        <v>6454988708.0100002</v>
      </c>
      <c r="L223" s="47">
        <f t="shared" si="124"/>
        <v>4.3625711144651906E-2</v>
      </c>
      <c r="M223" s="47">
        <f t="shared" si="125"/>
        <v>2.4345804240121359E-2</v>
      </c>
      <c r="N223" s="49">
        <f t="shared" si="126"/>
        <v>1.631766910285923E-3</v>
      </c>
      <c r="O223" s="50">
        <f t="shared" si="127"/>
        <v>1.1270986035919689E-2</v>
      </c>
      <c r="P223" s="51">
        <f t="shared" si="128"/>
        <v>155.50447433312857</v>
      </c>
      <c r="Q223" s="51">
        <f t="shared" si="129"/>
        <v>1.7526887587317237</v>
      </c>
      <c r="R223" s="95">
        <v>155.5</v>
      </c>
      <c r="S223" s="95">
        <v>155.5</v>
      </c>
      <c r="T223" s="95">
        <v>1892</v>
      </c>
      <c r="U223" s="94">
        <v>40986280</v>
      </c>
      <c r="V223" s="94">
        <v>41509987</v>
      </c>
    </row>
    <row r="224" spans="1:22" ht="15" customHeight="1">
      <c r="A224" s="91">
        <v>193</v>
      </c>
      <c r="B224" s="93" t="s">
        <v>293</v>
      </c>
      <c r="C224" s="93" t="s">
        <v>82</v>
      </c>
      <c r="D224" s="94">
        <v>1045746149.9299999</v>
      </c>
      <c r="E224" s="94">
        <v>12938430.960000001</v>
      </c>
      <c r="F224" s="52">
        <v>0</v>
      </c>
      <c r="G224" s="94">
        <v>1847862.64</v>
      </c>
      <c r="H224" s="95">
        <f t="shared" si="130"/>
        <v>11090568.32</v>
      </c>
      <c r="I224" s="95">
        <v>1018457597.63</v>
      </c>
      <c r="J224" s="47">
        <f t="shared" si="121"/>
        <v>7.0116852125487955E-3</v>
      </c>
      <c r="K224" s="94">
        <v>1042375388.6</v>
      </c>
      <c r="L224" s="47">
        <f t="shared" si="124"/>
        <v>7.044840768029339E-3</v>
      </c>
      <c r="M224" s="47">
        <f t="shared" si="125"/>
        <v>2.3484326716848972E-2</v>
      </c>
      <c r="N224" s="49">
        <f t="shared" si="126"/>
        <v>1.7727420085021756E-3</v>
      </c>
      <c r="O224" s="50">
        <f t="shared" si="127"/>
        <v>1.0639706617493713E-2</v>
      </c>
      <c r="P224" s="51">
        <f t="shared" si="128"/>
        <v>1437.4377852543284</v>
      </c>
      <c r="Q224" s="51">
        <f t="shared" si="129"/>
        <v>15.293916316005985</v>
      </c>
      <c r="R224" s="94">
        <v>1437.44</v>
      </c>
      <c r="S224" s="94">
        <v>1437.44</v>
      </c>
      <c r="T224" s="95">
        <v>332</v>
      </c>
      <c r="U224" s="94">
        <v>716112.45</v>
      </c>
      <c r="V224" s="94">
        <v>725162.09</v>
      </c>
    </row>
    <row r="225" spans="1:24" ht="15" customHeight="1">
      <c r="A225" s="91">
        <v>194</v>
      </c>
      <c r="B225" s="92" t="s">
        <v>294</v>
      </c>
      <c r="C225" s="93" t="s">
        <v>282</v>
      </c>
      <c r="D225" s="94">
        <v>31485037996.009998</v>
      </c>
      <c r="E225" s="94">
        <v>855066295.61000001</v>
      </c>
      <c r="F225" s="52">
        <v>0</v>
      </c>
      <c r="G225" s="94">
        <v>86648294.480000004</v>
      </c>
      <c r="H225" s="95">
        <f t="shared" si="130"/>
        <v>768418001.13</v>
      </c>
      <c r="I225" s="95">
        <v>51144673849.800003</v>
      </c>
      <c r="J225" s="47">
        <f t="shared" si="121"/>
        <v>0.35211122600270978</v>
      </c>
      <c r="K225" s="94">
        <v>53353805794.43</v>
      </c>
      <c r="L225" s="47">
        <f t="shared" si="124"/>
        <v>0.36058896852404104</v>
      </c>
      <c r="M225" s="47">
        <f t="shared" si="125"/>
        <v>4.3193783014780843E-2</v>
      </c>
      <c r="N225" s="49">
        <f t="shared" si="126"/>
        <v>1.6240321227290193E-3</v>
      </c>
      <c r="O225" s="50">
        <f t="shared" si="127"/>
        <v>1.4402309070334789E-2</v>
      </c>
      <c r="P225" s="51">
        <f t="shared" si="128"/>
        <v>1317.728266077638</v>
      </c>
      <c r="Q225" s="51">
        <f t="shared" si="129"/>
        <v>18.978329758766499</v>
      </c>
      <c r="R225" s="94">
        <v>1317.73</v>
      </c>
      <c r="S225" s="94">
        <v>1317.73</v>
      </c>
      <c r="T225" s="94">
        <v>14629</v>
      </c>
      <c r="U225" s="94">
        <v>39345643.859999999</v>
      </c>
      <c r="V225" s="94">
        <v>40489232.240000002</v>
      </c>
    </row>
    <row r="226" spans="1:24" ht="15" customHeight="1">
      <c r="A226" s="91">
        <v>195</v>
      </c>
      <c r="B226" s="96" t="s">
        <v>295</v>
      </c>
      <c r="C226" s="96" t="s">
        <v>296</v>
      </c>
      <c r="D226" s="94">
        <v>545169531.92999995</v>
      </c>
      <c r="E226" s="94">
        <v>0</v>
      </c>
      <c r="F226" s="52">
        <v>111988501.83</v>
      </c>
      <c r="G226" s="94">
        <v>2043722.02</v>
      </c>
      <c r="H226" s="95">
        <f t="shared" si="130"/>
        <v>109944779.81</v>
      </c>
      <c r="I226" s="95">
        <v>501974419.07999998</v>
      </c>
      <c r="J226" s="47">
        <f t="shared" si="121"/>
        <v>3.4558990178201708E-3</v>
      </c>
      <c r="K226" s="94">
        <v>588599687.30999994</v>
      </c>
      <c r="L226" s="47">
        <f t="shared" si="124"/>
        <v>3.9780208920512199E-3</v>
      </c>
      <c r="M226" s="47">
        <f t="shared" si="125"/>
        <v>0.17256908905589954</v>
      </c>
      <c r="N226" s="49">
        <f t="shared" si="126"/>
        <v>3.4721765302665299E-3</v>
      </c>
      <c r="O226" s="50">
        <f t="shared" si="127"/>
        <v>0.18679041491249551</v>
      </c>
      <c r="P226" s="51">
        <f t="shared" si="128"/>
        <v>142.55701285934688</v>
      </c>
      <c r="Q226" s="51">
        <f t="shared" si="129"/>
        <v>26.628283580683362</v>
      </c>
      <c r="R226" s="95">
        <v>142.30000000000001</v>
      </c>
      <c r="S226" s="95">
        <v>142.77000000000001</v>
      </c>
      <c r="T226" s="95">
        <v>145</v>
      </c>
      <c r="U226" s="94">
        <v>3545494.71</v>
      </c>
      <c r="V226" s="94">
        <v>4128872.2</v>
      </c>
    </row>
    <row r="227" spans="1:24" ht="15" customHeight="1">
      <c r="A227" s="91">
        <v>196</v>
      </c>
      <c r="B227" s="96" t="s">
        <v>297</v>
      </c>
      <c r="C227" s="96" t="s">
        <v>296</v>
      </c>
      <c r="D227" s="94">
        <v>1236568425.4200001</v>
      </c>
      <c r="E227" s="94">
        <v>1153125</v>
      </c>
      <c r="F227" s="44">
        <v>148268675.81</v>
      </c>
      <c r="G227" s="94">
        <v>2484483.96</v>
      </c>
      <c r="H227" s="95">
        <f t="shared" si="130"/>
        <v>146937316.84999999</v>
      </c>
      <c r="I227" s="95">
        <v>1134828612.26</v>
      </c>
      <c r="J227" s="47">
        <f t="shared" si="121"/>
        <v>7.8128544751172539E-3</v>
      </c>
      <c r="K227" s="94">
        <v>1319139067.54</v>
      </c>
      <c r="L227" s="47">
        <f t="shared" si="124"/>
        <v>8.915333941438763E-3</v>
      </c>
      <c r="M227" s="47">
        <f t="shared" si="125"/>
        <v>0.16241259101931482</v>
      </c>
      <c r="N227" s="49">
        <f t="shared" si="126"/>
        <v>1.8834132208920145E-3</v>
      </c>
      <c r="O227" s="50">
        <f t="shared" si="127"/>
        <v>0.11138879930530482</v>
      </c>
      <c r="P227" s="51">
        <f t="shared" si="128"/>
        <v>156.82568351800964</v>
      </c>
      <c r="Q227" s="51">
        <f t="shared" si="129"/>
        <v>17.468624587304827</v>
      </c>
      <c r="R227" s="95">
        <v>156.97</v>
      </c>
      <c r="S227" s="95">
        <v>156.97</v>
      </c>
      <c r="T227" s="95">
        <v>160</v>
      </c>
      <c r="U227" s="94">
        <v>7332826.2999999998</v>
      </c>
      <c r="V227" s="94">
        <v>8411498.9199999999</v>
      </c>
    </row>
    <row r="228" spans="1:24" ht="13.95" customHeight="1">
      <c r="A228" s="91">
        <v>197</v>
      </c>
      <c r="B228" s="93" t="s">
        <v>298</v>
      </c>
      <c r="C228" s="93" t="s">
        <v>207</v>
      </c>
      <c r="D228" s="94">
        <v>3300213669.5599999</v>
      </c>
      <c r="E228" s="94">
        <v>82663754.280000001</v>
      </c>
      <c r="F228" s="52">
        <v>0</v>
      </c>
      <c r="G228" s="94">
        <v>12583185.939999999</v>
      </c>
      <c r="H228" s="95">
        <f t="shared" si="130"/>
        <v>70080568.340000004</v>
      </c>
      <c r="I228" s="95">
        <v>4428627850</v>
      </c>
      <c r="J228" s="47">
        <f t="shared" si="121"/>
        <v>3.048938363264863E-2</v>
      </c>
      <c r="K228" s="94">
        <v>5646329558</v>
      </c>
      <c r="L228" s="47">
        <f t="shared" si="124"/>
        <v>3.8160429625407867E-2</v>
      </c>
      <c r="M228" s="47">
        <f t="shared" si="125"/>
        <v>0.27496139870953484</v>
      </c>
      <c r="N228" s="49">
        <f t="shared" si="126"/>
        <v>2.2285603082043831E-3</v>
      </c>
      <c r="O228" s="50">
        <f t="shared" si="127"/>
        <v>1.2411703500499076E-2</v>
      </c>
      <c r="P228" s="51">
        <f t="shared" si="128"/>
        <v>108.52130341431223</v>
      </c>
      <c r="Q228" s="51">
        <f t="shared" si="129"/>
        <v>1.3469342414661414</v>
      </c>
      <c r="R228" s="95">
        <v>108.52</v>
      </c>
      <c r="S228" s="95">
        <v>108.52</v>
      </c>
      <c r="T228" s="95">
        <v>1136</v>
      </c>
      <c r="U228" s="94">
        <v>41399123</v>
      </c>
      <c r="V228" s="94">
        <v>52029688</v>
      </c>
    </row>
    <row r="229" spans="1:24">
      <c r="A229" s="91">
        <v>198</v>
      </c>
      <c r="B229" s="92" t="s">
        <v>299</v>
      </c>
      <c r="C229" s="92" t="s">
        <v>54</v>
      </c>
      <c r="D229" s="94">
        <v>2985885868.0799999</v>
      </c>
      <c r="E229" s="94">
        <v>36031762.18</v>
      </c>
      <c r="F229" s="52">
        <v>0</v>
      </c>
      <c r="G229" s="94">
        <v>4882246.92</v>
      </c>
      <c r="H229" s="95">
        <f t="shared" si="130"/>
        <v>31149515.259999998</v>
      </c>
      <c r="I229" s="95">
        <v>2456842721.6900001</v>
      </c>
      <c r="J229" s="47">
        <f t="shared" si="121"/>
        <v>1.6914408436167649E-2</v>
      </c>
      <c r="K229" s="94">
        <v>3014448965.6300001</v>
      </c>
      <c r="L229" s="47">
        <f t="shared" si="124"/>
        <v>2.0372999207834613E-2</v>
      </c>
      <c r="M229" s="47">
        <f t="shared" si="125"/>
        <v>0.22696049650115038</v>
      </c>
      <c r="N229" s="49">
        <f t="shared" si="126"/>
        <v>1.6196150525904301E-3</v>
      </c>
      <c r="O229" s="50">
        <f t="shared" si="127"/>
        <v>1.0333402759562045E-2</v>
      </c>
      <c r="P229" s="51">
        <f t="shared" si="128"/>
        <v>159.59166716964879</v>
      </c>
      <c r="Q229" s="51">
        <f t="shared" si="129"/>
        <v>1.6491249739339562</v>
      </c>
      <c r="R229" s="95">
        <v>159.59</v>
      </c>
      <c r="S229" s="95">
        <v>159.59</v>
      </c>
      <c r="T229" s="94">
        <v>4199</v>
      </c>
      <c r="U229" s="94">
        <v>15638597.310000001</v>
      </c>
      <c r="V229" s="94">
        <v>18888511.030000001</v>
      </c>
    </row>
    <row r="230" spans="1:24" ht="15" customHeight="1">
      <c r="A230" s="91">
        <v>199</v>
      </c>
      <c r="B230" s="93" t="s">
        <v>300</v>
      </c>
      <c r="C230" s="93" t="s">
        <v>57</v>
      </c>
      <c r="D230" s="95">
        <v>2456721700.9299998</v>
      </c>
      <c r="E230" s="95">
        <v>47563085.439999998</v>
      </c>
      <c r="F230" s="52">
        <v>0</v>
      </c>
      <c r="G230" s="95">
        <v>6855957.5899999999</v>
      </c>
      <c r="H230" s="95">
        <f t="shared" si="130"/>
        <v>40707127.849999994</v>
      </c>
      <c r="I230" s="95">
        <v>4029406844.6399999</v>
      </c>
      <c r="J230" s="47">
        <f t="shared" si="121"/>
        <v>2.7740901981242152E-2</v>
      </c>
      <c r="K230" s="95">
        <v>4119801705.6700001</v>
      </c>
      <c r="L230" s="47">
        <f t="shared" si="124"/>
        <v>2.7843469185589349E-2</v>
      </c>
      <c r="M230" s="47">
        <f t="shared" si="125"/>
        <v>2.243378852404674E-2</v>
      </c>
      <c r="N230" s="49">
        <f t="shared" si="126"/>
        <v>1.6641474711183997E-3</v>
      </c>
      <c r="O230" s="50">
        <f t="shared" si="127"/>
        <v>9.8808463994700512E-3</v>
      </c>
      <c r="P230" s="51">
        <f t="shared" si="128"/>
        <v>1.1687705579859391</v>
      </c>
      <c r="Q230" s="51">
        <f t="shared" si="129"/>
        <v>1.1548442359681969E-2</v>
      </c>
      <c r="R230" s="95">
        <v>1.17</v>
      </c>
      <c r="S230" s="95">
        <v>1.17</v>
      </c>
      <c r="T230" s="95">
        <v>242</v>
      </c>
      <c r="U230" s="95">
        <v>3526837006.5900002</v>
      </c>
      <c r="V230" s="95">
        <v>3524902024.1999998</v>
      </c>
    </row>
    <row r="231" spans="1:24" ht="4.95" customHeight="1">
      <c r="A231" s="42"/>
      <c r="B231" s="43"/>
      <c r="C231" s="43"/>
      <c r="D231" s="97"/>
      <c r="E231" s="97"/>
      <c r="F231" s="97"/>
      <c r="G231" s="98"/>
      <c r="H231" s="45"/>
      <c r="I231" s="99"/>
      <c r="J231" s="47"/>
      <c r="K231" s="100"/>
      <c r="L231" s="47"/>
      <c r="M231" s="47"/>
      <c r="N231" s="49"/>
      <c r="O231" s="50"/>
      <c r="P231" s="51"/>
      <c r="Q231" s="51"/>
      <c r="R231" s="45"/>
      <c r="S231" s="45"/>
      <c r="T231" s="101"/>
      <c r="U231" s="98"/>
      <c r="V231" s="101"/>
    </row>
    <row r="232" spans="1:24" ht="15" customHeight="1">
      <c r="A232" s="156" t="s">
        <v>301</v>
      </c>
      <c r="B232" s="159"/>
      <c r="C232" s="159"/>
      <c r="D232" s="156"/>
      <c r="E232" s="156"/>
      <c r="F232" s="156"/>
      <c r="G232" s="156"/>
      <c r="H232" s="156"/>
      <c r="I232" s="156"/>
      <c r="J232" s="156"/>
      <c r="K232" s="156"/>
      <c r="L232" s="156"/>
      <c r="M232" s="156"/>
      <c r="N232" s="156"/>
      <c r="O232" s="156"/>
      <c r="P232" s="156"/>
      <c r="Q232" s="156"/>
      <c r="R232" s="156"/>
      <c r="S232" s="156"/>
      <c r="T232" s="156"/>
      <c r="U232" s="156"/>
      <c r="V232" s="156"/>
    </row>
    <row r="233" spans="1:24" ht="15" customHeight="1">
      <c r="A233" s="102">
        <v>200</v>
      </c>
      <c r="B233" s="103" t="s">
        <v>302</v>
      </c>
      <c r="C233" s="103" t="s">
        <v>303</v>
      </c>
      <c r="D233" s="104">
        <v>665977967.09000003</v>
      </c>
      <c r="E233" s="71">
        <v>7524472.5800000001</v>
      </c>
      <c r="F233" s="71">
        <v>23033261.57</v>
      </c>
      <c r="G233" s="71">
        <v>1729390.36</v>
      </c>
      <c r="H233" s="105">
        <f>(E233+F233)-G233</f>
        <v>28828343.789999999</v>
      </c>
      <c r="I233" s="106">
        <v>669174821.71000004</v>
      </c>
      <c r="J233" s="107">
        <f t="shared" ref="J233:J236" si="132">(I233/$I$237)</f>
        <v>4.6070088857038281E-3</v>
      </c>
      <c r="K233" s="108">
        <v>653030133.30999994</v>
      </c>
      <c r="L233" s="47">
        <f t="shared" ref="L233" si="133">(K233/$K$237)</f>
        <v>4.4134707670648102E-3</v>
      </c>
      <c r="M233" s="47">
        <f>((K233-I233)/I233)</f>
        <v>-2.4126263983967871E-2</v>
      </c>
      <c r="N233" s="49">
        <f t="shared" ref="N233" si="134">(G233/K233)</f>
        <v>2.6482550678546424E-3</v>
      </c>
      <c r="O233" s="50">
        <f t="shared" ref="O233" si="135">H233/K233</f>
        <v>4.4145503123842675E-2</v>
      </c>
      <c r="P233" s="51">
        <f t="shared" ref="P233" si="136">K233/V233</f>
        <v>118.87564003022541</v>
      </c>
      <c r="Q233" s="51">
        <f t="shared" ref="Q233" si="137">H233/V233</f>
        <v>5.247824938303113</v>
      </c>
      <c r="R233" s="106">
        <v>118.88</v>
      </c>
      <c r="S233" s="106">
        <v>118.88</v>
      </c>
      <c r="T233" s="106">
        <v>103</v>
      </c>
      <c r="U233" s="108">
        <v>5591503</v>
      </c>
      <c r="V233" s="108">
        <v>5493389</v>
      </c>
    </row>
    <row r="234" spans="1:24" ht="15" customHeight="1">
      <c r="A234" s="109">
        <v>201</v>
      </c>
      <c r="B234" s="110" t="s">
        <v>304</v>
      </c>
      <c r="C234" s="111" t="s">
        <v>73</v>
      </c>
      <c r="D234" s="71">
        <v>9908252740</v>
      </c>
      <c r="E234" s="71">
        <v>218616029</v>
      </c>
      <c r="F234" s="71">
        <v>-396838467</v>
      </c>
      <c r="G234" s="71">
        <v>-52997019</v>
      </c>
      <c r="H234" s="105">
        <f>(E234+F234)-G234</f>
        <v>-125225419</v>
      </c>
      <c r="I234" s="106">
        <v>17724557716</v>
      </c>
      <c r="J234" s="107">
        <f t="shared" si="132"/>
        <v>0.12202669951645324</v>
      </c>
      <c r="K234" s="108">
        <v>17000754238</v>
      </c>
      <c r="L234" s="47">
        <f t="shared" ref="L234:L236" si="138">(K234/$K$237)</f>
        <v>0.11489872828249349</v>
      </c>
      <c r="M234" s="47">
        <f t="shared" ref="M234:M236" si="139">((K234-I234)/I234)</f>
        <v>-4.0836194030761108E-2</v>
      </c>
      <c r="N234" s="49">
        <f t="shared" ref="N234:N236" si="140">(G234/K234)</f>
        <v>-3.1173333993347973E-3</v>
      </c>
      <c r="O234" s="50">
        <f t="shared" ref="O234:O236" si="141">H234/K234</f>
        <v>-7.3658743163345529E-3</v>
      </c>
      <c r="P234" s="51">
        <f t="shared" ref="P234:P236" si="142">K234/V234</f>
        <v>146.13355703382669</v>
      </c>
      <c r="Q234" s="51">
        <f t="shared" ref="Q234:Q236" si="143">H234/V234</f>
        <v>-1.0764014145100747</v>
      </c>
      <c r="R234" s="106">
        <v>145.40289999999999</v>
      </c>
      <c r="S234" s="106">
        <v>149.7869</v>
      </c>
      <c r="T234" s="108">
        <v>8361</v>
      </c>
      <c r="U234" s="108">
        <v>119883518</v>
      </c>
      <c r="V234" s="108">
        <v>116337100</v>
      </c>
    </row>
    <row r="235" spans="1:24" ht="15" customHeight="1">
      <c r="A235" s="112">
        <v>202</v>
      </c>
      <c r="B235" s="52" t="s">
        <v>305</v>
      </c>
      <c r="C235" s="70" t="s">
        <v>282</v>
      </c>
      <c r="D235" s="71">
        <v>362483955.37</v>
      </c>
      <c r="E235" s="71">
        <v>28981868.359999999</v>
      </c>
      <c r="F235" s="71">
        <v>74592879.209999993</v>
      </c>
      <c r="G235" s="44">
        <v>8595757.5800000001</v>
      </c>
      <c r="H235" s="45">
        <f>(E235+F235)-G235</f>
        <v>94978989.989999995</v>
      </c>
      <c r="I235" s="58">
        <v>406397796.93000001</v>
      </c>
      <c r="J235" s="107">
        <f t="shared" si="132"/>
        <v>2.797891075463025E-3</v>
      </c>
      <c r="K235" s="59">
        <v>402159958.24000001</v>
      </c>
      <c r="L235" s="47">
        <f t="shared" si="138"/>
        <v>2.7179775156465436E-3</v>
      </c>
      <c r="M235" s="47">
        <f t="shared" si="139"/>
        <v>-1.042780921061426E-2</v>
      </c>
      <c r="N235" s="49">
        <f t="shared" si="140"/>
        <v>2.1373976707224157E-2</v>
      </c>
      <c r="O235" s="50">
        <f t="shared" si="141"/>
        <v>0.2361721699138398</v>
      </c>
      <c r="P235" s="51">
        <f t="shared" si="142"/>
        <v>1544.2628503371991</v>
      </c>
      <c r="Q235" s="51">
        <f t="shared" si="143"/>
        <v>364.71190828146752</v>
      </c>
      <c r="R235" s="113">
        <v>1544.26</v>
      </c>
      <c r="S235" s="113">
        <v>1544.26</v>
      </c>
      <c r="T235" s="52">
        <v>209</v>
      </c>
      <c r="U235" s="44">
        <v>254841.55</v>
      </c>
      <c r="V235" s="44">
        <v>260421.96</v>
      </c>
      <c r="X235" s="114"/>
    </row>
    <row r="236" spans="1:24" ht="15" customHeight="1">
      <c r="A236" s="112">
        <v>203</v>
      </c>
      <c r="B236" s="52" t="s">
        <v>306</v>
      </c>
      <c r="C236" s="52" t="s">
        <v>307</v>
      </c>
      <c r="D236" s="58">
        <v>65126883.560000002</v>
      </c>
      <c r="E236" s="59">
        <v>376777.6</v>
      </c>
      <c r="F236" s="58">
        <v>0</v>
      </c>
      <c r="G236" s="59">
        <v>341806.05</v>
      </c>
      <c r="H236" s="58">
        <f>(E236+F236)-G236</f>
        <v>34971.549999999988</v>
      </c>
      <c r="I236" s="58">
        <v>86574326.060000002</v>
      </c>
      <c r="J236" s="107">
        <f t="shared" si="132"/>
        <v>5.9603062830879995E-4</v>
      </c>
      <c r="K236" s="59">
        <v>233130281.13999999</v>
      </c>
      <c r="L236" s="47">
        <f t="shared" si="138"/>
        <v>1.5755990853190153E-3</v>
      </c>
      <c r="M236" s="47">
        <f t="shared" si="139"/>
        <v>1.6928339121973637</v>
      </c>
      <c r="N236" s="49">
        <f t="shared" si="140"/>
        <v>1.4661589576805672E-3</v>
      </c>
      <c r="O236" s="50">
        <f t="shared" si="141"/>
        <v>1.5000861247620932E-4</v>
      </c>
      <c r="P236" s="51">
        <f t="shared" si="142"/>
        <v>142.0142383585106</v>
      </c>
      <c r="Q236" s="51">
        <f t="shared" si="143"/>
        <v>2.1303358848025838E-2</v>
      </c>
      <c r="R236" s="58">
        <v>140.57</v>
      </c>
      <c r="S236" s="58">
        <v>143.46</v>
      </c>
      <c r="T236" s="58">
        <v>369</v>
      </c>
      <c r="U236" s="58">
        <v>1429140.77</v>
      </c>
      <c r="V236" s="59">
        <v>1641597.94</v>
      </c>
    </row>
    <row r="237" spans="1:24" ht="15" customHeight="1">
      <c r="A237" s="144" t="s">
        <v>62</v>
      </c>
      <c r="B237" s="144"/>
      <c r="C237" s="144"/>
      <c r="D237" s="144"/>
      <c r="E237" s="144"/>
      <c r="F237" s="144"/>
      <c r="G237" s="144"/>
      <c r="H237" s="144"/>
      <c r="I237" s="64">
        <f>SUM(I213:I236)</f>
        <v>145251471901.11572</v>
      </c>
      <c r="J237" s="62">
        <f>(I237/$I$249)</f>
        <v>1.5371507475564292E-2</v>
      </c>
      <c r="K237" s="64">
        <f>SUM(K213:K236)</f>
        <v>147962945213.81848</v>
      </c>
      <c r="L237" s="62">
        <f>(K237/$K$249)</f>
        <v>1.5458491519751011E-2</v>
      </c>
      <c r="M237" s="62">
        <f t="shared" si="123"/>
        <v>1.8667441212221761E-2</v>
      </c>
      <c r="N237" s="49"/>
      <c r="O237" s="49"/>
      <c r="P237" s="63"/>
      <c r="Q237" s="63"/>
      <c r="R237" s="64"/>
      <c r="S237" s="64"/>
      <c r="T237" s="64">
        <f>SUM(T213:T236)</f>
        <v>61488</v>
      </c>
      <c r="U237" s="64"/>
      <c r="V237" s="64"/>
    </row>
    <row r="238" spans="1:24" ht="15" customHeight="1">
      <c r="A238" s="160" t="s">
        <v>308</v>
      </c>
      <c r="B238" s="160"/>
      <c r="C238" s="160"/>
      <c r="D238" s="160"/>
      <c r="E238" s="160"/>
      <c r="F238" s="160"/>
      <c r="G238" s="160"/>
      <c r="H238" s="160"/>
      <c r="I238" s="115">
        <f>SUM(I25,I76,I117,I161,I170,I203,I209,I237)</f>
        <v>9396548596755.2676</v>
      </c>
      <c r="J238" s="116"/>
      <c r="K238" s="115">
        <f>SUM(K25,K76,K117,K161,K170,K203,K209,K237)</f>
        <v>9517677582876.1035</v>
      </c>
      <c r="L238" s="116"/>
      <c r="M238" s="116"/>
      <c r="N238" s="117"/>
      <c r="O238" s="117"/>
      <c r="P238" s="118"/>
      <c r="Q238" s="118"/>
      <c r="R238" s="115"/>
      <c r="S238" s="115"/>
      <c r="T238" s="115">
        <f>SUM(T25,T76,T117,T161,T170,T203,T209,T237)</f>
        <v>1454453</v>
      </c>
      <c r="U238" s="115"/>
      <c r="V238" s="115"/>
    </row>
    <row r="239" spans="1:24" s="35" customFormat="1" ht="6.6" customHeight="1">
      <c r="A239" s="119"/>
      <c r="B239" s="119"/>
      <c r="C239" s="119"/>
      <c r="D239" s="119"/>
      <c r="E239" s="119"/>
      <c r="F239" s="119"/>
      <c r="G239" s="119"/>
      <c r="H239" s="119"/>
      <c r="I239" s="64"/>
      <c r="J239" s="120"/>
      <c r="K239" s="64"/>
      <c r="L239" s="120"/>
      <c r="M239" s="120"/>
      <c r="N239" s="121"/>
      <c r="O239" s="121"/>
      <c r="P239" s="122"/>
      <c r="Q239" s="122"/>
      <c r="R239" s="64"/>
      <c r="S239" s="64"/>
      <c r="T239" s="64"/>
      <c r="U239" s="64"/>
      <c r="V239" s="64"/>
    </row>
    <row r="240" spans="1:24" s="35" customFormat="1" ht="15" customHeight="1">
      <c r="A240" s="161" t="s">
        <v>309</v>
      </c>
      <c r="B240" s="161"/>
      <c r="C240" s="161"/>
      <c r="D240" s="161"/>
      <c r="E240" s="161"/>
      <c r="F240" s="161"/>
      <c r="G240" s="161"/>
      <c r="H240" s="161"/>
      <c r="I240" s="161"/>
      <c r="J240" s="161"/>
      <c r="K240" s="161"/>
      <c r="L240" s="161"/>
      <c r="M240" s="161"/>
      <c r="N240" s="161"/>
      <c r="O240" s="161"/>
      <c r="P240" s="161"/>
      <c r="Q240" s="161"/>
      <c r="R240" s="161"/>
      <c r="S240" s="161"/>
      <c r="T240" s="161"/>
      <c r="U240" s="161"/>
      <c r="V240" s="161"/>
    </row>
    <row r="241" spans="1:22" s="35" customFormat="1" ht="15" customHeight="1">
      <c r="A241" s="123">
        <v>1</v>
      </c>
      <c r="B241" s="70" t="s">
        <v>310</v>
      </c>
      <c r="C241" s="70" t="s">
        <v>73</v>
      </c>
      <c r="D241" s="59">
        <f>1388618*C251</f>
        <v>1850943921.4728</v>
      </c>
      <c r="E241" s="71">
        <f>12835*C251</f>
        <v>17108279.765999999</v>
      </c>
      <c r="F241" s="105">
        <f>987*C251</f>
        <v>1315611.3851999999</v>
      </c>
      <c r="G241" s="71">
        <f>4418*C251</f>
        <v>5888927.1527999993</v>
      </c>
      <c r="H241" s="58">
        <f>(E241+F241)-G241</f>
        <v>12534963.998400001</v>
      </c>
      <c r="I241" s="52">
        <v>2775368245.3704</v>
      </c>
      <c r="J241" s="47">
        <f>(I241/$I$248)</f>
        <v>5.2515955338865918E-2</v>
      </c>
      <c r="K241" s="44">
        <f>2109399*C251</f>
        <v>2811701459.3003998</v>
      </c>
      <c r="L241" s="47">
        <f>(K241/$K$248)</f>
        <v>5.2115464955052322E-2</v>
      </c>
      <c r="M241" s="47">
        <f>((K241-I241)/I241)</f>
        <v>1.3091312834110346E-2</v>
      </c>
      <c r="N241" s="49">
        <f t="shared" ref="N241" si="144">(G241/K241)</f>
        <v>2.0944354292383753E-3</v>
      </c>
      <c r="O241" s="50">
        <f t="shared" ref="O241" si="145">H241/K241</f>
        <v>4.4581418688451075E-3</v>
      </c>
      <c r="P241" s="51">
        <f t="shared" ref="P241" si="146">K241/V241</f>
        <v>1417.8049521038636</v>
      </c>
      <c r="Q241" s="51">
        <f t="shared" ref="Q241" si="147">H241/V241</f>
        <v>6.3207756188301669</v>
      </c>
      <c r="R241" s="52">
        <f>1.0637*C251</f>
        <v>1417.8478525200001</v>
      </c>
      <c r="S241" s="52">
        <f>1.0637*C251</f>
        <v>1417.8478525200001</v>
      </c>
      <c r="T241" s="52">
        <v>67</v>
      </c>
      <c r="U241" s="44">
        <v>1915794</v>
      </c>
      <c r="V241" s="44">
        <v>1983137</v>
      </c>
    </row>
    <row r="242" spans="1:22" s="35" customFormat="1" ht="15" customHeight="1">
      <c r="A242" s="123">
        <v>2</v>
      </c>
      <c r="B242" s="70" t="s">
        <v>311</v>
      </c>
      <c r="C242" s="70" t="s">
        <v>312</v>
      </c>
      <c r="D242" s="71">
        <v>12832820841.700001</v>
      </c>
      <c r="E242" s="71">
        <v>276081289.83999997</v>
      </c>
      <c r="F242" s="60">
        <v>0</v>
      </c>
      <c r="G242" s="71">
        <v>26705829.379999999</v>
      </c>
      <c r="H242" s="58">
        <f>(E242+F242)-G242</f>
        <v>249375460.45999998</v>
      </c>
      <c r="I242" s="52">
        <v>15578010561.889999</v>
      </c>
      <c r="J242" s="47">
        <f t="shared" ref="J242:J247" si="148">(I242/$I$248)</f>
        <v>0.29476957095738987</v>
      </c>
      <c r="K242" s="44">
        <v>15843449922.290001</v>
      </c>
      <c r="L242" s="47">
        <f t="shared" ref="L242:L247" si="149">(K242/$K$248)</f>
        <v>0.29366160353228848</v>
      </c>
      <c r="M242" s="47">
        <f t="shared" ref="M242:M247" si="150">((K242-I242)/I242)</f>
        <v>1.7039361948397419E-2</v>
      </c>
      <c r="N242" s="49">
        <f t="shared" ref="N242:N247" si="151">(G242/K242)</f>
        <v>1.6856069549869828E-3</v>
      </c>
      <c r="O242" s="50">
        <f t="shared" ref="O242:O247" si="152">H242/K242</f>
        <v>1.5739972145154824E-2</v>
      </c>
      <c r="P242" s="51">
        <f t="shared" ref="P242:P247" si="153">K242/V242</f>
        <v>110.87172535256582</v>
      </c>
      <c r="Q242" s="51">
        <f t="shared" ref="Q242:Q247" si="154">H242/V242</f>
        <v>1.745117868734642</v>
      </c>
      <c r="R242" s="52">
        <v>123.3</v>
      </c>
      <c r="S242" s="52">
        <v>123.3</v>
      </c>
      <c r="T242" s="52">
        <v>12</v>
      </c>
      <c r="U242" s="44">
        <v>142898921</v>
      </c>
      <c r="V242" s="52">
        <v>142898921</v>
      </c>
    </row>
    <row r="243" spans="1:22" s="35" customFormat="1" ht="15" customHeight="1">
      <c r="A243" s="123">
        <v>3</v>
      </c>
      <c r="B243" s="70" t="s">
        <v>313</v>
      </c>
      <c r="C243" s="70" t="s">
        <v>314</v>
      </c>
      <c r="D243" s="71">
        <v>32205878281.810001</v>
      </c>
      <c r="E243" s="71">
        <v>680811146.27999997</v>
      </c>
      <c r="F243" s="60">
        <v>0</v>
      </c>
      <c r="G243" s="71">
        <v>58650317.049999997</v>
      </c>
      <c r="H243" s="58">
        <f>(E243+F243)-G243</f>
        <v>622160829.23000002</v>
      </c>
      <c r="I243" s="52">
        <v>31857219716.400002</v>
      </c>
      <c r="J243" s="47">
        <f t="shared" si="148"/>
        <v>0.60280733219372173</v>
      </c>
      <c r="K243" s="44">
        <v>32366385526.450001</v>
      </c>
      <c r="L243" s="47">
        <f t="shared" si="149"/>
        <v>0.59991761395789167</v>
      </c>
      <c r="M243" s="47">
        <f t="shared" si="150"/>
        <v>1.5982744714783826E-2</v>
      </c>
      <c r="N243" s="49">
        <f t="shared" si="151"/>
        <v>1.8120749690159444E-3</v>
      </c>
      <c r="O243" s="50">
        <f t="shared" si="152"/>
        <v>1.9222437696095739E-2</v>
      </c>
      <c r="P243" s="51">
        <f t="shared" si="153"/>
        <v>1.1199828895965258</v>
      </c>
      <c r="Q243" s="51">
        <f t="shared" si="154"/>
        <v>2.1528801315962489E-2</v>
      </c>
      <c r="R243" s="52">
        <v>1.1599999999999999</v>
      </c>
      <c r="S243" s="52">
        <v>1.1599999999999999</v>
      </c>
      <c r="T243" s="52">
        <v>57</v>
      </c>
      <c r="U243" s="44">
        <v>28899000000</v>
      </c>
      <c r="V243" s="44">
        <v>28899000000</v>
      </c>
    </row>
    <row r="244" spans="1:22" s="35" customFormat="1" ht="15" customHeight="1">
      <c r="A244" s="123">
        <v>4</v>
      </c>
      <c r="B244" s="70" t="s">
        <v>315</v>
      </c>
      <c r="C244" s="70" t="s">
        <v>200</v>
      </c>
      <c r="D244" s="71">
        <v>1243971169.3</v>
      </c>
      <c r="E244" s="71">
        <v>4544641.9000000004</v>
      </c>
      <c r="F244" s="71">
        <v>20948396.300000001</v>
      </c>
      <c r="G244" s="71">
        <v>1131475.23</v>
      </c>
      <c r="H244" s="58">
        <f>(E244+F244)-G244</f>
        <v>24361562.970000003</v>
      </c>
      <c r="I244" s="52">
        <v>1268962598.0999999</v>
      </c>
      <c r="J244" s="47">
        <f t="shared" si="148"/>
        <v>2.4011510270636895E-2</v>
      </c>
      <c r="K244" s="44">
        <v>1241865150.96</v>
      </c>
      <c r="L244" s="47">
        <f t="shared" si="149"/>
        <v>2.3018226042340998E-2</v>
      </c>
      <c r="M244" s="47">
        <f t="shared" si="150"/>
        <v>-2.1354015619193582E-2</v>
      </c>
      <c r="N244" s="49">
        <f t="shared" si="151"/>
        <v>9.1110957508175078E-4</v>
      </c>
      <c r="O244" s="50">
        <f t="shared" si="152"/>
        <v>1.9616914889002048E-2</v>
      </c>
      <c r="P244" s="51">
        <f t="shared" si="153"/>
        <v>151559.90023786019</v>
      </c>
      <c r="Q244" s="51">
        <f t="shared" si="154"/>
        <v>2973.1376635517445</v>
      </c>
      <c r="R244" s="52">
        <f>113.49*C251</f>
        <v>151275.31520399998</v>
      </c>
      <c r="S244" s="52">
        <f>113.49*C251</f>
        <v>151275.31520399998</v>
      </c>
      <c r="T244" s="52">
        <v>76</v>
      </c>
      <c r="U244" s="44">
        <v>8243.33</v>
      </c>
      <c r="V244" s="44">
        <v>8193.89</v>
      </c>
    </row>
    <row r="245" spans="1:22" s="35" customFormat="1" ht="15" customHeight="1">
      <c r="A245" s="123">
        <v>5</v>
      </c>
      <c r="B245" s="70" t="s">
        <v>339</v>
      </c>
      <c r="C245" s="70" t="s">
        <v>48</v>
      </c>
      <c r="D245" s="71">
        <f>71893500+250926591.25</f>
        <v>322820091.25</v>
      </c>
      <c r="E245" s="71">
        <v>0</v>
      </c>
      <c r="F245" s="71">
        <v>7320360.5</v>
      </c>
      <c r="G245" s="71">
        <v>196900.14</v>
      </c>
      <c r="H245" s="58">
        <f>(E245+F245)-G245</f>
        <v>7123460.3600000003</v>
      </c>
      <c r="I245" s="52">
        <v>0</v>
      </c>
      <c r="J245" s="47">
        <f t="shared" si="148"/>
        <v>0</v>
      </c>
      <c r="K245" s="44">
        <v>322623191.06</v>
      </c>
      <c r="L245" s="47">
        <f t="shared" si="149"/>
        <v>5.9798872144691036E-3</v>
      </c>
      <c r="M245" s="47" t="e">
        <f t="shared" ref="M245" si="155">((K245-I245)/I245)</f>
        <v>#DIV/0!</v>
      </c>
      <c r="N245" s="49">
        <f t="shared" ref="N245" si="156">(G245/K245)</f>
        <v>6.1030993882699961E-4</v>
      </c>
      <c r="O245" s="50">
        <f t="shared" ref="O245" si="157">H245/K245</f>
        <v>2.2079814958730636E-2</v>
      </c>
      <c r="P245" s="51">
        <f t="shared" ref="P245" si="158">K245/V245</f>
        <v>102.25774677020603</v>
      </c>
      <c r="Q245" s="51">
        <f t="shared" ref="Q245" si="159">H245/V245</f>
        <v>2.2578321267828843</v>
      </c>
      <c r="R245" s="52">
        <v>101.44</v>
      </c>
      <c r="S245" s="52">
        <v>101.49821300000001</v>
      </c>
      <c r="T245" s="52">
        <v>4</v>
      </c>
      <c r="U245" s="44">
        <v>0</v>
      </c>
      <c r="V245" s="44">
        <v>3155000</v>
      </c>
    </row>
    <row r="246" spans="1:22" s="35" customFormat="1" ht="15" customHeight="1">
      <c r="A246" s="123">
        <v>6</v>
      </c>
      <c r="B246" s="70" t="s">
        <v>316</v>
      </c>
      <c r="C246" s="70" t="s">
        <v>57</v>
      </c>
      <c r="D246" s="58">
        <v>316878910.72000003</v>
      </c>
      <c r="E246" s="105">
        <v>3070519.79</v>
      </c>
      <c r="F246" s="105">
        <v>3004245.55</v>
      </c>
      <c r="G246" s="105">
        <v>1235735</v>
      </c>
      <c r="H246" s="58">
        <f>(E246+F246)-G246</f>
        <v>4839030.34</v>
      </c>
      <c r="I246" s="52">
        <v>500695387.638219</v>
      </c>
      <c r="J246" s="47">
        <f t="shared" si="148"/>
        <v>9.4742370348319706E-3</v>
      </c>
      <c r="K246" s="52">
        <v>515852282.35000002</v>
      </c>
      <c r="L246" s="47">
        <f t="shared" si="149"/>
        <v>9.5614281714973964E-3</v>
      </c>
      <c r="M246" s="47">
        <f t="shared" si="150"/>
        <v>3.0271688307887405E-2</v>
      </c>
      <c r="N246" s="49">
        <f t="shared" si="151"/>
        <v>2.3955210479452093E-3</v>
      </c>
      <c r="O246" s="50">
        <f t="shared" si="152"/>
        <v>9.3806512165759345E-3</v>
      </c>
      <c r="P246" s="51">
        <f t="shared" si="153"/>
        <v>1.5026344711832453</v>
      </c>
      <c r="Q246" s="51">
        <f t="shared" si="154"/>
        <v>1.4095689880174046E-2</v>
      </c>
      <c r="R246" s="52">
        <v>1.5</v>
      </c>
      <c r="S246" s="52">
        <v>1.5</v>
      </c>
      <c r="T246" s="52">
        <v>62</v>
      </c>
      <c r="U246" s="52">
        <v>327317898.45999998</v>
      </c>
      <c r="V246" s="52">
        <v>343298581.42000002</v>
      </c>
    </row>
    <row r="247" spans="1:22" ht="15" customHeight="1">
      <c r="A247" s="123">
        <v>7</v>
      </c>
      <c r="B247" s="163" t="s">
        <v>326</v>
      </c>
      <c r="C247" s="164" t="s">
        <v>134</v>
      </c>
      <c r="D247" s="58">
        <f>522887.36*C251</f>
        <v>696977268.4834559</v>
      </c>
      <c r="E247" s="105">
        <f>6215.36*C251</f>
        <v>8284699.4722559992</v>
      </c>
      <c r="F247" s="105">
        <f>-1922.27*C251</f>
        <v>-2562269.8048919998</v>
      </c>
      <c r="G247" s="105">
        <f>1257.13*C251</f>
        <v>1675678.359348</v>
      </c>
      <c r="H247" s="58">
        <f t="shared" ref="H247" si="160">(E247+F247)-G247</f>
        <v>4046751.3080159994</v>
      </c>
      <c r="I247" s="52">
        <v>867839416.15356004</v>
      </c>
      <c r="J247" s="47">
        <f t="shared" si="148"/>
        <v>1.6421394204553692E-2</v>
      </c>
      <c r="K247" s="52">
        <f>637318.01*C251</f>
        <v>849506413.32219601</v>
      </c>
      <c r="L247" s="47">
        <f t="shared" si="149"/>
        <v>1.5745776126460043E-2</v>
      </c>
      <c r="M247" s="47">
        <f t="shared" si="150"/>
        <v>-2.1124879200140063E-2</v>
      </c>
      <c r="N247" s="49">
        <f t="shared" si="151"/>
        <v>1.9725317349810968E-3</v>
      </c>
      <c r="O247" s="50">
        <f t="shared" si="152"/>
        <v>4.7636500967546793E-3</v>
      </c>
      <c r="P247" s="51">
        <f t="shared" si="153"/>
        <v>13345.536879624889</v>
      </c>
      <c r="Q247" s="51">
        <f t="shared" si="154"/>
        <v>63.573468047868239</v>
      </c>
      <c r="R247" s="52">
        <f>10.0121*C251</f>
        <v>13345.524569159999</v>
      </c>
      <c r="S247" s="52">
        <f>10.0121*C251</f>
        <v>13345.524569159999</v>
      </c>
      <c r="T247" s="52">
        <v>13</v>
      </c>
      <c r="U247" s="52">
        <v>63654.720000000001</v>
      </c>
      <c r="V247" s="52">
        <v>63654.720000000001</v>
      </c>
    </row>
    <row r="248" spans="1:22" ht="15" customHeight="1">
      <c r="A248" s="144" t="s">
        <v>62</v>
      </c>
      <c r="B248" s="144"/>
      <c r="C248" s="144"/>
      <c r="D248" s="144"/>
      <c r="E248" s="144"/>
      <c r="F248" s="144"/>
      <c r="G248" s="144"/>
      <c r="H248" s="144"/>
      <c r="I248" s="64">
        <f>SUM(I241:I247)</f>
        <v>52848095925.552177</v>
      </c>
      <c r="J248" s="62">
        <f>(I248/$I$249)</f>
        <v>5.5927481557088727E-3</v>
      </c>
      <c r="K248" s="124">
        <f>SUM(K241:K247)</f>
        <v>53951383945.732597</v>
      </c>
      <c r="L248" s="62">
        <f>(K248/$K$249)</f>
        <v>5.6365937431073045E-3</v>
      </c>
      <c r="M248" s="120"/>
      <c r="N248" s="121"/>
      <c r="O248" s="121"/>
      <c r="P248" s="122"/>
      <c r="Q248" s="122"/>
      <c r="R248" s="64"/>
      <c r="S248" s="64"/>
      <c r="T248" s="64">
        <f>SUM(T241:T247)</f>
        <v>291</v>
      </c>
      <c r="U248" s="64"/>
      <c r="V248" s="64"/>
    </row>
    <row r="249" spans="1:22" ht="15.6" customHeight="1">
      <c r="A249" s="158" t="s">
        <v>317</v>
      </c>
      <c r="B249" s="158"/>
      <c r="C249" s="158"/>
      <c r="D249" s="158"/>
      <c r="E249" s="158"/>
      <c r="F249" s="158"/>
      <c r="G249" s="158"/>
      <c r="H249" s="158"/>
      <c r="I249" s="125">
        <f>I238+I248</f>
        <v>9449396692680.8203</v>
      </c>
      <c r="J249" s="126"/>
      <c r="K249" s="125">
        <f>K238+K248</f>
        <v>9571628966821.8359</v>
      </c>
      <c r="L249" s="126"/>
      <c r="M249" s="126"/>
      <c r="N249" s="126"/>
      <c r="O249" s="126"/>
      <c r="P249" s="126"/>
      <c r="Q249" s="126"/>
      <c r="R249" s="127"/>
      <c r="S249" s="127"/>
      <c r="T249" s="125">
        <f>T238+T248</f>
        <v>1454744</v>
      </c>
      <c r="U249" s="127"/>
      <c r="V249" s="127"/>
    </row>
    <row r="250" spans="1:22" ht="4.95" customHeight="1">
      <c r="A250" s="128"/>
      <c r="B250" s="128"/>
      <c r="C250" s="129"/>
      <c r="D250" s="35"/>
      <c r="E250" s="35"/>
      <c r="F250" s="35"/>
      <c r="G250" s="35"/>
      <c r="H250" s="130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</row>
    <row r="251" spans="1:22">
      <c r="A251" s="131" t="s">
        <v>318</v>
      </c>
      <c r="B251" s="132" t="s">
        <v>319</v>
      </c>
      <c r="C251" s="133">
        <v>1332.9395999999999</v>
      </c>
      <c r="D251" s="114"/>
      <c r="E251" s="35"/>
      <c r="F251" s="35"/>
      <c r="G251" s="35"/>
      <c r="H251" s="130"/>
      <c r="I251" s="134"/>
      <c r="J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135"/>
    </row>
    <row r="254" spans="1:22">
      <c r="B254" s="136"/>
    </row>
    <row r="256" spans="1:22">
      <c r="B256" s="137"/>
    </row>
  </sheetData>
  <sheetProtection algorithmName="SHA-512" hashValue="v0UnFKpBcqfkzfS+R38syEFbWQcE2h21pjkCIPZu5pXJVh+SXw7PF+x6TB4bZ7u2XLGPLGV6HNa8KPviSTivcA==" saltValue="hS0re8Q0dPqfRvdjKiTuzw==" spinCount="100000" sheet="1" objects="1" scenarios="1"/>
  <mergeCells count="36">
    <mergeCell ref="A249:H249"/>
    <mergeCell ref="A232:V232"/>
    <mergeCell ref="A237:H237"/>
    <mergeCell ref="A238:H238"/>
    <mergeCell ref="A240:V240"/>
    <mergeCell ref="A248:H248"/>
    <mergeCell ref="A210:V210"/>
    <mergeCell ref="A211:V211"/>
    <mergeCell ref="A212:V212"/>
    <mergeCell ref="A215:V215"/>
    <mergeCell ref="A216:V216"/>
    <mergeCell ref="A172:V172"/>
    <mergeCell ref="A203:H203"/>
    <mergeCell ref="A204:V204"/>
    <mergeCell ref="A205:V205"/>
    <mergeCell ref="A209:H209"/>
    <mergeCell ref="A161:H161"/>
    <mergeCell ref="A162:V162"/>
    <mergeCell ref="A163:V163"/>
    <mergeCell ref="A170:H170"/>
    <mergeCell ref="A171:V171"/>
    <mergeCell ref="A118:V118"/>
    <mergeCell ref="A119:V119"/>
    <mergeCell ref="A120:V120"/>
    <mergeCell ref="A139:V139"/>
    <mergeCell ref="A140:V140"/>
    <mergeCell ref="A27:V27"/>
    <mergeCell ref="A76:H76"/>
    <mergeCell ref="A77:V77"/>
    <mergeCell ref="A78:V78"/>
    <mergeCell ref="A117:H117"/>
    <mergeCell ref="A1:V1"/>
    <mergeCell ref="A3:V3"/>
    <mergeCell ref="A4:V4"/>
    <mergeCell ref="A25:H25"/>
    <mergeCell ref="A26:V26"/>
  </mergeCells>
  <pageMargins left="0.7" right="0.7" top="0.75" bottom="0.75" header="0.3" footer="0.3"/>
  <pageSetup scale="83" orientation="portrait" r:id="rId1"/>
  <colBreaks count="1" manualBreakCount="1">
    <brk id="3" max="1048575" man="1"/>
  </colBreaks>
  <ignoredErrors>
    <ignoredError sqref="J25 J76 J117 J161 J170 J203 J209 J237 J248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H9" sqref="H9"/>
    </sheetView>
  </sheetViews>
  <sheetFormatPr defaultColWidth="9" defaultRowHeight="14.4"/>
  <cols>
    <col min="1" max="1" width="30.33203125" customWidth="1"/>
    <col min="2" max="2" width="9.33203125" customWidth="1"/>
    <col min="3" max="3" width="9.441406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31"/>
      <c r="B3" s="31"/>
      <c r="C3" s="31"/>
      <c r="D3" s="2"/>
      <c r="E3" s="2"/>
      <c r="F3" s="1"/>
      <c r="G3" s="1"/>
      <c r="H3" s="1"/>
    </row>
    <row r="4" spans="1:8" ht="33" customHeight="1">
      <c r="A4" s="24" t="s">
        <v>320</v>
      </c>
      <c r="B4" s="138" t="s">
        <v>338</v>
      </c>
      <c r="C4" s="138" t="s">
        <v>337</v>
      </c>
      <c r="D4" s="2"/>
      <c r="E4" s="2"/>
      <c r="F4" s="1"/>
      <c r="G4" s="1"/>
      <c r="H4" s="1"/>
    </row>
    <row r="5" spans="1:8" ht="19.05" customHeight="1">
      <c r="A5" s="25" t="s">
        <v>22</v>
      </c>
      <c r="B5" s="26">
        <v>241.38586553741001</v>
      </c>
      <c r="C5" s="26">
        <f>August!K25/1000000000</f>
        <v>233.72278697153999</v>
      </c>
      <c r="D5" s="2"/>
      <c r="E5" s="2"/>
      <c r="F5" s="1"/>
      <c r="G5" s="1"/>
      <c r="H5" s="1"/>
    </row>
    <row r="6" spans="1:8">
      <c r="A6" s="24" t="s">
        <v>63</v>
      </c>
      <c r="B6" s="26">
        <v>6263.1142898272392</v>
      </c>
      <c r="C6" s="26">
        <f>August!K76/1000000000</f>
        <v>6448.537446804994</v>
      </c>
      <c r="D6" s="2"/>
      <c r="E6" s="2"/>
      <c r="F6" s="1"/>
      <c r="G6" s="1"/>
      <c r="H6" s="1"/>
    </row>
    <row r="7" spans="1:8">
      <c r="A7" s="24" t="s">
        <v>321</v>
      </c>
      <c r="B7" s="26">
        <v>232.74981180539999</v>
      </c>
      <c r="C7" s="26">
        <f>August!K117/1000000000</f>
        <v>235.10587555532999</v>
      </c>
      <c r="D7" s="2"/>
      <c r="E7" s="2"/>
      <c r="F7" s="1"/>
      <c r="G7" s="1"/>
      <c r="H7" s="1"/>
    </row>
    <row r="8" spans="1:8">
      <c r="A8" s="24" t="s">
        <v>185</v>
      </c>
      <c r="B8" s="26">
        <v>1819.3970402694449</v>
      </c>
      <c r="C8" s="26">
        <f>August!K161/1000000000</f>
        <v>1752.5097771838987</v>
      </c>
      <c r="D8" s="2"/>
      <c r="E8" s="2"/>
      <c r="F8" s="1"/>
      <c r="G8" s="1"/>
      <c r="H8" s="1"/>
    </row>
    <row r="9" spans="1:8">
      <c r="A9" s="24" t="s">
        <v>322</v>
      </c>
      <c r="B9" s="26">
        <v>519.10571993953999</v>
      </c>
      <c r="C9" s="26">
        <f>August!K170/1000000000</f>
        <v>522.41815593666001</v>
      </c>
      <c r="D9" s="2"/>
      <c r="E9" s="2"/>
      <c r="F9" s="1"/>
      <c r="G9" s="1"/>
      <c r="H9" s="1"/>
    </row>
    <row r="10" spans="1:8">
      <c r="A10" s="24" t="s">
        <v>240</v>
      </c>
      <c r="B10" s="26">
        <v>155.82341934322869</v>
      </c>
      <c r="C10" s="26">
        <f>August!K203/1000000000</f>
        <v>157.7614732001141</v>
      </c>
      <c r="D10" s="2"/>
      <c r="E10" s="2"/>
      <c r="F10" s="1"/>
      <c r="G10" s="1"/>
      <c r="H10" s="1"/>
    </row>
    <row r="11" spans="1:8">
      <c r="A11" s="24" t="s">
        <v>274</v>
      </c>
      <c r="B11" s="26">
        <v>19.720978131890003</v>
      </c>
      <c r="C11" s="26">
        <f>August!K209/1000000000</f>
        <v>19.65912200975</v>
      </c>
      <c r="D11" s="2"/>
      <c r="E11" s="2"/>
      <c r="F11" s="1"/>
      <c r="G11" s="1"/>
      <c r="H11" s="1"/>
    </row>
    <row r="12" spans="1:8">
      <c r="A12" s="24" t="s">
        <v>323</v>
      </c>
      <c r="B12" s="26">
        <v>145.25147190111574</v>
      </c>
      <c r="C12" s="26">
        <f>August!K237/1000000000</f>
        <v>147.96294521381847</v>
      </c>
      <c r="D12" s="2"/>
      <c r="E12" s="2"/>
      <c r="F12" s="1"/>
      <c r="G12" s="1"/>
      <c r="H12" s="1"/>
    </row>
    <row r="13" spans="1:8">
      <c r="A13" s="27" t="s">
        <v>309</v>
      </c>
      <c r="B13" s="26">
        <v>52.84809592555218</v>
      </c>
      <c r="C13" s="26">
        <f>August!K248/1000000000</f>
        <v>53.951383945732594</v>
      </c>
      <c r="D13" s="2"/>
      <c r="E13" s="2"/>
      <c r="F13" s="1"/>
      <c r="G13" s="1"/>
      <c r="H13" s="1"/>
    </row>
    <row r="14" spans="1:8">
      <c r="A14" s="23"/>
      <c r="B14" s="23"/>
      <c r="C14" s="23"/>
      <c r="D14" s="2"/>
      <c r="E14" s="2"/>
      <c r="F14" s="1"/>
      <c r="G14" s="1"/>
      <c r="H14" s="1"/>
    </row>
    <row r="15" spans="1:8">
      <c r="A15" s="23"/>
      <c r="B15" s="23"/>
      <c r="C15" s="23"/>
      <c r="D15" s="2"/>
      <c r="E15" s="2"/>
      <c r="F15" s="1"/>
      <c r="G15" s="1"/>
      <c r="H15" s="1"/>
    </row>
    <row r="16" spans="1:8">
      <c r="A16" s="23"/>
      <c r="B16" s="28"/>
      <c r="C16" s="23"/>
      <c r="D16" s="2"/>
      <c r="E16" s="2"/>
      <c r="F16" s="1"/>
      <c r="G16" s="1"/>
      <c r="H16" s="1"/>
    </row>
    <row r="17" spans="1:8">
      <c r="A17" s="29"/>
      <c r="B17" s="30"/>
      <c r="C17" s="31"/>
      <c r="D17" s="1"/>
      <c r="E17" s="1"/>
      <c r="F17" s="1"/>
      <c r="G17" s="1"/>
      <c r="H17" s="1"/>
    </row>
    <row r="18" spans="1:8" ht="15.6">
      <c r="A18" s="32"/>
      <c r="B18" s="21"/>
      <c r="C18" s="1"/>
      <c r="D18" s="1"/>
      <c r="E18" s="1"/>
      <c r="F18" s="1"/>
      <c r="G18" s="1"/>
      <c r="H18" s="1"/>
    </row>
    <row r="19" spans="1:8">
      <c r="A19" s="20"/>
      <c r="B19" s="33"/>
      <c r="C19" s="1"/>
      <c r="D19" s="1"/>
      <c r="E19" s="1"/>
      <c r="F19" s="1"/>
      <c r="G19" s="1"/>
      <c r="H19" s="1"/>
    </row>
    <row r="20" spans="1:8">
      <c r="A20" s="20"/>
      <c r="B20" s="21"/>
      <c r="C20" s="1"/>
      <c r="D20" s="1"/>
      <c r="E20" s="1"/>
      <c r="F20" s="1"/>
      <c r="G20" s="1"/>
      <c r="H20" s="1"/>
    </row>
    <row r="21" spans="1:8">
      <c r="A21" s="20"/>
      <c r="B21" s="33"/>
      <c r="C21" s="1"/>
      <c r="D21" s="1"/>
      <c r="E21" s="1"/>
      <c r="F21" s="1"/>
      <c r="G21" s="1"/>
      <c r="H21" s="1"/>
    </row>
    <row r="22" spans="1:8">
      <c r="A22" s="20"/>
      <c r="B22" s="34"/>
      <c r="C22" s="1"/>
      <c r="D22" s="1"/>
      <c r="E22" s="1"/>
      <c r="F22" s="1"/>
      <c r="G22" s="1"/>
      <c r="H22" s="1"/>
    </row>
    <row r="23" spans="1:8">
      <c r="A23" s="20"/>
      <c r="B23" s="33"/>
      <c r="C23" s="1"/>
      <c r="D23" s="1"/>
      <c r="E23" s="1"/>
      <c r="F23" s="1"/>
      <c r="G23" s="1"/>
      <c r="H23" s="1"/>
    </row>
    <row r="24" spans="1:8">
      <c r="A24" s="20"/>
      <c r="B24" s="33"/>
      <c r="C24" s="1"/>
      <c r="D24" s="1"/>
      <c r="E24" s="1"/>
      <c r="F24" s="1"/>
      <c r="G24" s="1"/>
      <c r="H24" s="1"/>
    </row>
    <row r="25" spans="1:8">
      <c r="A25" s="20"/>
      <c r="B25" s="33"/>
      <c r="C25" s="1"/>
      <c r="D25" s="1"/>
      <c r="E25" s="1"/>
      <c r="F25" s="1"/>
      <c r="G25" s="1"/>
      <c r="H25" s="1"/>
    </row>
    <row r="26" spans="1:8">
      <c r="A26" s="20"/>
      <c r="B26" s="33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</sheetData>
  <sheetProtection algorithmName="SHA-512" hashValue="o0DcH4eT7blpMF4cnJXtgqBeBXfbqWQ/Bs2JWb177rHbgQ/NmrVJkn8G64q+ExKZKYO/S2gZ91uC+E9IuACnKA==" saltValue="6MsKd+b446yGSLF0GeuTyA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="85" zoomScaleNormal="85" workbookViewId="0">
      <selection activeCell="F14" sqref="F14"/>
    </sheetView>
  </sheetViews>
  <sheetFormatPr defaultColWidth="9" defaultRowHeight="14.4"/>
  <cols>
    <col min="1" max="1" width="26.77734375" customWidth="1"/>
    <col min="2" max="2" width="21.21875" customWidth="1"/>
  </cols>
  <sheetData>
    <row r="1" spans="1:6">
      <c r="A1" s="9" t="s">
        <v>320</v>
      </c>
      <c r="B1" s="139" t="s">
        <v>337</v>
      </c>
      <c r="C1" s="2"/>
      <c r="D1" s="1"/>
      <c r="E1" s="1"/>
      <c r="F1" s="1"/>
    </row>
    <row r="2" spans="1:6">
      <c r="A2" s="9" t="s">
        <v>274</v>
      </c>
      <c r="B2" s="10">
        <f>August!K209</f>
        <v>19659122009.75</v>
      </c>
      <c r="C2" s="2"/>
      <c r="D2" s="1"/>
      <c r="E2" s="1"/>
      <c r="F2" s="1"/>
    </row>
    <row r="3" spans="1:6">
      <c r="A3" s="9" t="s">
        <v>309</v>
      </c>
      <c r="B3" s="10">
        <f>August!K248</f>
        <v>53951383945.732597</v>
      </c>
      <c r="C3" s="2"/>
      <c r="D3" s="1"/>
      <c r="E3" s="1"/>
      <c r="F3" s="1"/>
    </row>
    <row r="4" spans="1:6">
      <c r="A4" s="9" t="s">
        <v>323</v>
      </c>
      <c r="B4" s="11">
        <f>August!K237</f>
        <v>147962945213.81848</v>
      </c>
      <c r="C4" s="2"/>
      <c r="D4" s="1"/>
      <c r="E4" s="1"/>
      <c r="F4" s="1"/>
    </row>
    <row r="5" spans="1:6">
      <c r="A5" s="9" t="s">
        <v>22</v>
      </c>
      <c r="B5" s="12">
        <f>August!K25</f>
        <v>233722786971.53998</v>
      </c>
      <c r="C5" s="2"/>
      <c r="D5" s="1"/>
      <c r="E5" s="1"/>
      <c r="F5" s="1"/>
    </row>
    <row r="6" spans="1:6">
      <c r="A6" s="9" t="s">
        <v>240</v>
      </c>
      <c r="B6" s="12">
        <f>August!K203</f>
        <v>157761473200.11411</v>
      </c>
      <c r="C6" s="2"/>
      <c r="D6" s="1"/>
      <c r="E6" s="1"/>
      <c r="F6" s="1"/>
    </row>
    <row r="7" spans="1:6">
      <c r="A7" s="9" t="s">
        <v>321</v>
      </c>
      <c r="B7" s="13">
        <f>August!K117</f>
        <v>235105875555.32999</v>
      </c>
      <c r="C7" s="2"/>
      <c r="D7" s="1"/>
      <c r="E7" s="1"/>
      <c r="F7" s="1"/>
    </row>
    <row r="8" spans="1:6">
      <c r="A8" s="9" t="s">
        <v>322</v>
      </c>
      <c r="B8" s="13">
        <f>August!K170</f>
        <v>522418155936.65997</v>
      </c>
      <c r="C8" s="2"/>
      <c r="D8" s="1"/>
      <c r="E8" s="1"/>
      <c r="F8" s="1"/>
    </row>
    <row r="9" spans="1:6">
      <c r="A9" s="9" t="s">
        <v>185</v>
      </c>
      <c r="B9" s="12">
        <f>August!K161</f>
        <v>1752509777183.8987</v>
      </c>
      <c r="C9" s="2"/>
      <c r="D9" s="1"/>
      <c r="E9" s="1"/>
      <c r="F9" s="1"/>
    </row>
    <row r="10" spans="1:6">
      <c r="A10" s="9" t="s">
        <v>63</v>
      </c>
      <c r="B10" s="12">
        <f>August!K76</f>
        <v>6448537446804.9941</v>
      </c>
      <c r="C10" s="2"/>
      <c r="D10" s="1"/>
      <c r="E10" s="1"/>
      <c r="F10" s="1"/>
    </row>
    <row r="11" spans="1:6">
      <c r="A11" s="2"/>
      <c r="B11" s="2"/>
      <c r="C11" s="2"/>
      <c r="D11" s="1"/>
      <c r="E11" s="1"/>
      <c r="F11" s="1"/>
    </row>
    <row r="12" spans="1:6">
      <c r="A12" s="7"/>
      <c r="B12" s="2"/>
      <c r="C12" s="2"/>
      <c r="D12" s="1"/>
      <c r="E12" s="1"/>
      <c r="F12" s="1"/>
    </row>
    <row r="13" spans="1:6">
      <c r="A13" s="14"/>
      <c r="B13" s="2"/>
      <c r="C13" s="2"/>
      <c r="D13" s="1"/>
      <c r="E13" s="1"/>
      <c r="F13" s="1"/>
    </row>
    <row r="14" spans="1:6" ht="15" customHeight="1">
      <c r="A14" s="2"/>
      <c r="B14" s="169"/>
      <c r="C14" s="2"/>
      <c r="D14" s="1"/>
      <c r="E14" s="1"/>
      <c r="F14" s="1"/>
    </row>
    <row r="15" spans="1:6">
      <c r="A15" s="1"/>
      <c r="B15" s="15"/>
      <c r="C15" s="1"/>
      <c r="D15" s="1"/>
      <c r="E15" s="1"/>
      <c r="F15" s="1"/>
    </row>
    <row r="16" spans="1:6">
      <c r="A16" s="16"/>
      <c r="B16" s="15"/>
      <c r="C16" s="1"/>
      <c r="D16" s="1"/>
      <c r="E16" s="1"/>
      <c r="F16" s="1"/>
    </row>
    <row r="17" spans="1:6">
      <c r="A17" s="17"/>
      <c r="B17" s="15"/>
      <c r="C17" s="1"/>
      <c r="D17" s="1"/>
      <c r="E17" s="1"/>
      <c r="F17" s="1"/>
    </row>
    <row r="18" spans="1:6">
      <c r="A18" s="17"/>
      <c r="B18" s="15"/>
      <c r="C18" s="1"/>
      <c r="D18" s="1"/>
      <c r="E18" s="1"/>
      <c r="F18" s="1"/>
    </row>
    <row r="19" spans="1:6">
      <c r="A19" s="16"/>
      <c r="B19" s="15"/>
      <c r="C19" s="1"/>
      <c r="D19" s="1"/>
      <c r="E19" s="1"/>
      <c r="F19" s="1"/>
    </row>
    <row r="20" spans="1:6">
      <c r="A20" s="18"/>
      <c r="B20" s="15"/>
      <c r="C20" s="1"/>
      <c r="D20" s="1"/>
      <c r="E20" s="1"/>
      <c r="F20" s="1"/>
    </row>
    <row r="21" spans="1:6">
      <c r="A21" s="19"/>
      <c r="B21" s="15"/>
      <c r="C21" s="1"/>
      <c r="D21" s="1"/>
      <c r="E21" s="1"/>
      <c r="F21" s="1"/>
    </row>
    <row r="22" spans="1:6">
      <c r="A22" s="20"/>
      <c r="B22" s="21"/>
      <c r="C22" s="1"/>
      <c r="D22" s="1"/>
      <c r="E22" s="1"/>
      <c r="F22" s="1"/>
    </row>
    <row r="23" spans="1:6">
      <c r="A23" s="1"/>
      <c r="B23" s="2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3" spans="1:17" ht="16.05" customHeight="1">
      <c r="A33" s="162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22"/>
    </row>
    <row r="34" spans="1:17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22"/>
    </row>
  </sheetData>
  <sheetProtection algorithmName="SHA-512" hashValue="CpjulKbORFyK/IqCXUrdx/tpuR0nX8u4SJQmGfnGqOjcN2iiOOG3kdrOXmXlpFHmY583E1MG59v4yNxDuVMxvQ==" saltValue="CvS3XI2E6Y1cXzXN6RgRGA==" spinCount="100000" sheet="1" objects="1" scenarios="1"/>
  <sortState ref="A13:A19">
    <sortCondition ref="A12:A19"/>
  </sortState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F7" sqref="F7"/>
    </sheetView>
  </sheetViews>
  <sheetFormatPr defaultColWidth="9" defaultRowHeight="14.4"/>
  <cols>
    <col min="1" max="1" width="34.77734375" customWidth="1"/>
    <col min="2" max="2" width="1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2"/>
      <c r="B4" s="2"/>
      <c r="C4" s="2"/>
      <c r="D4" s="1"/>
      <c r="E4" s="1"/>
      <c r="F4" s="1"/>
      <c r="G4" s="1"/>
      <c r="H4" s="1"/>
    </row>
    <row r="5" spans="1:8" ht="15.6">
      <c r="A5" s="3" t="s">
        <v>320</v>
      </c>
      <c r="B5" s="4" t="s">
        <v>324</v>
      </c>
      <c r="C5" s="2"/>
      <c r="D5" s="1"/>
      <c r="E5" s="1"/>
      <c r="F5" s="1"/>
      <c r="G5" s="1"/>
      <c r="H5" s="1"/>
    </row>
    <row r="6" spans="1:8">
      <c r="A6" s="5" t="s">
        <v>22</v>
      </c>
      <c r="B6" s="6">
        <f>August!T25</f>
        <v>113122</v>
      </c>
      <c r="C6" s="2"/>
      <c r="D6" s="1"/>
      <c r="E6" s="1"/>
      <c r="F6" s="1"/>
      <c r="G6" s="1"/>
      <c r="H6" s="1"/>
    </row>
    <row r="7" spans="1:8">
      <c r="A7" s="5" t="s">
        <v>63</v>
      </c>
      <c r="B7" s="6">
        <f>August!T76</f>
        <v>821628</v>
      </c>
      <c r="C7" s="2"/>
      <c r="D7" s="1"/>
      <c r="E7" s="1"/>
      <c r="F7" s="1"/>
      <c r="G7" s="1"/>
      <c r="H7" s="1"/>
    </row>
    <row r="8" spans="1:8">
      <c r="A8" s="5" t="s">
        <v>321</v>
      </c>
      <c r="B8" s="6">
        <f>August!T117</f>
        <v>69339</v>
      </c>
      <c r="C8" s="2"/>
      <c r="D8" s="1"/>
      <c r="E8" s="1"/>
      <c r="F8" s="1"/>
      <c r="G8" s="1"/>
      <c r="H8" s="1"/>
    </row>
    <row r="9" spans="1:8">
      <c r="A9" s="5" t="s">
        <v>185</v>
      </c>
      <c r="B9" s="6">
        <f>August!T161</f>
        <v>31548</v>
      </c>
      <c r="C9" s="2"/>
      <c r="D9" s="1"/>
      <c r="E9" s="1"/>
      <c r="F9" s="1"/>
      <c r="G9" s="1"/>
      <c r="H9" s="1"/>
    </row>
    <row r="10" spans="1:8">
      <c r="A10" s="5" t="s">
        <v>322</v>
      </c>
      <c r="B10" s="6">
        <f>August!T170</f>
        <v>232429</v>
      </c>
      <c r="C10" s="2"/>
      <c r="D10" s="1"/>
      <c r="E10" s="1"/>
      <c r="F10" s="1"/>
      <c r="G10" s="1"/>
      <c r="H10" s="1"/>
    </row>
    <row r="11" spans="1:8">
      <c r="A11" s="5" t="s">
        <v>240</v>
      </c>
      <c r="B11" s="6">
        <f>August!T203</f>
        <v>105225</v>
      </c>
      <c r="C11" s="2"/>
      <c r="D11" s="1"/>
      <c r="E11" s="1"/>
      <c r="F11" s="1"/>
      <c r="G11" s="1"/>
      <c r="H11" s="1"/>
    </row>
    <row r="12" spans="1:8">
      <c r="A12" s="5" t="s">
        <v>274</v>
      </c>
      <c r="B12" s="6">
        <f>August!T209</f>
        <v>19674</v>
      </c>
      <c r="C12" s="2"/>
      <c r="D12" s="1"/>
      <c r="E12" s="1"/>
      <c r="F12" s="1"/>
      <c r="G12" s="1"/>
      <c r="H12" s="1"/>
    </row>
    <row r="13" spans="1:8">
      <c r="A13" s="5" t="s">
        <v>323</v>
      </c>
      <c r="B13" s="6">
        <f>August!T237</f>
        <v>61488</v>
      </c>
      <c r="C13" s="2"/>
      <c r="D13" s="1"/>
      <c r="E13" s="1"/>
      <c r="F13" s="1"/>
      <c r="G13" s="1"/>
      <c r="H13" s="1"/>
    </row>
    <row r="14" spans="1:8">
      <c r="A14" s="7" t="s">
        <v>309</v>
      </c>
      <c r="B14" s="8">
        <f>August!T248</f>
        <v>291</v>
      </c>
      <c r="C14" s="2"/>
      <c r="D14" s="1"/>
      <c r="E14" s="1"/>
      <c r="F14" s="1"/>
      <c r="G14" s="1"/>
      <c r="H14" s="1"/>
    </row>
    <row r="15" spans="1:8">
      <c r="A15" s="2"/>
      <c r="B15" s="2"/>
      <c r="C15" s="2"/>
      <c r="D15" s="1"/>
      <c r="E15" s="1"/>
      <c r="F15" s="1"/>
      <c r="G15" s="1"/>
      <c r="H15" s="1"/>
    </row>
    <row r="16" spans="1:8">
      <c r="A16" s="2"/>
      <c r="B16" s="2"/>
      <c r="C16" s="2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</sheetData>
  <sheetProtection algorithmName="SHA-512" hashValue="2uixY4XOGGKn6C/IpYgbaE9z3Cu/uueJUTDqPxjF6BdFga4WfIeOtHrxK2EOOIsVOQgGOmsRnm9wM/zgLaC9rA==" saltValue="Q5Dxqh2Zvg/HiW7MFiu8hA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  <rangeList sheetStid="2" master="" otherUserPermission="visible"/>
  <rangeList sheetStid="3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August</vt:lpstr>
      <vt:lpstr>NAV Comparison</vt:lpstr>
      <vt:lpstr>Market Share</vt:lpstr>
      <vt:lpstr>Unitholders</vt:lpstr>
      <vt:lpstr>August!_Hlk34300669</vt:lpstr>
      <vt:lpstr>FX_RATE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RV;Mohammed N. Abdulaziz</dc:creator>
  <cp:lastModifiedBy>Isaac, Tunde</cp:lastModifiedBy>
  <cp:lastPrinted>2025-09-11T19:51:00Z</cp:lastPrinted>
  <dcterms:created xsi:type="dcterms:W3CDTF">2023-10-10T15:40:00Z</dcterms:created>
  <dcterms:modified xsi:type="dcterms:W3CDTF">2026-10-10T21:00:50Z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908C8CE57AD5F23C268F7C6A916769CD_43</vt:lpwstr>
  </property>
  <property fmtid="{D5CDD505-2E9C-101B-9397-08002B2CF9AE}" pid="3" name="KSOProductBuildVer">
    <vt:lpwstr>1033-12.1.26050.26050</vt:lpwstr>
  </property>
  <property fmtid="{D5CDD505-2E9C-101B-9397-08002B2CF9AE}" pid="4" name="CalculationRule">
    <vt:i4>0</vt:i4>
  </property>
</Properties>
</file>